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 JJL Giraud 2 (58)\Dossier d'instruction\"/>
    </mc:Choice>
  </mc:AlternateContent>
  <xr:revisionPtr revIDLastSave="0" documentId="13_ncr:1_{7E817175-9C47-4AAD-BAB7-8C3E9C9B11C3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D154" i="2" s="1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EA155" i="2"/>
  <c r="ED155" i="2" s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Y175" i="2" s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HI180" i="2" l="1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EY191" i="2" s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W192" i="2"/>
  <c r="EY192" i="2" s="1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HI193" i="2" l="1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D194" i="2" s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HG201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HJ202" i="2" s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DN56" i="2" a="1"/>
  <c r="DN56" i="2" s="1"/>
  <c r="GT51" i="2" a="1"/>
  <c r="GT5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GT38" i="2" l="1" a="1"/>
  <c r="GT38" i="2" s="1"/>
  <c r="GT115" i="2" a="1"/>
  <c r="GT115" i="2" s="1"/>
  <c r="GT11" i="2" a="1"/>
  <c r="GT11" i="2" s="1"/>
  <c r="GT189" i="2" a="1"/>
  <c r="GT189" i="2" s="1"/>
  <c r="GT33" i="2" a="1"/>
  <c r="GT33" i="2" s="1"/>
  <c r="FD60" i="2" a="1"/>
  <c r="FD60" i="2" s="1"/>
  <c r="FD59" i="2" a="1"/>
  <c r="FD59" i="2" s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<sst xmlns="http://schemas.openxmlformats.org/spreadsheetml/2006/main" count="1179" uniqueCount="324">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</sst>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523.12924541243819</c:v>
                </c:pt>
                <c:pt idx="117">
                  <c:v>523.12924541243819</c:v>
                </c:pt>
                <c:pt idx="118">
                  <c:v>523.12924541243819</c:v>
                </c:pt>
                <c:pt idx="119">
                  <c:v>523.12924541243819</c:v>
                </c:pt>
                <c:pt idx="120">
                  <c:v>523.12924541243819</c:v>
                </c:pt>
                <c:pt idx="121">
                  <c:v>523.12924541243819</c:v>
                </c:pt>
                <c:pt idx="122">
                  <c:v>523.12924541243819</c:v>
                </c:pt>
                <c:pt idx="123">
                  <c:v>523.12924541243819</c:v>
                </c:pt>
                <c:pt idx="124">
                  <c:v>523.12924541243819</c:v>
                </c:pt>
                <c:pt idx="125">
                  <c:v>523.12924541243819</c:v>
                </c:pt>
                <c:pt idx="126">
                  <c:v>523.12924541243819</c:v>
                </c:pt>
                <c:pt idx="127">
                  <c:v>523.12924541243819</c:v>
                </c:pt>
                <c:pt idx="128">
                  <c:v>523.12924541243819</c:v>
                </c:pt>
                <c:pt idx="129">
                  <c:v>523.12924541243819</c:v>
                </c:pt>
                <c:pt idx="130">
                  <c:v>523.12924541243819</c:v>
                </c:pt>
                <c:pt idx="131">
                  <c:v>523.12924541243819</c:v>
                </c:pt>
                <c:pt idx="132">
                  <c:v>523.12924541243819</c:v>
                </c:pt>
                <c:pt idx="133">
                  <c:v>523.12924541243819</c:v>
                </c:pt>
                <c:pt idx="134">
                  <c:v>523.12924541243819</c:v>
                </c:pt>
                <c:pt idx="135">
                  <c:v>523.12924541243819</c:v>
                </c:pt>
                <c:pt idx="136">
                  <c:v>523.12924541243819</c:v>
                </c:pt>
                <c:pt idx="137">
                  <c:v>523.12924541243819</c:v>
                </c:pt>
                <c:pt idx="138">
                  <c:v>523.12924541243819</c:v>
                </c:pt>
                <c:pt idx="139">
                  <c:v>523.12924541243819</c:v>
                </c:pt>
                <c:pt idx="140">
                  <c:v>523.12924541243819</c:v>
                </c:pt>
                <c:pt idx="141">
                  <c:v>523.12924541243819</c:v>
                </c:pt>
                <c:pt idx="142">
                  <c:v>523.12924541243819</c:v>
                </c:pt>
                <c:pt idx="143">
                  <c:v>523.12924541243819</c:v>
                </c:pt>
                <c:pt idx="144">
                  <c:v>523.12924541243819</c:v>
                </c:pt>
                <c:pt idx="145">
                  <c:v>523.12924541243819</c:v>
                </c:pt>
                <c:pt idx="146">
                  <c:v>523.12924541243819</c:v>
                </c:pt>
                <c:pt idx="147">
                  <c:v>523.12924541243819</c:v>
                </c:pt>
                <c:pt idx="148">
                  <c:v>523.12924541243819</c:v>
                </c:pt>
                <c:pt idx="149">
                  <c:v>523.12924541243819</c:v>
                </c:pt>
                <c:pt idx="150">
                  <c:v>523.12924541243819</c:v>
                </c:pt>
                <c:pt idx="151">
                  <c:v>523.12924541243819</c:v>
                </c:pt>
                <c:pt idx="152">
                  <c:v>523.12924541243819</c:v>
                </c:pt>
                <c:pt idx="153">
                  <c:v>523.12924541243819</c:v>
                </c:pt>
                <c:pt idx="154">
                  <c:v>523.12924541243819</c:v>
                </c:pt>
                <c:pt idx="155">
                  <c:v>523.12924541243819</c:v>
                </c:pt>
                <c:pt idx="156">
                  <c:v>523.12924541243819</c:v>
                </c:pt>
                <c:pt idx="157">
                  <c:v>523.12924541243819</c:v>
                </c:pt>
                <c:pt idx="158">
                  <c:v>523.12924541243819</c:v>
                </c:pt>
                <c:pt idx="159">
                  <c:v>523.12924541243819</c:v>
                </c:pt>
                <c:pt idx="160">
                  <c:v>523.12924541243819</c:v>
                </c:pt>
                <c:pt idx="161">
                  <c:v>523.12924541243819</c:v>
                </c:pt>
                <c:pt idx="162">
                  <c:v>523.12924541243819</c:v>
                </c:pt>
                <c:pt idx="163">
                  <c:v>523.12924541243819</c:v>
                </c:pt>
                <c:pt idx="164">
                  <c:v>523.12924541243819</c:v>
                </c:pt>
                <c:pt idx="165">
                  <c:v>523.12924541243819</c:v>
                </c:pt>
                <c:pt idx="166">
                  <c:v>523.12924541243819</c:v>
                </c:pt>
                <c:pt idx="167">
                  <c:v>523.12924541243819</c:v>
                </c:pt>
                <c:pt idx="168">
                  <c:v>523.12924541243819</c:v>
                </c:pt>
                <c:pt idx="169">
                  <c:v>523.12924541243819</c:v>
                </c:pt>
                <c:pt idx="170">
                  <c:v>523.12924541243819</c:v>
                </c:pt>
                <c:pt idx="171">
                  <c:v>523.12924541243819</c:v>
                </c:pt>
                <c:pt idx="172">
                  <c:v>523.12924541243819</c:v>
                </c:pt>
                <c:pt idx="173">
                  <c:v>523.12924541243819</c:v>
                </c:pt>
                <c:pt idx="174">
                  <c:v>523.12924541243819</c:v>
                </c:pt>
                <c:pt idx="175">
                  <c:v>523.12924541243819</c:v>
                </c:pt>
                <c:pt idx="176">
                  <c:v>523.12924541243819</c:v>
                </c:pt>
                <c:pt idx="177">
                  <c:v>523.12924541243819</c:v>
                </c:pt>
                <c:pt idx="178">
                  <c:v>523.12924541243819</c:v>
                </c:pt>
                <c:pt idx="179">
                  <c:v>523.12924541243819</c:v>
                </c:pt>
                <c:pt idx="180">
                  <c:v>523.12924541243819</c:v>
                </c:pt>
                <c:pt idx="181">
                  <c:v>523.12924541243819</c:v>
                </c:pt>
                <c:pt idx="182">
                  <c:v>523.12924541243819</c:v>
                </c:pt>
                <c:pt idx="183">
                  <c:v>523.12924541243819</c:v>
                </c:pt>
                <c:pt idx="184">
                  <c:v>523.12924541243819</c:v>
                </c:pt>
                <c:pt idx="185">
                  <c:v>523.12924541243819</c:v>
                </c:pt>
                <c:pt idx="186">
                  <c:v>523.12924541243819</c:v>
                </c:pt>
                <c:pt idx="187">
                  <c:v>523.12924541243819</c:v>
                </c:pt>
                <c:pt idx="188">
                  <c:v>523.12924541243819</c:v>
                </c:pt>
                <c:pt idx="189">
                  <c:v>523.12924541243819</c:v>
                </c:pt>
                <c:pt idx="190">
                  <c:v>523.12924541243819</c:v>
                </c:pt>
                <c:pt idx="191">
                  <c:v>523.12924541243819</c:v>
                </c:pt>
                <c:pt idx="192">
                  <c:v>523.12924541243819</c:v>
                </c:pt>
                <c:pt idx="193">
                  <c:v>523.12924541243819</c:v>
                </c:pt>
                <c:pt idx="194">
                  <c:v>523.12924541243819</c:v>
                </c:pt>
                <c:pt idx="195">
                  <c:v>523.12924541243819</c:v>
                </c:pt>
                <c:pt idx="196">
                  <c:v>523.12924541243819</c:v>
                </c:pt>
                <c:pt idx="197">
                  <c:v>523.12924541243819</c:v>
                </c:pt>
                <c:pt idx="198">
                  <c:v>523.12924541243819</c:v>
                </c:pt>
                <c:pt idx="199">
                  <c:v>523.12924541243819</c:v>
                </c:pt>
                <c:pt idx="200">
                  <c:v>523.12924541243819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1.5987366850414757</c:v>
                </c:pt>
                <c:pt idx="2">
                  <c:v>2.031915144097074</c:v>
                </c:pt>
                <c:pt idx="3">
                  <c:v>2.5829373415132024</c:v>
                </c:pt>
                <c:pt idx="4">
                  <c:v>3.2839838749872139</c:v>
                </c:pt>
                <c:pt idx="5">
                  <c:v>4.1760543966928143</c:v>
                </c:pt>
                <c:pt idx="6">
                  <c:v>5.3113924333226992</c:v>
                </c:pt>
                <c:pt idx="7">
                  <c:v>6.7565789427000071</c:v>
                </c:pt>
                <c:pt idx="8">
                  <c:v>8.5964795502348839</c:v>
                </c:pt>
                <c:pt idx="9">
                  <c:v>10.939281685529744</c:v>
                </c:pt>
                <c:pt idx="10">
                  <c:v>13.922923366149695</c:v>
                </c:pt>
                <c:pt idx="11">
                  <c:v>17.723299120127415</c:v>
                </c:pt>
                <c:pt idx="12">
                  <c:v>22.564735576406374</c:v>
                </c:pt>
                <c:pt idx="13">
                  <c:v>28.73336607485551</c:v>
                </c:pt>
                <c:pt idx="14">
                  <c:v>36.594208558874321</c:v>
                </c:pt>
                <c:pt idx="15">
                  <c:v>46.612974637385626</c:v>
                </c:pt>
                <c:pt idx="16">
                  <c:v>71.049293972183236</c:v>
                </c:pt>
                <c:pt idx="17">
                  <c:v>95.266663985253032</c:v>
                </c:pt>
                <c:pt idx="18">
                  <c:v>119.32948940124516</c:v>
                </c:pt>
                <c:pt idx="19">
                  <c:v>143.27355550168537</c:v>
                </c:pt>
                <c:pt idx="20">
                  <c:v>167.12157714245117</c:v>
                </c:pt>
                <c:pt idx="21">
                  <c:v>172.3402093834861</c:v>
                </c:pt>
                <c:pt idx="22">
                  <c:v>200.45959776376492</c:v>
                </c:pt>
                <c:pt idx="23">
                  <c:v>228.48746894478305</c:v>
                </c:pt>
                <c:pt idx="24">
                  <c:v>256.43663227856774</c:v>
                </c:pt>
                <c:pt idx="25">
                  <c:v>284.31687104387396</c:v>
                </c:pt>
                <c:pt idx="26">
                  <c:v>241.53955398102039</c:v>
                </c:pt>
                <c:pt idx="27">
                  <c:v>271.1076361499621</c:v>
                </c:pt>
                <c:pt idx="28">
                  <c:v>300.60315226414974</c:v>
                </c:pt>
                <c:pt idx="29">
                  <c:v>330.03421910653577</c:v>
                </c:pt>
                <c:pt idx="30">
                  <c:v>359.40738703512096</c:v>
                </c:pt>
                <c:pt idx="31">
                  <c:v>316.45821001056356</c:v>
                </c:pt>
                <c:pt idx="32">
                  <c:v>345.44658179087588</c:v>
                </c:pt>
                <c:pt idx="33">
                  <c:v>374.38153564794152</c:v>
                </c:pt>
                <c:pt idx="34">
                  <c:v>403.26777615321726</c:v>
                </c:pt>
                <c:pt idx="35">
                  <c:v>432.10927922791484</c:v>
                </c:pt>
                <c:pt idx="36">
                  <c:v>388.52318023690344</c:v>
                </c:pt>
                <c:pt idx="37">
                  <c:v>416.5688449305373</c:v>
                </c:pt>
                <c:pt idx="38">
                  <c:v>444.57381745215912</c:v>
                </c:pt>
                <c:pt idx="39">
                  <c:v>472.54101846174029</c:v>
                </c:pt>
                <c:pt idx="40">
                  <c:v>500.4729950101364</c:v>
                </c:pt>
                <c:pt idx="41">
                  <c:v>455.60174675120015</c:v>
                </c:pt>
                <c:pt idx="42">
                  <c:v>482.12737180697349</c:v>
                </c:pt>
                <c:pt idx="43">
                  <c:v>508.62200264492884</c:v>
                </c:pt>
                <c:pt idx="44">
                  <c:v>535.087478892229</c:v>
                </c:pt>
                <c:pt idx="45">
                  <c:v>561.52544355316797</c:v>
                </c:pt>
                <c:pt idx="46">
                  <c:v>515.34285488276453</c:v>
                </c:pt>
                <c:pt idx="47">
                  <c:v>540.37722328306984</c:v>
                </c:pt>
                <c:pt idx="48">
                  <c:v>565.3872398388736</c:v>
                </c:pt>
                <c:pt idx="49">
                  <c:v>590.3741320104258</c:v>
                </c:pt>
                <c:pt idx="50">
                  <c:v>615.33901500195941</c:v>
                </c:pt>
                <c:pt idx="51">
                  <c:v>568.02920344884922</c:v>
                </c:pt>
                <c:pt idx="52">
                  <c:v>591.7954783014186</c:v>
                </c:pt>
                <c:pt idx="53">
                  <c:v>615.54189418702106</c:v>
                </c:pt>
                <c:pt idx="54">
                  <c:v>639.26932412535155</c:v>
                </c:pt>
                <c:pt idx="55">
                  <c:v>662.97857112064855</c:v>
                </c:pt>
                <c:pt idx="56">
                  <c:v>616.75914019863114</c:v>
                </c:pt>
                <c:pt idx="57">
                  <c:v>639.47204320547678</c:v>
                </c:pt>
                <c:pt idx="58">
                  <c:v>662.16829058950032</c:v>
                </c:pt>
                <c:pt idx="59">
                  <c:v>684.84853291051604</c:v>
                </c:pt>
                <c:pt idx="60">
                  <c:v>707.51337417674677</c:v>
                </c:pt>
                <c:pt idx="61">
                  <c:v>668.04236380157374</c:v>
                </c:pt>
                <c:pt idx="62">
                  <c:v>689.30175252594461</c:v>
                </c:pt>
                <c:pt idx="63">
                  <c:v>710.54770536810656</c:v>
                </c:pt>
                <c:pt idx="64">
                  <c:v>731.78068016769384</c:v>
                </c:pt>
                <c:pt idx="65">
                  <c:v>753.00110606045848</c:v>
                </c:pt>
                <c:pt idx="66">
                  <c:v>716.21108273762923</c:v>
                </c:pt>
                <c:pt idx="67">
                  <c:v>736.0257560015815</c:v>
                </c:pt>
                <c:pt idx="68">
                  <c:v>755.8295699796771</c:v>
                </c:pt>
                <c:pt idx="69">
                  <c:v>775.62284894664651</c:v>
                </c:pt>
                <c:pt idx="70">
                  <c:v>795.40589929648911</c:v>
                </c:pt>
                <c:pt idx="71">
                  <c:v>758.85982850877235</c:v>
                </c:pt>
                <c:pt idx="72">
                  <c:v>776.83434703540786</c:v>
                </c:pt>
                <c:pt idx="73">
                  <c:v>794.80044461879731</c:v>
                </c:pt>
                <c:pt idx="74">
                  <c:v>812.75833821837352</c:v>
                </c:pt>
                <c:pt idx="75">
                  <c:v>830.70823443499</c:v>
                </c:pt>
                <c:pt idx="76">
                  <c:v>795.60771545255238</c:v>
                </c:pt>
                <c:pt idx="77">
                  <c:v>812.9600664923147</c:v>
                </c:pt>
                <c:pt idx="78">
                  <c:v>830.30495237656078</c:v>
                </c:pt>
                <c:pt idx="79">
                  <c:v>847.64255084921831</c:v>
                </c:pt>
                <c:pt idx="80">
                  <c:v>864.9730317983616</c:v>
                </c:pt>
                <c:pt idx="81">
                  <c:v>813.56524525974601</c:v>
                </c:pt>
                <c:pt idx="82">
                  <c:v>813.56524525974601</c:v>
                </c:pt>
                <c:pt idx="83">
                  <c:v>813.56524525974601</c:v>
                </c:pt>
                <c:pt idx="84">
                  <c:v>813.56524525974601</c:v>
                </c:pt>
                <c:pt idx="85">
                  <c:v>813.56524525974601</c:v>
                </c:pt>
                <c:pt idx="86">
                  <c:v>813.56524525974601</c:v>
                </c:pt>
                <c:pt idx="87">
                  <c:v>813.56524525974601</c:v>
                </c:pt>
                <c:pt idx="88">
                  <c:v>813.56524525974601</c:v>
                </c:pt>
                <c:pt idx="89">
                  <c:v>813.56524525974601</c:v>
                </c:pt>
                <c:pt idx="90">
                  <c:v>813.56524525974601</c:v>
                </c:pt>
                <c:pt idx="91">
                  <c:v>813.56524525974601</c:v>
                </c:pt>
                <c:pt idx="92">
                  <c:v>813.56524525974601</c:v>
                </c:pt>
                <c:pt idx="93">
                  <c:v>813.56524525974601</c:v>
                </c:pt>
                <c:pt idx="94">
                  <c:v>813.56524525974601</c:v>
                </c:pt>
                <c:pt idx="95">
                  <c:v>813.56524525974601</c:v>
                </c:pt>
                <c:pt idx="96">
                  <c:v>813.56524525974601</c:v>
                </c:pt>
                <c:pt idx="97">
                  <c:v>813.56524525974601</c:v>
                </c:pt>
                <c:pt idx="98">
                  <c:v>813.56524525974601</c:v>
                </c:pt>
                <c:pt idx="99">
                  <c:v>813.56524525974601</c:v>
                </c:pt>
                <c:pt idx="100">
                  <c:v>813.56524525974601</c:v>
                </c:pt>
                <c:pt idx="101">
                  <c:v>813.56524525974601</c:v>
                </c:pt>
                <c:pt idx="102">
                  <c:v>813.56524525974601</c:v>
                </c:pt>
                <c:pt idx="103">
                  <c:v>813.56524525974601</c:v>
                </c:pt>
                <c:pt idx="104">
                  <c:v>813.56524525974601</c:v>
                </c:pt>
                <c:pt idx="105">
                  <c:v>813.56524525974601</c:v>
                </c:pt>
                <c:pt idx="106">
                  <c:v>813.56524525974601</c:v>
                </c:pt>
                <c:pt idx="107">
                  <c:v>813.56524525974601</c:v>
                </c:pt>
                <c:pt idx="108">
                  <c:v>813.56524525974601</c:v>
                </c:pt>
                <c:pt idx="109">
                  <c:v>813.56524525974601</c:v>
                </c:pt>
                <c:pt idx="110">
                  <c:v>813.56524525974601</c:v>
                </c:pt>
                <c:pt idx="111">
                  <c:v>813.56524525974601</c:v>
                </c:pt>
                <c:pt idx="112">
                  <c:v>813.56524525974601</c:v>
                </c:pt>
                <c:pt idx="113">
                  <c:v>813.56524525974601</c:v>
                </c:pt>
                <c:pt idx="114">
                  <c:v>813.56524525974601</c:v>
                </c:pt>
                <c:pt idx="115">
                  <c:v>813.56524525974601</c:v>
                </c:pt>
                <c:pt idx="116">
                  <c:v>813.56524525974601</c:v>
                </c:pt>
                <c:pt idx="117">
                  <c:v>813.56524525974601</c:v>
                </c:pt>
                <c:pt idx="118">
                  <c:v>813.56524525974601</c:v>
                </c:pt>
                <c:pt idx="119">
                  <c:v>813.56524525974601</c:v>
                </c:pt>
                <c:pt idx="120">
                  <c:v>813.56524525974601</c:v>
                </c:pt>
                <c:pt idx="121">
                  <c:v>813.56524525974601</c:v>
                </c:pt>
                <c:pt idx="122">
                  <c:v>813.56524525974601</c:v>
                </c:pt>
                <c:pt idx="123">
                  <c:v>813.56524525974601</c:v>
                </c:pt>
                <c:pt idx="124">
                  <c:v>813.56524525974601</c:v>
                </c:pt>
                <c:pt idx="125">
                  <c:v>813.56524525974601</c:v>
                </c:pt>
                <c:pt idx="126">
                  <c:v>813.56524525974601</c:v>
                </c:pt>
                <c:pt idx="127">
                  <c:v>813.56524525974601</c:v>
                </c:pt>
                <c:pt idx="128">
                  <c:v>813.56524525974601</c:v>
                </c:pt>
                <c:pt idx="129">
                  <c:v>813.56524525974601</c:v>
                </c:pt>
                <c:pt idx="130">
                  <c:v>813.56524525974601</c:v>
                </c:pt>
                <c:pt idx="131">
                  <c:v>813.56524525974601</c:v>
                </c:pt>
                <c:pt idx="132">
                  <c:v>813.56524525974601</c:v>
                </c:pt>
                <c:pt idx="133">
                  <c:v>813.56524525974601</c:v>
                </c:pt>
                <c:pt idx="134">
                  <c:v>813.56524525974601</c:v>
                </c:pt>
                <c:pt idx="135">
                  <c:v>813.56524525974601</c:v>
                </c:pt>
                <c:pt idx="136">
                  <c:v>813.56524525974601</c:v>
                </c:pt>
                <c:pt idx="137">
                  <c:v>813.56524525974601</c:v>
                </c:pt>
                <c:pt idx="138">
                  <c:v>813.56524525974601</c:v>
                </c:pt>
                <c:pt idx="139">
                  <c:v>813.56524525974601</c:v>
                </c:pt>
                <c:pt idx="140">
                  <c:v>813.56524525974601</c:v>
                </c:pt>
                <c:pt idx="141">
                  <c:v>813.56524525974601</c:v>
                </c:pt>
                <c:pt idx="142">
                  <c:v>813.56524525974601</c:v>
                </c:pt>
                <c:pt idx="143">
                  <c:v>813.56524525974601</c:v>
                </c:pt>
                <c:pt idx="144">
                  <c:v>813.56524525974601</c:v>
                </c:pt>
                <c:pt idx="145">
                  <c:v>813.56524525974601</c:v>
                </c:pt>
                <c:pt idx="146">
                  <c:v>813.56524525974601</c:v>
                </c:pt>
                <c:pt idx="147">
                  <c:v>813.56524525974601</c:v>
                </c:pt>
                <c:pt idx="148">
                  <c:v>813.56524525974601</c:v>
                </c:pt>
                <c:pt idx="149">
                  <c:v>813.56524525974601</c:v>
                </c:pt>
                <c:pt idx="150">
                  <c:v>813.56524525974601</c:v>
                </c:pt>
                <c:pt idx="151">
                  <c:v>813.56524525974601</c:v>
                </c:pt>
                <c:pt idx="152">
                  <c:v>813.56524525974601</c:v>
                </c:pt>
                <c:pt idx="153">
                  <c:v>813.56524525974601</c:v>
                </c:pt>
                <c:pt idx="154">
                  <c:v>813.56524525974601</c:v>
                </c:pt>
                <c:pt idx="155">
                  <c:v>813.56524525974601</c:v>
                </c:pt>
                <c:pt idx="156">
                  <c:v>813.56524525974601</c:v>
                </c:pt>
                <c:pt idx="157">
                  <c:v>813.56524525974601</c:v>
                </c:pt>
                <c:pt idx="158">
                  <c:v>813.56524525974601</c:v>
                </c:pt>
                <c:pt idx="159">
                  <c:v>813.56524525974601</c:v>
                </c:pt>
                <c:pt idx="160">
                  <c:v>813.56524525974601</c:v>
                </c:pt>
                <c:pt idx="161">
                  <c:v>813.56524525974601</c:v>
                </c:pt>
                <c:pt idx="162">
                  <c:v>813.56524525974601</c:v>
                </c:pt>
                <c:pt idx="163">
                  <c:v>813.56524525974601</c:v>
                </c:pt>
                <c:pt idx="164">
                  <c:v>813.56524525974601</c:v>
                </c:pt>
                <c:pt idx="165">
                  <c:v>813.56524525974601</c:v>
                </c:pt>
                <c:pt idx="166">
                  <c:v>813.56524525974601</c:v>
                </c:pt>
                <c:pt idx="167">
                  <c:v>813.56524525974601</c:v>
                </c:pt>
                <c:pt idx="168">
                  <c:v>813.56524525974601</c:v>
                </c:pt>
                <c:pt idx="169">
                  <c:v>813.56524525974601</c:v>
                </c:pt>
                <c:pt idx="170">
                  <c:v>813.56524525974601</c:v>
                </c:pt>
                <c:pt idx="171">
                  <c:v>813.56524525974601</c:v>
                </c:pt>
                <c:pt idx="172">
                  <c:v>813.56524525974601</c:v>
                </c:pt>
                <c:pt idx="173">
                  <c:v>813.56524525974601</c:v>
                </c:pt>
                <c:pt idx="174">
                  <c:v>813.56524525974601</c:v>
                </c:pt>
                <c:pt idx="175">
                  <c:v>813.56524525974601</c:v>
                </c:pt>
                <c:pt idx="176">
                  <c:v>813.56524525974601</c:v>
                </c:pt>
                <c:pt idx="177">
                  <c:v>813.56524525974601</c:v>
                </c:pt>
                <c:pt idx="178">
                  <c:v>813.56524525974601</c:v>
                </c:pt>
                <c:pt idx="179">
                  <c:v>813.56524525974601</c:v>
                </c:pt>
                <c:pt idx="180">
                  <c:v>813.56524525974601</c:v>
                </c:pt>
                <c:pt idx="181">
                  <c:v>813.56524525974601</c:v>
                </c:pt>
                <c:pt idx="182">
                  <c:v>813.56524525974601</c:v>
                </c:pt>
                <c:pt idx="183">
                  <c:v>813.56524525974601</c:v>
                </c:pt>
                <c:pt idx="184">
                  <c:v>813.56524525974601</c:v>
                </c:pt>
                <c:pt idx="185">
                  <c:v>813.56524525974601</c:v>
                </c:pt>
                <c:pt idx="186">
                  <c:v>813.56524525974601</c:v>
                </c:pt>
                <c:pt idx="187">
                  <c:v>813.56524525974601</c:v>
                </c:pt>
                <c:pt idx="188">
                  <c:v>813.56524525974601</c:v>
                </c:pt>
                <c:pt idx="189">
                  <c:v>813.56524525974601</c:v>
                </c:pt>
                <c:pt idx="190">
                  <c:v>813.56524525974601</c:v>
                </c:pt>
                <c:pt idx="191">
                  <c:v>813.56524525974601</c:v>
                </c:pt>
                <c:pt idx="192">
                  <c:v>813.56524525974601</c:v>
                </c:pt>
                <c:pt idx="193">
                  <c:v>813.56524525974601</c:v>
                </c:pt>
                <c:pt idx="194">
                  <c:v>813.56524525974601</c:v>
                </c:pt>
                <c:pt idx="195">
                  <c:v>813.56524525974601</c:v>
                </c:pt>
                <c:pt idx="196">
                  <c:v>813.56524525974601</c:v>
                </c:pt>
                <c:pt idx="197">
                  <c:v>813.56524525974601</c:v>
                </c:pt>
                <c:pt idx="198">
                  <c:v>813.56524525974601</c:v>
                </c:pt>
                <c:pt idx="199">
                  <c:v>813.56524525974601</c:v>
                </c:pt>
                <c:pt idx="200">
                  <c:v>813.56524525974601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764.41193582037283</c:v>
                </c:pt>
                <c:pt idx="62">
                  <c:v>764.41193582037283</c:v>
                </c:pt>
                <c:pt idx="63">
                  <c:v>764.41193582037283</c:v>
                </c:pt>
                <c:pt idx="64">
                  <c:v>764.41193582037283</c:v>
                </c:pt>
                <c:pt idx="65">
                  <c:v>764.41193582037283</c:v>
                </c:pt>
                <c:pt idx="66">
                  <c:v>764.41193582037283</c:v>
                </c:pt>
                <c:pt idx="67">
                  <c:v>764.41193582037283</c:v>
                </c:pt>
                <c:pt idx="68">
                  <c:v>764.41193582037283</c:v>
                </c:pt>
                <c:pt idx="69">
                  <c:v>764.41193582037283</c:v>
                </c:pt>
                <c:pt idx="70">
                  <c:v>764.41193582037283</c:v>
                </c:pt>
                <c:pt idx="71">
                  <c:v>764.41193582037283</c:v>
                </c:pt>
                <c:pt idx="72">
                  <c:v>764.41193582037283</c:v>
                </c:pt>
                <c:pt idx="73">
                  <c:v>764.41193582037283</c:v>
                </c:pt>
                <c:pt idx="74">
                  <c:v>764.41193582037283</c:v>
                </c:pt>
                <c:pt idx="75">
                  <c:v>764.41193582037283</c:v>
                </c:pt>
                <c:pt idx="76">
                  <c:v>764.41193582037283</c:v>
                </c:pt>
                <c:pt idx="77">
                  <c:v>764.41193582037283</c:v>
                </c:pt>
                <c:pt idx="78">
                  <c:v>764.41193582037283</c:v>
                </c:pt>
                <c:pt idx="79">
                  <c:v>764.41193582037283</c:v>
                </c:pt>
                <c:pt idx="80">
                  <c:v>764.41193582037283</c:v>
                </c:pt>
                <c:pt idx="81">
                  <c:v>764.41193582037283</c:v>
                </c:pt>
                <c:pt idx="82">
                  <c:v>764.41193582037283</c:v>
                </c:pt>
                <c:pt idx="83">
                  <c:v>764.41193582037283</c:v>
                </c:pt>
                <c:pt idx="84">
                  <c:v>764.41193582037283</c:v>
                </c:pt>
                <c:pt idx="85">
                  <c:v>764.41193582037283</c:v>
                </c:pt>
                <c:pt idx="86">
                  <c:v>764.41193582037283</c:v>
                </c:pt>
                <c:pt idx="87">
                  <c:v>764.41193582037283</c:v>
                </c:pt>
                <c:pt idx="88">
                  <c:v>764.41193582037283</c:v>
                </c:pt>
                <c:pt idx="89">
                  <c:v>764.41193582037283</c:v>
                </c:pt>
                <c:pt idx="90">
                  <c:v>764.41193582037283</c:v>
                </c:pt>
                <c:pt idx="91">
                  <c:v>764.41193582037283</c:v>
                </c:pt>
                <c:pt idx="92">
                  <c:v>764.41193582037283</c:v>
                </c:pt>
                <c:pt idx="93">
                  <c:v>764.41193582037283</c:v>
                </c:pt>
                <c:pt idx="94">
                  <c:v>764.41193582037283</c:v>
                </c:pt>
                <c:pt idx="95">
                  <c:v>764.41193582037283</c:v>
                </c:pt>
                <c:pt idx="96">
                  <c:v>764.41193582037283</c:v>
                </c:pt>
                <c:pt idx="97">
                  <c:v>764.41193582037283</c:v>
                </c:pt>
                <c:pt idx="98">
                  <c:v>764.41193582037283</c:v>
                </c:pt>
                <c:pt idx="99">
                  <c:v>764.41193582037283</c:v>
                </c:pt>
                <c:pt idx="100">
                  <c:v>764.41193582037283</c:v>
                </c:pt>
                <c:pt idx="101">
                  <c:v>764.41193582037283</c:v>
                </c:pt>
                <c:pt idx="102">
                  <c:v>764.41193582037283</c:v>
                </c:pt>
                <c:pt idx="103">
                  <c:v>764.41193582037283</c:v>
                </c:pt>
                <c:pt idx="104">
                  <c:v>764.41193582037283</c:v>
                </c:pt>
                <c:pt idx="105">
                  <c:v>764.41193582037283</c:v>
                </c:pt>
                <c:pt idx="106">
                  <c:v>764.41193582037283</c:v>
                </c:pt>
                <c:pt idx="107">
                  <c:v>764.41193582037283</c:v>
                </c:pt>
                <c:pt idx="108">
                  <c:v>764.41193582037283</c:v>
                </c:pt>
                <c:pt idx="109">
                  <c:v>764.41193582037283</c:v>
                </c:pt>
                <c:pt idx="110">
                  <c:v>764.41193582037283</c:v>
                </c:pt>
                <c:pt idx="111">
                  <c:v>764.41193582037283</c:v>
                </c:pt>
                <c:pt idx="112">
                  <c:v>764.41193582037283</c:v>
                </c:pt>
                <c:pt idx="113">
                  <c:v>764.41193582037283</c:v>
                </c:pt>
                <c:pt idx="114">
                  <c:v>764.41193582037283</c:v>
                </c:pt>
                <c:pt idx="115">
                  <c:v>764.41193582037283</c:v>
                </c:pt>
                <c:pt idx="116">
                  <c:v>764.41193582037283</c:v>
                </c:pt>
                <c:pt idx="117">
                  <c:v>764.41193582037283</c:v>
                </c:pt>
                <c:pt idx="118">
                  <c:v>764.41193582037283</c:v>
                </c:pt>
                <c:pt idx="119">
                  <c:v>764.41193582037283</c:v>
                </c:pt>
                <c:pt idx="120">
                  <c:v>764.41193582037283</c:v>
                </c:pt>
                <c:pt idx="121">
                  <c:v>764.41193582037283</c:v>
                </c:pt>
                <c:pt idx="122">
                  <c:v>764.41193582037283</c:v>
                </c:pt>
                <c:pt idx="123">
                  <c:v>764.41193582037283</c:v>
                </c:pt>
                <c:pt idx="124">
                  <c:v>764.41193582037283</c:v>
                </c:pt>
                <c:pt idx="125">
                  <c:v>764.41193582037283</c:v>
                </c:pt>
                <c:pt idx="126">
                  <c:v>764.41193582037283</c:v>
                </c:pt>
                <c:pt idx="127">
                  <c:v>764.41193582037283</c:v>
                </c:pt>
                <c:pt idx="128">
                  <c:v>764.41193582037283</c:v>
                </c:pt>
                <c:pt idx="129">
                  <c:v>764.41193582037283</c:v>
                </c:pt>
                <c:pt idx="130">
                  <c:v>764.41193582037283</c:v>
                </c:pt>
                <c:pt idx="131">
                  <c:v>764.41193582037283</c:v>
                </c:pt>
                <c:pt idx="132">
                  <c:v>764.41193582037283</c:v>
                </c:pt>
                <c:pt idx="133">
                  <c:v>764.41193582037283</c:v>
                </c:pt>
                <c:pt idx="134">
                  <c:v>764.41193582037283</c:v>
                </c:pt>
                <c:pt idx="135">
                  <c:v>764.41193582037283</c:v>
                </c:pt>
                <c:pt idx="136">
                  <c:v>764.41193582037283</c:v>
                </c:pt>
                <c:pt idx="137">
                  <c:v>764.41193582037283</c:v>
                </c:pt>
                <c:pt idx="138">
                  <c:v>764.41193582037283</c:v>
                </c:pt>
                <c:pt idx="139">
                  <c:v>764.41193582037283</c:v>
                </c:pt>
                <c:pt idx="140">
                  <c:v>764.41193582037283</c:v>
                </c:pt>
                <c:pt idx="141">
                  <c:v>764.41193582037283</c:v>
                </c:pt>
                <c:pt idx="142">
                  <c:v>764.41193582037283</c:v>
                </c:pt>
                <c:pt idx="143">
                  <c:v>764.41193582037283</c:v>
                </c:pt>
                <c:pt idx="144">
                  <c:v>764.41193582037283</c:v>
                </c:pt>
                <c:pt idx="145">
                  <c:v>764.41193582037283</c:v>
                </c:pt>
                <c:pt idx="146">
                  <c:v>764.41193582037283</c:v>
                </c:pt>
                <c:pt idx="147">
                  <c:v>764.41193582037283</c:v>
                </c:pt>
                <c:pt idx="148">
                  <c:v>764.41193582037283</c:v>
                </c:pt>
                <c:pt idx="149">
                  <c:v>764.41193582037283</c:v>
                </c:pt>
                <c:pt idx="150">
                  <c:v>764.41193582037283</c:v>
                </c:pt>
                <c:pt idx="151">
                  <c:v>764.41193582037283</c:v>
                </c:pt>
                <c:pt idx="152">
                  <c:v>764.41193582037283</c:v>
                </c:pt>
                <c:pt idx="153">
                  <c:v>764.41193582037283</c:v>
                </c:pt>
                <c:pt idx="154">
                  <c:v>764.41193582037283</c:v>
                </c:pt>
                <c:pt idx="155">
                  <c:v>764.41193582037283</c:v>
                </c:pt>
                <c:pt idx="156">
                  <c:v>764.41193582037283</c:v>
                </c:pt>
                <c:pt idx="157">
                  <c:v>764.41193582037283</c:v>
                </c:pt>
                <c:pt idx="158">
                  <c:v>764.41193582037283</c:v>
                </c:pt>
                <c:pt idx="159">
                  <c:v>764.41193582037283</c:v>
                </c:pt>
                <c:pt idx="160">
                  <c:v>764.41193582037283</c:v>
                </c:pt>
                <c:pt idx="161">
                  <c:v>764.41193582037283</c:v>
                </c:pt>
                <c:pt idx="162">
                  <c:v>764.41193582037283</c:v>
                </c:pt>
                <c:pt idx="163">
                  <c:v>764.41193582037283</c:v>
                </c:pt>
                <c:pt idx="164">
                  <c:v>764.41193582037283</c:v>
                </c:pt>
                <c:pt idx="165">
                  <c:v>764.41193582037283</c:v>
                </c:pt>
                <c:pt idx="166">
                  <c:v>764.41193582037283</c:v>
                </c:pt>
                <c:pt idx="167">
                  <c:v>764.41193582037283</c:v>
                </c:pt>
                <c:pt idx="168">
                  <c:v>764.41193582037283</c:v>
                </c:pt>
                <c:pt idx="169">
                  <c:v>764.41193582037283</c:v>
                </c:pt>
                <c:pt idx="170">
                  <c:v>764.41193582037283</c:v>
                </c:pt>
                <c:pt idx="171">
                  <c:v>764.41193582037283</c:v>
                </c:pt>
                <c:pt idx="172">
                  <c:v>764.41193582037283</c:v>
                </c:pt>
                <c:pt idx="173">
                  <c:v>764.41193582037283</c:v>
                </c:pt>
                <c:pt idx="174">
                  <c:v>764.41193582037283</c:v>
                </c:pt>
                <c:pt idx="175">
                  <c:v>764.41193582037283</c:v>
                </c:pt>
                <c:pt idx="176">
                  <c:v>764.41193582037283</c:v>
                </c:pt>
                <c:pt idx="177">
                  <c:v>764.41193582037283</c:v>
                </c:pt>
                <c:pt idx="178">
                  <c:v>764.41193582037283</c:v>
                </c:pt>
                <c:pt idx="179">
                  <c:v>764.41193582037283</c:v>
                </c:pt>
                <c:pt idx="180">
                  <c:v>764.41193582037283</c:v>
                </c:pt>
                <c:pt idx="181">
                  <c:v>764.41193582037283</c:v>
                </c:pt>
                <c:pt idx="182">
                  <c:v>764.41193582037283</c:v>
                </c:pt>
                <c:pt idx="183">
                  <c:v>764.41193582037283</c:v>
                </c:pt>
                <c:pt idx="184">
                  <c:v>764.41193582037283</c:v>
                </c:pt>
                <c:pt idx="185">
                  <c:v>764.41193582037283</c:v>
                </c:pt>
                <c:pt idx="186">
                  <c:v>764.41193582037283</c:v>
                </c:pt>
                <c:pt idx="187">
                  <c:v>764.41193582037283</c:v>
                </c:pt>
                <c:pt idx="188">
                  <c:v>764.41193582037283</c:v>
                </c:pt>
                <c:pt idx="189">
                  <c:v>764.41193582037283</c:v>
                </c:pt>
                <c:pt idx="190">
                  <c:v>764.41193582037283</c:v>
                </c:pt>
                <c:pt idx="191">
                  <c:v>764.41193582037283</c:v>
                </c:pt>
                <c:pt idx="192">
                  <c:v>764.41193582037283</c:v>
                </c:pt>
                <c:pt idx="193">
                  <c:v>764.41193582037283</c:v>
                </c:pt>
                <c:pt idx="194">
                  <c:v>764.41193582037283</c:v>
                </c:pt>
                <c:pt idx="195">
                  <c:v>764.41193582037283</c:v>
                </c:pt>
                <c:pt idx="196">
                  <c:v>764.41193582037283</c:v>
                </c:pt>
                <c:pt idx="197">
                  <c:v>764.41193582037283</c:v>
                </c:pt>
                <c:pt idx="198">
                  <c:v>764.41193582037283</c:v>
                </c:pt>
                <c:pt idx="199">
                  <c:v>764.41193582037283</c:v>
                </c:pt>
                <c:pt idx="200">
                  <c:v>764.41193582037283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229.35588657979122</c:v>
                </c:pt>
                <c:pt idx="37">
                  <c:v>247.82742956082612</c:v>
                </c:pt>
                <c:pt idx="38">
                  <c:v>266.26773098057953</c:v>
                </c:pt>
                <c:pt idx="39">
                  <c:v>284.67925856397056</c:v>
                </c:pt>
                <c:pt idx="40">
                  <c:v>303.06413469570208</c:v>
                </c:pt>
                <c:pt idx="41">
                  <c:v>272.53076596771507</c:v>
                </c:pt>
                <c:pt idx="42">
                  <c:v>293.50720582421621</c:v>
                </c:pt>
                <c:pt idx="43">
                  <c:v>314.45019220953321</c:v>
                </c:pt>
                <c:pt idx="44">
                  <c:v>335.36226553348382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723.64971039145041</c:v>
                </c:pt>
                <c:pt idx="107">
                  <c:v>735.1898925629672</c:v>
                </c:pt>
                <c:pt idx="108">
                  <c:v>746.72638619800034</c:v>
                </c:pt>
                <c:pt idx="109">
                  <c:v>758.25925628282687</c:v>
                </c:pt>
                <c:pt idx="110">
                  <c:v>769.78856566682896</c:v>
                </c:pt>
                <c:pt idx="111">
                  <c:v>740.9585963345786</c:v>
                </c:pt>
                <c:pt idx="112">
                  <c:v>751.77245897300418</c:v>
                </c:pt>
                <c:pt idx="113">
                  <c:v>762.58316126167256</c:v>
                </c:pt>
                <c:pt idx="114">
                  <c:v>773.39075429462173</c:v>
                </c:pt>
                <c:pt idx="115">
                  <c:v>784.19528762222524</c:v>
                </c:pt>
                <c:pt idx="116">
                  <c:v>744.56357158364483</c:v>
                </c:pt>
                <c:pt idx="117">
                  <c:v>744.56357158364483</c:v>
                </c:pt>
                <c:pt idx="118">
                  <c:v>744.56357158364483</c:v>
                </c:pt>
                <c:pt idx="119">
                  <c:v>744.56357158364483</c:v>
                </c:pt>
                <c:pt idx="120">
                  <c:v>744.56357158364483</c:v>
                </c:pt>
                <c:pt idx="121">
                  <c:v>744.56357158364483</c:v>
                </c:pt>
                <c:pt idx="122">
                  <c:v>744.56357158364483</c:v>
                </c:pt>
                <c:pt idx="123">
                  <c:v>744.56357158364483</c:v>
                </c:pt>
                <c:pt idx="124">
                  <c:v>744.56357158364483</c:v>
                </c:pt>
                <c:pt idx="125">
                  <c:v>744.56357158364483</c:v>
                </c:pt>
                <c:pt idx="126">
                  <c:v>744.56357158364483</c:v>
                </c:pt>
                <c:pt idx="127">
                  <c:v>744.56357158364483</c:v>
                </c:pt>
                <c:pt idx="128">
                  <c:v>744.56357158364483</c:v>
                </c:pt>
                <c:pt idx="129">
                  <c:v>744.56357158364483</c:v>
                </c:pt>
                <c:pt idx="130">
                  <c:v>744.56357158364483</c:v>
                </c:pt>
                <c:pt idx="131">
                  <c:v>744.56357158364483</c:v>
                </c:pt>
                <c:pt idx="132">
                  <c:v>744.56357158364483</c:v>
                </c:pt>
                <c:pt idx="133">
                  <c:v>744.56357158364483</c:v>
                </c:pt>
                <c:pt idx="134">
                  <c:v>744.56357158364483</c:v>
                </c:pt>
                <c:pt idx="135">
                  <c:v>744.56357158364483</c:v>
                </c:pt>
                <c:pt idx="136">
                  <c:v>744.56357158364483</c:v>
                </c:pt>
                <c:pt idx="137">
                  <c:v>744.56357158364483</c:v>
                </c:pt>
                <c:pt idx="138">
                  <c:v>744.56357158364483</c:v>
                </c:pt>
                <c:pt idx="139">
                  <c:v>744.56357158364483</c:v>
                </c:pt>
                <c:pt idx="140">
                  <c:v>744.56357158364483</c:v>
                </c:pt>
                <c:pt idx="141">
                  <c:v>744.56357158364483</c:v>
                </c:pt>
                <c:pt idx="142">
                  <c:v>744.56357158364483</c:v>
                </c:pt>
                <c:pt idx="143">
                  <c:v>744.56357158364483</c:v>
                </c:pt>
                <c:pt idx="144">
                  <c:v>744.56357158364483</c:v>
                </c:pt>
                <c:pt idx="145">
                  <c:v>744.56357158364483</c:v>
                </c:pt>
                <c:pt idx="146">
                  <c:v>744.56357158364483</c:v>
                </c:pt>
                <c:pt idx="147">
                  <c:v>744.56357158364483</c:v>
                </c:pt>
                <c:pt idx="148">
                  <c:v>744.56357158364483</c:v>
                </c:pt>
                <c:pt idx="149">
                  <c:v>744.56357158364483</c:v>
                </c:pt>
                <c:pt idx="150">
                  <c:v>744.56357158364483</c:v>
                </c:pt>
                <c:pt idx="151">
                  <c:v>744.56357158364483</c:v>
                </c:pt>
                <c:pt idx="152">
                  <c:v>744.56357158364483</c:v>
                </c:pt>
                <c:pt idx="153">
                  <c:v>744.56357158364483</c:v>
                </c:pt>
                <c:pt idx="154">
                  <c:v>744.56357158364483</c:v>
                </c:pt>
                <c:pt idx="155">
                  <c:v>744.56357158364483</c:v>
                </c:pt>
                <c:pt idx="156">
                  <c:v>744.56357158364483</c:v>
                </c:pt>
                <c:pt idx="157">
                  <c:v>744.56357158364483</c:v>
                </c:pt>
                <c:pt idx="158">
                  <c:v>744.56357158364483</c:v>
                </c:pt>
                <c:pt idx="159">
                  <c:v>744.56357158364483</c:v>
                </c:pt>
                <c:pt idx="160">
                  <c:v>744.56357158364483</c:v>
                </c:pt>
                <c:pt idx="161">
                  <c:v>744.56357158364483</c:v>
                </c:pt>
                <c:pt idx="162">
                  <c:v>744.56357158364483</c:v>
                </c:pt>
                <c:pt idx="163">
                  <c:v>744.56357158364483</c:v>
                </c:pt>
                <c:pt idx="164">
                  <c:v>744.56357158364483</c:v>
                </c:pt>
                <c:pt idx="165">
                  <c:v>744.56357158364483</c:v>
                </c:pt>
                <c:pt idx="166">
                  <c:v>744.56357158364483</c:v>
                </c:pt>
                <c:pt idx="167">
                  <c:v>744.56357158364483</c:v>
                </c:pt>
                <c:pt idx="168">
                  <c:v>744.56357158364483</c:v>
                </c:pt>
                <c:pt idx="169">
                  <c:v>744.56357158364483</c:v>
                </c:pt>
                <c:pt idx="170">
                  <c:v>744.56357158364483</c:v>
                </c:pt>
                <c:pt idx="171">
                  <c:v>744.56357158364483</c:v>
                </c:pt>
                <c:pt idx="172">
                  <c:v>744.56357158364483</c:v>
                </c:pt>
                <c:pt idx="173">
                  <c:v>744.56357158364483</c:v>
                </c:pt>
                <c:pt idx="174">
                  <c:v>744.56357158364483</c:v>
                </c:pt>
                <c:pt idx="175">
                  <c:v>744.56357158364483</c:v>
                </c:pt>
                <c:pt idx="176">
                  <c:v>744.56357158364483</c:v>
                </c:pt>
                <c:pt idx="177">
                  <c:v>744.56357158364483</c:v>
                </c:pt>
                <c:pt idx="178">
                  <c:v>744.56357158364483</c:v>
                </c:pt>
                <c:pt idx="179">
                  <c:v>744.56357158364483</c:v>
                </c:pt>
                <c:pt idx="180">
                  <c:v>744.56357158364483</c:v>
                </c:pt>
                <c:pt idx="181">
                  <c:v>744.56357158364483</c:v>
                </c:pt>
                <c:pt idx="182">
                  <c:v>744.56357158364483</c:v>
                </c:pt>
                <c:pt idx="183">
                  <c:v>744.56357158364483</c:v>
                </c:pt>
                <c:pt idx="184">
                  <c:v>744.56357158364483</c:v>
                </c:pt>
                <c:pt idx="185">
                  <c:v>744.56357158364483</c:v>
                </c:pt>
                <c:pt idx="186">
                  <c:v>744.56357158364483</c:v>
                </c:pt>
                <c:pt idx="187">
                  <c:v>744.56357158364483</c:v>
                </c:pt>
                <c:pt idx="188">
                  <c:v>744.56357158364483</c:v>
                </c:pt>
                <c:pt idx="189">
                  <c:v>744.56357158364483</c:v>
                </c:pt>
                <c:pt idx="190">
                  <c:v>744.56357158364483</c:v>
                </c:pt>
                <c:pt idx="191">
                  <c:v>744.56357158364483</c:v>
                </c:pt>
                <c:pt idx="192">
                  <c:v>744.56357158364483</c:v>
                </c:pt>
                <c:pt idx="193">
                  <c:v>744.56357158364483</c:v>
                </c:pt>
                <c:pt idx="194">
                  <c:v>744.56357158364483</c:v>
                </c:pt>
                <c:pt idx="195">
                  <c:v>744.56357158364483</c:v>
                </c:pt>
                <c:pt idx="196">
                  <c:v>744.56357158364483</c:v>
                </c:pt>
                <c:pt idx="197">
                  <c:v>744.56357158364483</c:v>
                </c:pt>
                <c:pt idx="198">
                  <c:v>744.56357158364483</c:v>
                </c:pt>
                <c:pt idx="199">
                  <c:v>744.56357158364483</c:v>
                </c:pt>
                <c:pt idx="200">
                  <c:v>744.56357158364483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3.6374994536665191</c:v>
                </c:pt>
                <c:pt idx="2">
                  <c:v>5.4577222588629324</c:v>
                </c:pt>
                <c:pt idx="3">
                  <c:v>8.1928812743363384</c:v>
                </c:pt>
                <c:pt idx="4">
                  <c:v>12.304790888266751</c:v>
                </c:pt>
                <c:pt idx="5">
                  <c:v>18.489265295267202</c:v>
                </c:pt>
                <c:pt idx="6">
                  <c:v>27.795104201347016</c:v>
                </c:pt>
                <c:pt idx="7">
                  <c:v>41.80377550782655</c:v>
                </c:pt>
                <c:pt idx="8">
                  <c:v>62.900847610765744</c:v>
                </c:pt>
                <c:pt idx="9">
                  <c:v>94.686151958102812</c:v>
                </c:pt>
                <c:pt idx="10">
                  <c:v>142.59377360663922</c:v>
                </c:pt>
                <c:pt idx="11">
                  <c:v>147.15364202921708</c:v>
                </c:pt>
                <c:pt idx="12">
                  <c:v>172.3819432826981</c:v>
                </c:pt>
                <c:pt idx="13">
                  <c:v>197.52328405894409</c:v>
                </c:pt>
                <c:pt idx="14">
                  <c:v>222.5902995865016</c:v>
                </c:pt>
                <c:pt idx="15">
                  <c:v>247.59253912923518</c:v>
                </c:pt>
                <c:pt idx="16">
                  <c:v>236.12362808635771</c:v>
                </c:pt>
                <c:pt idx="17">
                  <c:v>259.4583522737052</c:v>
                </c:pt>
                <c:pt idx="18">
                  <c:v>282.74566191220862</c:v>
                </c:pt>
                <c:pt idx="19">
                  <c:v>305.99000951570451</c:v>
                </c:pt>
                <c:pt idx="20">
                  <c:v>329.1951157650264</c:v>
                </c:pt>
                <c:pt idx="21">
                  <c:v>305.58256210041856</c:v>
                </c:pt>
                <c:pt idx="22">
                  <c:v>326.75422310957646</c:v>
                </c:pt>
                <c:pt idx="23">
                  <c:v>347.89559775078084</c:v>
                </c:pt>
                <c:pt idx="24">
                  <c:v>369.00878433811749</c:v>
                </c:pt>
                <c:pt idx="25">
                  <c:v>390.09562155502181</c:v>
                </c:pt>
                <c:pt idx="26">
                  <c:v>356.42536127479252</c:v>
                </c:pt>
                <c:pt idx="27">
                  <c:v>375.49976912888474</c:v>
                </c:pt>
                <c:pt idx="28">
                  <c:v>394.55307910081638</c:v>
                </c:pt>
                <c:pt idx="29">
                  <c:v>413.58645287885287</c:v>
                </c:pt>
                <c:pt idx="30">
                  <c:v>432.60093655053032</c:v>
                </c:pt>
                <c:pt idx="31">
                  <c:v>392.52709819732326</c:v>
                </c:pt>
                <c:pt idx="32">
                  <c:v>409.13356351129414</c:v>
                </c:pt>
                <c:pt idx="33">
                  <c:v>425.72547631490761</c:v>
                </c:pt>
                <c:pt idx="34">
                  <c:v>442.30348341629519</c:v>
                </c:pt>
                <c:pt idx="35">
                  <c:v>458.86817919889182</c:v>
                </c:pt>
                <c:pt idx="36">
                  <c:v>417.22895611601695</c:v>
                </c:pt>
                <c:pt idx="37">
                  <c:v>434.21834928171887</c:v>
                </c:pt>
                <c:pt idx="38">
                  <c:v>451.19347585644169</c:v>
                </c:pt>
                <c:pt idx="39">
                  <c:v>468.15494792329127</c:v>
                </c:pt>
                <c:pt idx="40">
                  <c:v>485.10332961470635</c:v>
                </c:pt>
                <c:pt idx="41">
                  <c:v>439.87827870613802</c:v>
                </c:pt>
                <c:pt idx="42">
                  <c:v>455.23313822520032</c:v>
                </c:pt>
                <c:pt idx="43">
                  <c:v>470.57693415697889</c:v>
                </c:pt>
                <c:pt idx="44">
                  <c:v>485.91007793184241</c:v>
                </c:pt>
                <c:pt idx="45">
                  <c:v>501.23295290548822</c:v>
                </c:pt>
                <c:pt idx="46">
                  <c:v>455.23313822520032</c:v>
                </c:pt>
                <c:pt idx="47">
                  <c:v>469.76963499064959</c:v>
                </c:pt>
                <c:pt idx="48">
                  <c:v>484.29655280391285</c:v>
                </c:pt>
                <c:pt idx="49">
                  <c:v>498.81421938664909</c:v>
                </c:pt>
                <c:pt idx="50">
                  <c:v>513.32294183422596</c:v>
                </c:pt>
                <c:pt idx="51">
                  <c:v>466.9438547503903</c:v>
                </c:pt>
                <c:pt idx="52">
                  <c:v>481.0691595363574</c:v>
                </c:pt>
                <c:pt idx="53">
                  <c:v>495.18565291531036</c:v>
                </c:pt>
                <c:pt idx="54">
                  <c:v>509.29362139720428</c:v>
                </c:pt>
                <c:pt idx="55">
                  <c:v>523.39333432879232</c:v>
                </c:pt>
                <c:pt idx="56">
                  <c:v>476.22720551346384</c:v>
                </c:pt>
                <c:pt idx="57">
                  <c:v>489.54009419456355</c:v>
                </c:pt>
                <c:pt idx="58">
                  <c:v>502.84530459138995</c:v>
                </c:pt>
                <c:pt idx="59">
                  <c:v>516.14306845280373</c:v>
                </c:pt>
                <c:pt idx="60">
                  <c:v>529.43360461515238</c:v>
                </c:pt>
                <c:pt idx="61">
                  <c:v>484.29655280391279</c:v>
                </c:pt>
                <c:pt idx="62">
                  <c:v>497.60475956110264</c:v>
                </c:pt>
                <c:pt idx="63">
                  <c:v>510.90543009043807</c:v>
                </c:pt>
                <c:pt idx="64">
                  <c:v>524.19878818539257</c:v>
                </c:pt>
                <c:pt idx="65">
                  <c:v>537.48504536607993</c:v>
                </c:pt>
                <c:pt idx="66">
                  <c:v>491.55652284509341</c:v>
                </c:pt>
                <c:pt idx="67">
                  <c:v>504.05449654558856</c:v>
                </c:pt>
                <c:pt idx="68">
                  <c:v>516.54591709215595</c:v>
                </c:pt>
                <c:pt idx="69">
                  <c:v>529.03096526266211</c:v>
                </c:pt>
                <c:pt idx="70">
                  <c:v>541.50981260805463</c:v>
                </c:pt>
                <c:pt idx="71">
                  <c:v>496.79841842488571</c:v>
                </c:pt>
                <c:pt idx="72">
                  <c:v>508.48767664593629</c:v>
                </c:pt>
                <c:pt idx="73">
                  <c:v>520.1712571941606</c:v>
                </c:pt>
                <c:pt idx="74">
                  <c:v>531.84930555696269</c:v>
                </c:pt>
                <c:pt idx="75">
                  <c:v>543.52196031239748</c:v>
                </c:pt>
                <c:pt idx="76">
                  <c:v>500.42673591507014</c:v>
                </c:pt>
                <c:pt idx="77">
                  <c:v>511.71129412952837</c:v>
                </c:pt>
                <c:pt idx="78">
                  <c:v>522.99059760658679</c:v>
                </c:pt>
                <c:pt idx="79">
                  <c:v>534.26477564098775</c:v>
                </c:pt>
                <c:pt idx="80">
                  <c:v>545.53395162610911</c:v>
                </c:pt>
                <c:pt idx="81">
                  <c:v>504.05449654558862</c:v>
                </c:pt>
                <c:pt idx="82">
                  <c:v>514.93448269445673</c:v>
                </c:pt>
                <c:pt idx="83">
                  <c:v>525.80961770763849</c:v>
                </c:pt>
                <c:pt idx="84">
                  <c:v>536.68001605918801</c:v>
                </c:pt>
                <c:pt idx="85">
                  <c:v>547.54578720789482</c:v>
                </c:pt>
                <c:pt idx="86">
                  <c:v>507.68170489320681</c:v>
                </c:pt>
                <c:pt idx="87">
                  <c:v>518.15724540667998</c:v>
                </c:pt>
                <c:pt idx="88">
                  <c:v>528.62831945844061</c:v>
                </c:pt>
                <c:pt idx="89">
                  <c:v>539.09502799191023</c:v>
                </c:pt>
                <c:pt idx="90">
                  <c:v>549.55746771122074</c:v>
                </c:pt>
                <c:pt idx="91">
                  <c:v>510.90543009043807</c:v>
                </c:pt>
                <c:pt idx="92">
                  <c:v>520.57403979607113</c:v>
                </c:pt>
                <c:pt idx="93">
                  <c:v>530.23886398734817</c:v>
                </c:pt>
                <c:pt idx="94">
                  <c:v>539.89998139729244</c:v>
                </c:pt>
                <c:pt idx="95">
                  <c:v>549.55746771122074</c:v>
                </c:pt>
                <c:pt idx="96">
                  <c:v>512.51713136140791</c:v>
                </c:pt>
                <c:pt idx="97">
                  <c:v>521.78234819536726</c:v>
                </c:pt>
                <c:pt idx="98">
                  <c:v>531.04409761975751</c:v>
                </c:pt>
                <c:pt idx="99">
                  <c:v>540.30244864194128</c:v>
                </c:pt>
                <c:pt idx="100">
                  <c:v>549.55746771122097</c:v>
                </c:pt>
                <c:pt idx="101">
                  <c:v>514.12872559596781</c:v>
                </c:pt>
                <c:pt idx="102">
                  <c:v>522.9905976065869</c:v>
                </c:pt>
                <c:pt idx="103">
                  <c:v>531.84930555696269</c:v>
                </c:pt>
                <c:pt idx="104">
                  <c:v>540.70490958838275</c:v>
                </c:pt>
                <c:pt idx="105">
                  <c:v>549.55746771122074</c:v>
                </c:pt>
                <c:pt idx="106">
                  <c:v>507.27870887599425</c:v>
                </c:pt>
                <c:pt idx="107">
                  <c:v>507.27870887599425</c:v>
                </c:pt>
                <c:pt idx="108">
                  <c:v>507.27870887599425</c:v>
                </c:pt>
                <c:pt idx="109">
                  <c:v>507.27870887599425</c:v>
                </c:pt>
                <c:pt idx="110">
                  <c:v>507.27870887599425</c:v>
                </c:pt>
                <c:pt idx="111">
                  <c:v>507.27870887599425</c:v>
                </c:pt>
                <c:pt idx="112">
                  <c:v>507.27870887599425</c:v>
                </c:pt>
                <c:pt idx="113">
                  <c:v>507.27870887599425</c:v>
                </c:pt>
                <c:pt idx="114">
                  <c:v>507.27870887599425</c:v>
                </c:pt>
                <c:pt idx="115">
                  <c:v>507.27870887599425</c:v>
                </c:pt>
                <c:pt idx="116">
                  <c:v>507.27870887599425</c:v>
                </c:pt>
                <c:pt idx="117">
                  <c:v>507.27870887599425</c:v>
                </c:pt>
                <c:pt idx="118">
                  <c:v>507.27870887599425</c:v>
                </c:pt>
                <c:pt idx="119">
                  <c:v>507.27870887599425</c:v>
                </c:pt>
                <c:pt idx="120">
                  <c:v>507.27870887599425</c:v>
                </c:pt>
                <c:pt idx="121">
                  <c:v>507.27870887599425</c:v>
                </c:pt>
                <c:pt idx="122">
                  <c:v>507.27870887599425</c:v>
                </c:pt>
                <c:pt idx="123">
                  <c:v>507.27870887599425</c:v>
                </c:pt>
                <c:pt idx="124">
                  <c:v>507.27870887599425</c:v>
                </c:pt>
                <c:pt idx="125">
                  <c:v>507.27870887599425</c:v>
                </c:pt>
                <c:pt idx="126">
                  <c:v>507.27870887599425</c:v>
                </c:pt>
                <c:pt idx="127">
                  <c:v>507.27870887599425</c:v>
                </c:pt>
                <c:pt idx="128">
                  <c:v>507.27870887599425</c:v>
                </c:pt>
                <c:pt idx="129">
                  <c:v>507.27870887599425</c:v>
                </c:pt>
                <c:pt idx="130">
                  <c:v>507.27870887599425</c:v>
                </c:pt>
                <c:pt idx="131">
                  <c:v>507.27870887599425</c:v>
                </c:pt>
                <c:pt idx="132">
                  <c:v>507.27870887599425</c:v>
                </c:pt>
                <c:pt idx="133">
                  <c:v>507.27870887599425</c:v>
                </c:pt>
                <c:pt idx="134">
                  <c:v>507.27870887599425</c:v>
                </c:pt>
                <c:pt idx="135">
                  <c:v>507.27870887599425</c:v>
                </c:pt>
                <c:pt idx="136">
                  <c:v>507.27870887599425</c:v>
                </c:pt>
                <c:pt idx="137">
                  <c:v>507.27870887599425</c:v>
                </c:pt>
                <c:pt idx="138">
                  <c:v>507.27870887599425</c:v>
                </c:pt>
                <c:pt idx="139">
                  <c:v>507.27870887599425</c:v>
                </c:pt>
                <c:pt idx="140">
                  <c:v>507.27870887599425</c:v>
                </c:pt>
                <c:pt idx="141">
                  <c:v>507.27870887599425</c:v>
                </c:pt>
                <c:pt idx="142">
                  <c:v>507.27870887599425</c:v>
                </c:pt>
                <c:pt idx="143">
                  <c:v>507.27870887599425</c:v>
                </c:pt>
                <c:pt idx="144">
                  <c:v>507.27870887599425</c:v>
                </c:pt>
                <c:pt idx="145">
                  <c:v>507.27870887599425</c:v>
                </c:pt>
                <c:pt idx="146">
                  <c:v>507.27870887599425</c:v>
                </c:pt>
                <c:pt idx="147">
                  <c:v>507.27870887599425</c:v>
                </c:pt>
                <c:pt idx="148">
                  <c:v>507.27870887599425</c:v>
                </c:pt>
                <c:pt idx="149">
                  <c:v>507.27870887599425</c:v>
                </c:pt>
                <c:pt idx="150">
                  <c:v>507.27870887599425</c:v>
                </c:pt>
                <c:pt idx="151">
                  <c:v>507.27870887599425</c:v>
                </c:pt>
                <c:pt idx="152">
                  <c:v>507.27870887599425</c:v>
                </c:pt>
                <c:pt idx="153">
                  <c:v>507.27870887599425</c:v>
                </c:pt>
                <c:pt idx="154">
                  <c:v>507.27870887599425</c:v>
                </c:pt>
                <c:pt idx="155">
                  <c:v>507.27870887599425</c:v>
                </c:pt>
                <c:pt idx="156">
                  <c:v>507.27870887599425</c:v>
                </c:pt>
                <c:pt idx="157">
                  <c:v>507.27870887599425</c:v>
                </c:pt>
                <c:pt idx="158">
                  <c:v>507.27870887599425</c:v>
                </c:pt>
                <c:pt idx="159">
                  <c:v>507.27870887599425</c:v>
                </c:pt>
                <c:pt idx="160">
                  <c:v>507.27870887599425</c:v>
                </c:pt>
                <c:pt idx="161">
                  <c:v>507.27870887599425</c:v>
                </c:pt>
                <c:pt idx="162">
                  <c:v>507.27870887599425</c:v>
                </c:pt>
                <c:pt idx="163">
                  <c:v>507.27870887599425</c:v>
                </c:pt>
                <c:pt idx="164">
                  <c:v>507.27870887599425</c:v>
                </c:pt>
                <c:pt idx="165">
                  <c:v>507.27870887599425</c:v>
                </c:pt>
                <c:pt idx="166">
                  <c:v>507.27870887599425</c:v>
                </c:pt>
                <c:pt idx="167">
                  <c:v>507.27870887599425</c:v>
                </c:pt>
                <c:pt idx="168">
                  <c:v>507.27870887599425</c:v>
                </c:pt>
                <c:pt idx="169">
                  <c:v>507.27870887599425</c:v>
                </c:pt>
                <c:pt idx="170">
                  <c:v>507.27870887599425</c:v>
                </c:pt>
                <c:pt idx="171">
                  <c:v>507.27870887599425</c:v>
                </c:pt>
                <c:pt idx="172">
                  <c:v>507.27870887599425</c:v>
                </c:pt>
                <c:pt idx="173">
                  <c:v>507.27870887599425</c:v>
                </c:pt>
                <c:pt idx="174">
                  <c:v>507.27870887599425</c:v>
                </c:pt>
                <c:pt idx="175">
                  <c:v>507.27870887599425</c:v>
                </c:pt>
                <c:pt idx="176">
                  <c:v>507.27870887599425</c:v>
                </c:pt>
                <c:pt idx="177">
                  <c:v>507.27870887599425</c:v>
                </c:pt>
                <c:pt idx="178">
                  <c:v>507.27870887599425</c:v>
                </c:pt>
                <c:pt idx="179">
                  <c:v>507.27870887599425</c:v>
                </c:pt>
                <c:pt idx="180">
                  <c:v>507.27870887599425</c:v>
                </c:pt>
                <c:pt idx="181">
                  <c:v>507.27870887599425</c:v>
                </c:pt>
                <c:pt idx="182">
                  <c:v>507.27870887599425</c:v>
                </c:pt>
                <c:pt idx="183">
                  <c:v>507.27870887599425</c:v>
                </c:pt>
                <c:pt idx="184">
                  <c:v>507.27870887599425</c:v>
                </c:pt>
                <c:pt idx="185">
                  <c:v>507.27870887599425</c:v>
                </c:pt>
                <c:pt idx="186">
                  <c:v>507.27870887599425</c:v>
                </c:pt>
                <c:pt idx="187">
                  <c:v>507.27870887599425</c:v>
                </c:pt>
                <c:pt idx="188">
                  <c:v>507.27870887599425</c:v>
                </c:pt>
                <c:pt idx="189">
                  <c:v>507.27870887599425</c:v>
                </c:pt>
                <c:pt idx="190">
                  <c:v>507.27870887599425</c:v>
                </c:pt>
                <c:pt idx="191">
                  <c:v>507.27870887599425</c:v>
                </c:pt>
                <c:pt idx="192">
                  <c:v>507.27870887599425</c:v>
                </c:pt>
                <c:pt idx="193">
                  <c:v>507.27870887599425</c:v>
                </c:pt>
                <c:pt idx="194">
                  <c:v>507.27870887599425</c:v>
                </c:pt>
                <c:pt idx="195">
                  <c:v>507.27870887599425</c:v>
                </c:pt>
                <c:pt idx="196">
                  <c:v>507.27870887599425</c:v>
                </c:pt>
                <c:pt idx="197">
                  <c:v>507.27870887599425</c:v>
                </c:pt>
                <c:pt idx="198">
                  <c:v>507.27870887599425</c:v>
                </c:pt>
                <c:pt idx="199">
                  <c:v>507.27870887599425</c:v>
                </c:pt>
                <c:pt idx="200">
                  <c:v>507.27870887599425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209.11889593919318</c:v>
                </c:pt>
                <c:pt idx="12">
                  <c:v>230.94237558413718</c:v>
                </c:pt>
                <c:pt idx="13">
                  <c:v>252.71872074054355</c:v>
                </c:pt>
                <c:pt idx="14">
                  <c:v>274.45256324043959</c:v>
                </c:pt>
                <c:pt idx="15">
                  <c:v>296.14774103899623</c:v>
                </c:pt>
                <c:pt idx="16">
                  <c:v>317.59837130995112</c:v>
                </c:pt>
                <c:pt idx="17">
                  <c:v>339.0169247922546</c:v>
                </c:pt>
                <c:pt idx="18">
                  <c:v>360.40571193829396</c:v>
                </c:pt>
                <c:pt idx="19">
                  <c:v>220.51126127527394</c:v>
                </c:pt>
                <c:pt idx="20">
                  <c:v>228.41463048777482</c:v>
                </c:pt>
                <c:pt idx="21">
                  <c:v>236.3117437149856</c:v>
                </c:pt>
                <c:pt idx="22">
                  <c:v>244.20283975997833</c:v>
                </c:pt>
                <c:pt idx="23">
                  <c:v>169.1259798341832</c:v>
                </c:pt>
                <c:pt idx="24">
                  <c:v>179.61979491259885</c:v>
                </c:pt>
                <c:pt idx="25">
                  <c:v>190.09925047577488</c:v>
                </c:pt>
                <c:pt idx="26">
                  <c:v>200.56525039888083</c:v>
                </c:pt>
                <c:pt idx="27">
                  <c:v>211.01859640956005</c:v>
                </c:pt>
                <c:pt idx="28">
                  <c:v>159.41349443625651</c:v>
                </c:pt>
                <c:pt idx="29">
                  <c:v>168.17125020839597</c:v>
                </c:pt>
                <c:pt idx="30">
                  <c:v>176.91825435063029</c:v>
                </c:pt>
                <c:pt idx="31">
                  <c:v>185.65511405728049</c:v>
                </c:pt>
                <c:pt idx="32">
                  <c:v>194.38237462342545</c:v>
                </c:pt>
                <c:pt idx="33">
                  <c:v>203.10052831260927</c:v>
                </c:pt>
                <c:pt idx="34">
                  <c:v>211.81002161977344</c:v>
                </c:pt>
                <c:pt idx="35">
                  <c:v>220.51126127527394</c:v>
                </c:pt>
                <c:pt idx="36">
                  <c:v>231.25829908950217</c:v>
                </c:pt>
                <c:pt idx="37">
                  <c:v>241.9939262728623</c:v>
                </c:pt>
                <c:pt idx="38">
                  <c:v>252.71872074054355</c:v>
                </c:pt>
                <c:pt idx="39">
                  <c:v>263.43320731240294</c:v>
                </c:pt>
                <c:pt idx="40">
                  <c:v>274.1378645989617</c:v>
                </c:pt>
                <c:pt idx="41">
                  <c:v>286.7195866319293</c:v>
                </c:pt>
                <c:pt idx="42">
                  <c:v>299.28895999218304</c:v>
                </c:pt>
                <c:pt idx="43">
                  <c:v>311.8465765190731</c:v>
                </c:pt>
                <c:pt idx="44">
                  <c:v>324.39297647857364</c:v>
                </c:pt>
                <c:pt idx="45">
                  <c:v>336.92865492077664</c:v>
                </c:pt>
                <c:pt idx="46">
                  <c:v>351.01904297525971</c:v>
                </c:pt>
                <c:pt idx="47">
                  <c:v>365.09703181844549</c:v>
                </c:pt>
                <c:pt idx="48">
                  <c:v>379.16316689919205</c:v>
                </c:pt>
                <c:pt idx="49">
                  <c:v>393.21794989343471</c:v>
                </c:pt>
                <c:pt idx="50">
                  <c:v>407.26184368889881</c:v>
                </c:pt>
                <c:pt idx="51">
                  <c:v>407.26184368889881</c:v>
                </c:pt>
                <c:pt idx="52">
                  <c:v>407.26184368889881</c:v>
                </c:pt>
                <c:pt idx="53">
                  <c:v>407.26184368889881</c:v>
                </c:pt>
                <c:pt idx="54">
                  <c:v>407.26184368889881</c:v>
                </c:pt>
                <c:pt idx="55">
                  <c:v>407.26184368889881</c:v>
                </c:pt>
                <c:pt idx="56">
                  <c:v>407.26184368889881</c:v>
                </c:pt>
                <c:pt idx="57">
                  <c:v>407.26184368889881</c:v>
                </c:pt>
                <c:pt idx="58">
                  <c:v>407.26184368889881</c:v>
                </c:pt>
                <c:pt idx="59">
                  <c:v>407.26184368889881</c:v>
                </c:pt>
                <c:pt idx="60">
                  <c:v>407.26184368889881</c:v>
                </c:pt>
                <c:pt idx="61">
                  <c:v>407.26184368889881</c:v>
                </c:pt>
                <c:pt idx="62">
                  <c:v>407.26184368889881</c:v>
                </c:pt>
                <c:pt idx="63">
                  <c:v>407.26184368889881</c:v>
                </c:pt>
                <c:pt idx="64">
                  <c:v>407.26184368889881</c:v>
                </c:pt>
                <c:pt idx="65">
                  <c:v>407.26184368889881</c:v>
                </c:pt>
                <c:pt idx="66">
                  <c:v>407.26184368889881</c:v>
                </c:pt>
                <c:pt idx="67">
                  <c:v>407.26184368889881</c:v>
                </c:pt>
                <c:pt idx="68">
                  <c:v>407.26184368889881</c:v>
                </c:pt>
                <c:pt idx="69">
                  <c:v>407.26184368889881</c:v>
                </c:pt>
                <c:pt idx="70">
                  <c:v>407.26184368889881</c:v>
                </c:pt>
                <c:pt idx="71">
                  <c:v>407.26184368889881</c:v>
                </c:pt>
                <c:pt idx="72">
                  <c:v>407.26184368889881</c:v>
                </c:pt>
                <c:pt idx="73">
                  <c:v>407.26184368889881</c:v>
                </c:pt>
                <c:pt idx="74">
                  <c:v>407.26184368889881</c:v>
                </c:pt>
                <c:pt idx="75">
                  <c:v>407.26184368889881</c:v>
                </c:pt>
                <c:pt idx="76">
                  <c:v>407.26184368889881</c:v>
                </c:pt>
                <c:pt idx="77">
                  <c:v>407.26184368889881</c:v>
                </c:pt>
                <c:pt idx="78">
                  <c:v>407.26184368889881</c:v>
                </c:pt>
                <c:pt idx="79">
                  <c:v>407.26184368889881</c:v>
                </c:pt>
                <c:pt idx="80">
                  <c:v>407.26184368889881</c:v>
                </c:pt>
                <c:pt idx="81">
                  <c:v>407.26184368889881</c:v>
                </c:pt>
                <c:pt idx="82">
                  <c:v>407.26184368889881</c:v>
                </c:pt>
                <c:pt idx="83">
                  <c:v>407.26184368889881</c:v>
                </c:pt>
                <c:pt idx="84">
                  <c:v>407.26184368889881</c:v>
                </c:pt>
                <c:pt idx="85">
                  <c:v>407.26184368889881</c:v>
                </c:pt>
                <c:pt idx="86">
                  <c:v>407.26184368889881</c:v>
                </c:pt>
                <c:pt idx="87">
                  <c:v>407.26184368889881</c:v>
                </c:pt>
                <c:pt idx="88">
                  <c:v>407.26184368889881</c:v>
                </c:pt>
                <c:pt idx="89">
                  <c:v>407.26184368889881</c:v>
                </c:pt>
                <c:pt idx="90">
                  <c:v>407.26184368889881</c:v>
                </c:pt>
                <c:pt idx="91">
                  <c:v>407.26184368889881</c:v>
                </c:pt>
                <c:pt idx="92">
                  <c:v>407.26184368889881</c:v>
                </c:pt>
                <c:pt idx="93">
                  <c:v>407.26184368889881</c:v>
                </c:pt>
                <c:pt idx="94">
                  <c:v>407.26184368889881</c:v>
                </c:pt>
                <c:pt idx="95">
                  <c:v>407.26184368889881</c:v>
                </c:pt>
                <c:pt idx="96">
                  <c:v>407.26184368889881</c:v>
                </c:pt>
                <c:pt idx="97">
                  <c:v>407.26184368889881</c:v>
                </c:pt>
                <c:pt idx="98">
                  <c:v>407.26184368889881</c:v>
                </c:pt>
                <c:pt idx="99">
                  <c:v>407.26184368889881</c:v>
                </c:pt>
                <c:pt idx="100">
                  <c:v>407.26184368889881</c:v>
                </c:pt>
                <c:pt idx="101">
                  <c:v>407.26184368889881</c:v>
                </c:pt>
                <c:pt idx="102">
                  <c:v>407.26184368889881</c:v>
                </c:pt>
                <c:pt idx="103">
                  <c:v>407.26184368889881</c:v>
                </c:pt>
                <c:pt idx="104">
                  <c:v>407.26184368889881</c:v>
                </c:pt>
                <c:pt idx="105">
                  <c:v>407.26184368889881</c:v>
                </c:pt>
                <c:pt idx="106">
                  <c:v>407.26184368889881</c:v>
                </c:pt>
                <c:pt idx="107">
                  <c:v>407.26184368889881</c:v>
                </c:pt>
                <c:pt idx="108">
                  <c:v>407.26184368889881</c:v>
                </c:pt>
                <c:pt idx="109">
                  <c:v>407.26184368889881</c:v>
                </c:pt>
                <c:pt idx="110">
                  <c:v>407.26184368889881</c:v>
                </c:pt>
                <c:pt idx="111">
                  <c:v>407.26184368889881</c:v>
                </c:pt>
                <c:pt idx="112">
                  <c:v>407.26184368889881</c:v>
                </c:pt>
                <c:pt idx="113">
                  <c:v>407.26184368889881</c:v>
                </c:pt>
                <c:pt idx="114">
                  <c:v>407.26184368889881</c:v>
                </c:pt>
                <c:pt idx="115">
                  <c:v>407.26184368889881</c:v>
                </c:pt>
                <c:pt idx="116">
                  <c:v>407.26184368889881</c:v>
                </c:pt>
                <c:pt idx="117">
                  <c:v>407.26184368889881</c:v>
                </c:pt>
                <c:pt idx="118">
                  <c:v>407.26184368889881</c:v>
                </c:pt>
                <c:pt idx="119">
                  <c:v>407.26184368889881</c:v>
                </c:pt>
                <c:pt idx="120">
                  <c:v>407.26184368889881</c:v>
                </c:pt>
                <c:pt idx="121">
                  <c:v>407.26184368889881</c:v>
                </c:pt>
                <c:pt idx="122">
                  <c:v>407.26184368889881</c:v>
                </c:pt>
                <c:pt idx="123">
                  <c:v>407.26184368889881</c:v>
                </c:pt>
                <c:pt idx="124">
                  <c:v>407.26184368889881</c:v>
                </c:pt>
                <c:pt idx="125">
                  <c:v>407.26184368889881</c:v>
                </c:pt>
                <c:pt idx="126">
                  <c:v>407.26184368889881</c:v>
                </c:pt>
                <c:pt idx="127">
                  <c:v>407.26184368889881</c:v>
                </c:pt>
                <c:pt idx="128">
                  <c:v>407.26184368889881</c:v>
                </c:pt>
                <c:pt idx="129">
                  <c:v>407.26184368889881</c:v>
                </c:pt>
                <c:pt idx="130">
                  <c:v>407.26184368889881</c:v>
                </c:pt>
                <c:pt idx="131">
                  <c:v>407.26184368889881</c:v>
                </c:pt>
                <c:pt idx="132">
                  <c:v>407.26184368889881</c:v>
                </c:pt>
                <c:pt idx="133">
                  <c:v>407.26184368889881</c:v>
                </c:pt>
                <c:pt idx="134">
                  <c:v>407.26184368889881</c:v>
                </c:pt>
                <c:pt idx="135">
                  <c:v>407.26184368889881</c:v>
                </c:pt>
                <c:pt idx="136">
                  <c:v>407.26184368889881</c:v>
                </c:pt>
                <c:pt idx="137">
                  <c:v>407.26184368889881</c:v>
                </c:pt>
                <c:pt idx="138">
                  <c:v>407.26184368889881</c:v>
                </c:pt>
                <c:pt idx="139">
                  <c:v>407.26184368889881</c:v>
                </c:pt>
                <c:pt idx="140">
                  <c:v>407.26184368889881</c:v>
                </c:pt>
                <c:pt idx="141">
                  <c:v>407.26184368889881</c:v>
                </c:pt>
                <c:pt idx="142">
                  <c:v>407.26184368889881</c:v>
                </c:pt>
                <c:pt idx="143">
                  <c:v>407.26184368889881</c:v>
                </c:pt>
                <c:pt idx="144">
                  <c:v>407.26184368889881</c:v>
                </c:pt>
                <c:pt idx="145">
                  <c:v>407.26184368889881</c:v>
                </c:pt>
                <c:pt idx="146">
                  <c:v>407.26184368889881</c:v>
                </c:pt>
                <c:pt idx="147">
                  <c:v>407.26184368889881</c:v>
                </c:pt>
                <c:pt idx="148">
                  <c:v>407.26184368889881</c:v>
                </c:pt>
                <c:pt idx="149">
                  <c:v>407.26184368889881</c:v>
                </c:pt>
                <c:pt idx="150">
                  <c:v>407.26184368889881</c:v>
                </c:pt>
                <c:pt idx="151">
                  <c:v>407.26184368889881</c:v>
                </c:pt>
                <c:pt idx="152">
                  <c:v>407.26184368889881</c:v>
                </c:pt>
                <c:pt idx="153">
                  <c:v>407.26184368889881</c:v>
                </c:pt>
                <c:pt idx="154">
                  <c:v>407.26184368889881</c:v>
                </c:pt>
                <c:pt idx="155">
                  <c:v>407.26184368889881</c:v>
                </c:pt>
                <c:pt idx="156">
                  <c:v>407.26184368889881</c:v>
                </c:pt>
                <c:pt idx="157">
                  <c:v>407.26184368889881</c:v>
                </c:pt>
                <c:pt idx="158">
                  <c:v>407.26184368889881</c:v>
                </c:pt>
                <c:pt idx="159">
                  <c:v>407.26184368889881</c:v>
                </c:pt>
                <c:pt idx="160">
                  <c:v>407.26184368889881</c:v>
                </c:pt>
                <c:pt idx="161">
                  <c:v>407.26184368889881</c:v>
                </c:pt>
                <c:pt idx="162">
                  <c:v>407.26184368889881</c:v>
                </c:pt>
                <c:pt idx="163">
                  <c:v>407.26184368889881</c:v>
                </c:pt>
                <c:pt idx="164">
                  <c:v>407.26184368889881</c:v>
                </c:pt>
                <c:pt idx="165">
                  <c:v>407.26184368889881</c:v>
                </c:pt>
                <c:pt idx="166">
                  <c:v>407.26184368889881</c:v>
                </c:pt>
                <c:pt idx="167">
                  <c:v>407.26184368889881</c:v>
                </c:pt>
                <c:pt idx="168">
                  <c:v>407.26184368889881</c:v>
                </c:pt>
                <c:pt idx="169">
                  <c:v>407.26184368889881</c:v>
                </c:pt>
                <c:pt idx="170">
                  <c:v>407.26184368889881</c:v>
                </c:pt>
                <c:pt idx="171">
                  <c:v>407.26184368889881</c:v>
                </c:pt>
                <c:pt idx="172">
                  <c:v>407.26184368889881</c:v>
                </c:pt>
                <c:pt idx="173">
                  <c:v>407.26184368889881</c:v>
                </c:pt>
                <c:pt idx="174">
                  <c:v>407.26184368889881</c:v>
                </c:pt>
                <c:pt idx="175">
                  <c:v>407.26184368889881</c:v>
                </c:pt>
                <c:pt idx="176">
                  <c:v>407.26184368889881</c:v>
                </c:pt>
                <c:pt idx="177">
                  <c:v>407.26184368889881</c:v>
                </c:pt>
                <c:pt idx="178">
                  <c:v>407.26184368889881</c:v>
                </c:pt>
                <c:pt idx="179">
                  <c:v>407.26184368889881</c:v>
                </c:pt>
                <c:pt idx="180">
                  <c:v>407.26184368889881</c:v>
                </c:pt>
                <c:pt idx="181">
                  <c:v>407.26184368889881</c:v>
                </c:pt>
                <c:pt idx="182">
                  <c:v>407.26184368889881</c:v>
                </c:pt>
                <c:pt idx="183">
                  <c:v>407.26184368889881</c:v>
                </c:pt>
                <c:pt idx="184">
                  <c:v>407.26184368889881</c:v>
                </c:pt>
                <c:pt idx="185">
                  <c:v>407.26184368889881</c:v>
                </c:pt>
                <c:pt idx="186">
                  <c:v>407.26184368889881</c:v>
                </c:pt>
                <c:pt idx="187">
                  <c:v>407.26184368889881</c:v>
                </c:pt>
                <c:pt idx="188">
                  <c:v>407.26184368889881</c:v>
                </c:pt>
                <c:pt idx="189">
                  <c:v>407.26184368889881</c:v>
                </c:pt>
                <c:pt idx="190">
                  <c:v>407.26184368889881</c:v>
                </c:pt>
                <c:pt idx="191">
                  <c:v>407.26184368889881</c:v>
                </c:pt>
                <c:pt idx="192">
                  <c:v>407.26184368889881</c:v>
                </c:pt>
                <c:pt idx="193">
                  <c:v>407.26184368889881</c:v>
                </c:pt>
                <c:pt idx="194">
                  <c:v>407.26184368889881</c:v>
                </c:pt>
                <c:pt idx="195">
                  <c:v>407.26184368889881</c:v>
                </c:pt>
                <c:pt idx="196">
                  <c:v>407.26184368889881</c:v>
                </c:pt>
                <c:pt idx="197">
                  <c:v>407.26184368889881</c:v>
                </c:pt>
                <c:pt idx="198">
                  <c:v>407.26184368889881</c:v>
                </c:pt>
                <c:pt idx="199">
                  <c:v>407.26184368889881</c:v>
                </c:pt>
                <c:pt idx="200">
                  <c:v>407.26184368889881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778.65152243733735</c:v>
                </c:pt>
                <c:pt idx="67">
                  <c:v>795.96770927095042</c:v>
                </c:pt>
                <c:pt idx="68">
                  <c:v>813.27628716107108</c:v>
                </c:pt>
                <c:pt idx="69">
                  <c:v>830.57744068554712</c:v>
                </c:pt>
                <c:pt idx="70">
                  <c:v>847.8713461140087</c:v>
                </c:pt>
                <c:pt idx="71">
                  <c:v>824.5604790592007</c:v>
                </c:pt>
                <c:pt idx="72">
                  <c:v>840.10250622476667</c:v>
                </c:pt>
                <c:pt idx="73">
                  <c:v>855.63875709620106</c:v>
                </c:pt>
                <c:pt idx="74">
                  <c:v>871.16935122792665</c:v>
                </c:pt>
                <c:pt idx="75">
                  <c:v>886.6944035685716</c:v>
                </c:pt>
                <c:pt idx="76">
                  <c:v>862.9037642989714</c:v>
                </c:pt>
                <c:pt idx="77">
                  <c:v>876.67886929700865</c:v>
                </c:pt>
                <c:pt idx="78">
                  <c:v>890.4496445589366</c:v>
                </c:pt>
                <c:pt idx="79">
                  <c:v>904.21616641588753</c:v>
                </c:pt>
                <c:pt idx="80">
                  <c:v>917.9785086875014</c:v>
                </c:pt>
                <c:pt idx="81">
                  <c:v>881.686920829055</c:v>
                </c:pt>
                <c:pt idx="82">
                  <c:v>881.686920829055</c:v>
                </c:pt>
                <c:pt idx="83">
                  <c:v>881.686920829055</c:v>
                </c:pt>
                <c:pt idx="84">
                  <c:v>881.686920829055</c:v>
                </c:pt>
                <c:pt idx="85">
                  <c:v>881.686920829055</c:v>
                </c:pt>
                <c:pt idx="86">
                  <c:v>881.686920829055</c:v>
                </c:pt>
                <c:pt idx="87">
                  <c:v>881.686920829055</c:v>
                </c:pt>
                <c:pt idx="88">
                  <c:v>881.686920829055</c:v>
                </c:pt>
                <c:pt idx="89">
                  <c:v>881.686920829055</c:v>
                </c:pt>
                <c:pt idx="90">
                  <c:v>881.686920829055</c:v>
                </c:pt>
                <c:pt idx="91">
                  <c:v>881.686920829055</c:v>
                </c:pt>
                <c:pt idx="92">
                  <c:v>881.686920829055</c:v>
                </c:pt>
                <c:pt idx="93">
                  <c:v>881.686920829055</c:v>
                </c:pt>
                <c:pt idx="94">
                  <c:v>881.686920829055</c:v>
                </c:pt>
                <c:pt idx="95">
                  <c:v>881.686920829055</c:v>
                </c:pt>
                <c:pt idx="96">
                  <c:v>881.686920829055</c:v>
                </c:pt>
                <c:pt idx="97">
                  <c:v>881.686920829055</c:v>
                </c:pt>
                <c:pt idx="98">
                  <c:v>881.686920829055</c:v>
                </c:pt>
                <c:pt idx="99">
                  <c:v>881.686920829055</c:v>
                </c:pt>
                <c:pt idx="100">
                  <c:v>881.686920829055</c:v>
                </c:pt>
                <c:pt idx="101">
                  <c:v>881.686920829055</c:v>
                </c:pt>
                <c:pt idx="102">
                  <c:v>881.686920829055</c:v>
                </c:pt>
                <c:pt idx="103">
                  <c:v>881.686920829055</c:v>
                </c:pt>
                <c:pt idx="104">
                  <c:v>881.686920829055</c:v>
                </c:pt>
                <c:pt idx="105">
                  <c:v>881.686920829055</c:v>
                </c:pt>
                <c:pt idx="106">
                  <c:v>881.686920829055</c:v>
                </c:pt>
                <c:pt idx="107">
                  <c:v>881.686920829055</c:v>
                </c:pt>
                <c:pt idx="108">
                  <c:v>881.686920829055</c:v>
                </c:pt>
                <c:pt idx="109">
                  <c:v>881.686920829055</c:v>
                </c:pt>
                <c:pt idx="110">
                  <c:v>881.686920829055</c:v>
                </c:pt>
                <c:pt idx="111">
                  <c:v>881.686920829055</c:v>
                </c:pt>
                <c:pt idx="112">
                  <c:v>881.686920829055</c:v>
                </c:pt>
                <c:pt idx="113">
                  <c:v>881.686920829055</c:v>
                </c:pt>
                <c:pt idx="114">
                  <c:v>881.686920829055</c:v>
                </c:pt>
                <c:pt idx="115">
                  <c:v>881.686920829055</c:v>
                </c:pt>
                <c:pt idx="116">
                  <c:v>881.686920829055</c:v>
                </c:pt>
                <c:pt idx="117">
                  <c:v>881.686920829055</c:v>
                </c:pt>
                <c:pt idx="118">
                  <c:v>881.686920829055</c:v>
                </c:pt>
                <c:pt idx="119">
                  <c:v>881.686920829055</c:v>
                </c:pt>
                <c:pt idx="120">
                  <c:v>881.686920829055</c:v>
                </c:pt>
                <c:pt idx="121">
                  <c:v>881.686920829055</c:v>
                </c:pt>
                <c:pt idx="122">
                  <c:v>881.686920829055</c:v>
                </c:pt>
                <c:pt idx="123">
                  <c:v>881.686920829055</c:v>
                </c:pt>
                <c:pt idx="124">
                  <c:v>881.686920829055</c:v>
                </c:pt>
                <c:pt idx="125">
                  <c:v>881.686920829055</c:v>
                </c:pt>
                <c:pt idx="126">
                  <c:v>881.686920829055</c:v>
                </c:pt>
                <c:pt idx="127">
                  <c:v>881.686920829055</c:v>
                </c:pt>
                <c:pt idx="128">
                  <c:v>881.686920829055</c:v>
                </c:pt>
                <c:pt idx="129">
                  <c:v>881.686920829055</c:v>
                </c:pt>
                <c:pt idx="130">
                  <c:v>881.686920829055</c:v>
                </c:pt>
                <c:pt idx="131">
                  <c:v>881.686920829055</c:v>
                </c:pt>
                <c:pt idx="132">
                  <c:v>881.686920829055</c:v>
                </c:pt>
                <c:pt idx="133">
                  <c:v>881.686920829055</c:v>
                </c:pt>
                <c:pt idx="134">
                  <c:v>881.686920829055</c:v>
                </c:pt>
                <c:pt idx="135">
                  <c:v>881.686920829055</c:v>
                </c:pt>
                <c:pt idx="136">
                  <c:v>881.686920829055</c:v>
                </c:pt>
                <c:pt idx="137">
                  <c:v>881.686920829055</c:v>
                </c:pt>
                <c:pt idx="138">
                  <c:v>881.686920829055</c:v>
                </c:pt>
                <c:pt idx="139">
                  <c:v>881.686920829055</c:v>
                </c:pt>
                <c:pt idx="140">
                  <c:v>881.686920829055</c:v>
                </c:pt>
                <c:pt idx="141">
                  <c:v>881.686920829055</c:v>
                </c:pt>
                <c:pt idx="142">
                  <c:v>881.686920829055</c:v>
                </c:pt>
                <c:pt idx="143">
                  <c:v>881.686920829055</c:v>
                </c:pt>
                <c:pt idx="144">
                  <c:v>881.686920829055</c:v>
                </c:pt>
                <c:pt idx="145">
                  <c:v>881.686920829055</c:v>
                </c:pt>
                <c:pt idx="146">
                  <c:v>881.686920829055</c:v>
                </c:pt>
                <c:pt idx="147">
                  <c:v>881.686920829055</c:v>
                </c:pt>
                <c:pt idx="148">
                  <c:v>881.686920829055</c:v>
                </c:pt>
                <c:pt idx="149">
                  <c:v>881.686920829055</c:v>
                </c:pt>
                <c:pt idx="150">
                  <c:v>881.686920829055</c:v>
                </c:pt>
                <c:pt idx="151">
                  <c:v>881.686920829055</c:v>
                </c:pt>
                <c:pt idx="152">
                  <c:v>881.686920829055</c:v>
                </c:pt>
                <c:pt idx="153">
                  <c:v>881.686920829055</c:v>
                </c:pt>
                <c:pt idx="154">
                  <c:v>881.686920829055</c:v>
                </c:pt>
                <c:pt idx="155">
                  <c:v>881.686920829055</c:v>
                </c:pt>
                <c:pt idx="156">
                  <c:v>881.686920829055</c:v>
                </c:pt>
                <c:pt idx="157">
                  <c:v>881.686920829055</c:v>
                </c:pt>
                <c:pt idx="158">
                  <c:v>881.686920829055</c:v>
                </c:pt>
                <c:pt idx="159">
                  <c:v>881.686920829055</c:v>
                </c:pt>
                <c:pt idx="160">
                  <c:v>881.686920829055</c:v>
                </c:pt>
                <c:pt idx="161">
                  <c:v>881.686920829055</c:v>
                </c:pt>
                <c:pt idx="162">
                  <c:v>881.686920829055</c:v>
                </c:pt>
                <c:pt idx="163">
                  <c:v>881.686920829055</c:v>
                </c:pt>
                <c:pt idx="164">
                  <c:v>881.686920829055</c:v>
                </c:pt>
                <c:pt idx="165">
                  <c:v>881.686920829055</c:v>
                </c:pt>
                <c:pt idx="166">
                  <c:v>881.686920829055</c:v>
                </c:pt>
                <c:pt idx="167">
                  <c:v>881.686920829055</c:v>
                </c:pt>
                <c:pt idx="168">
                  <c:v>881.686920829055</c:v>
                </c:pt>
                <c:pt idx="169">
                  <c:v>881.686920829055</c:v>
                </c:pt>
                <c:pt idx="170">
                  <c:v>881.686920829055</c:v>
                </c:pt>
                <c:pt idx="171">
                  <c:v>881.686920829055</c:v>
                </c:pt>
                <c:pt idx="172">
                  <c:v>881.686920829055</c:v>
                </c:pt>
                <c:pt idx="173">
                  <c:v>881.686920829055</c:v>
                </c:pt>
                <c:pt idx="174">
                  <c:v>881.686920829055</c:v>
                </c:pt>
                <c:pt idx="175">
                  <c:v>881.686920829055</c:v>
                </c:pt>
                <c:pt idx="176">
                  <c:v>881.686920829055</c:v>
                </c:pt>
                <c:pt idx="177">
                  <c:v>881.686920829055</c:v>
                </c:pt>
                <c:pt idx="178">
                  <c:v>881.686920829055</c:v>
                </c:pt>
                <c:pt idx="179">
                  <c:v>881.686920829055</c:v>
                </c:pt>
                <c:pt idx="180">
                  <c:v>881.686920829055</c:v>
                </c:pt>
                <c:pt idx="181">
                  <c:v>881.686920829055</c:v>
                </c:pt>
                <c:pt idx="182">
                  <c:v>881.686920829055</c:v>
                </c:pt>
                <c:pt idx="183">
                  <c:v>881.686920829055</c:v>
                </c:pt>
                <c:pt idx="184">
                  <c:v>881.686920829055</c:v>
                </c:pt>
                <c:pt idx="185">
                  <c:v>881.686920829055</c:v>
                </c:pt>
                <c:pt idx="186">
                  <c:v>881.686920829055</c:v>
                </c:pt>
                <c:pt idx="187">
                  <c:v>881.686920829055</c:v>
                </c:pt>
                <c:pt idx="188">
                  <c:v>881.686920829055</c:v>
                </c:pt>
                <c:pt idx="189">
                  <c:v>881.686920829055</c:v>
                </c:pt>
                <c:pt idx="190">
                  <c:v>881.686920829055</c:v>
                </c:pt>
                <c:pt idx="191">
                  <c:v>881.686920829055</c:v>
                </c:pt>
                <c:pt idx="192">
                  <c:v>881.686920829055</c:v>
                </c:pt>
                <c:pt idx="193">
                  <c:v>881.686920829055</c:v>
                </c:pt>
                <c:pt idx="194">
                  <c:v>881.686920829055</c:v>
                </c:pt>
                <c:pt idx="195">
                  <c:v>881.686920829055</c:v>
                </c:pt>
                <c:pt idx="196">
                  <c:v>881.686920829055</c:v>
                </c:pt>
                <c:pt idx="197">
                  <c:v>881.686920829055</c:v>
                </c:pt>
                <c:pt idx="198">
                  <c:v>881.686920829055</c:v>
                </c:pt>
                <c:pt idx="199">
                  <c:v>881.686920829055</c:v>
                </c:pt>
                <c:pt idx="200">
                  <c:v>881.686920829055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1.8998160144618488</c:v>
                </c:pt>
                <c:pt idx="2">
                  <c:v>2.4290384543974075</c:v>
                </c:pt>
                <c:pt idx="3">
                  <c:v>3.1062770534140718</c:v>
                </c:pt>
                <c:pt idx="4">
                  <c:v>3.9730865398347048</c:v>
                </c:pt>
                <c:pt idx="5">
                  <c:v>5.0827291114373709</c:v>
                </c:pt>
                <c:pt idx="6">
                  <c:v>6.5034836501622566</c:v>
                </c:pt>
                <c:pt idx="7">
                  <c:v>8.3228931334190523</c:v>
                </c:pt>
                <c:pt idx="8">
                  <c:v>10.653216964153168</c:v>
                </c:pt>
                <c:pt idx="9">
                  <c:v>13.638430959289522</c:v>
                </c:pt>
                <c:pt idx="10">
                  <c:v>17.463215468340593</c:v>
                </c:pt>
                <c:pt idx="11">
                  <c:v>22.364497756453218</c:v>
                </c:pt>
                <c:pt idx="12">
                  <c:v>28.64627637701928</c:v>
                </c:pt>
                <c:pt idx="13">
                  <c:v>36.69866307064391</c:v>
                </c:pt>
                <c:pt idx="14">
                  <c:v>47.022345005879409</c:v>
                </c:pt>
                <c:pt idx="15">
                  <c:v>60.260013971453333</c:v>
                </c:pt>
                <c:pt idx="16">
                  <c:v>72.962264644835429</c:v>
                </c:pt>
                <c:pt idx="17">
                  <c:v>85.607834038033388</c:v>
                </c:pt>
                <c:pt idx="18">
                  <c:v>98.206305683392088</c:v>
                </c:pt>
                <c:pt idx="19">
                  <c:v>110.76458810757384</c:v>
                </c:pt>
                <c:pt idx="20">
                  <c:v>123.28788824388072</c:v>
                </c:pt>
                <c:pt idx="21">
                  <c:v>116.77986587022598</c:v>
                </c:pt>
                <c:pt idx="22">
                  <c:v>132.78472992396672</c:v>
                </c:pt>
                <c:pt idx="23">
                  <c:v>148.74301980229387</c:v>
                </c:pt>
                <c:pt idx="24">
                  <c:v>164.66044113992641</c:v>
                </c:pt>
                <c:pt idx="25">
                  <c:v>180.54150368815991</c:v>
                </c:pt>
                <c:pt idx="26">
                  <c:v>146.50147116929551</c:v>
                </c:pt>
                <c:pt idx="27">
                  <c:v>164.66044113992641</c:v>
                </c:pt>
                <c:pt idx="28">
                  <c:v>182.77207966907611</c:v>
                </c:pt>
                <c:pt idx="29">
                  <c:v>200.84173948775069</c:v>
                </c:pt>
                <c:pt idx="30">
                  <c:v>218.87372992724809</c:v>
                </c:pt>
                <c:pt idx="31">
                  <c:v>186.98365954160235</c:v>
                </c:pt>
                <c:pt idx="32">
                  <c:v>207.02112761839007</c:v>
                </c:pt>
                <c:pt idx="33">
                  <c:v>227.013787277099</c:v>
                </c:pt>
                <c:pt idx="34">
                  <c:v>246.96613989084688</c:v>
                </c:pt>
                <c:pt idx="35">
                  <c:v>266.88189950971133</c:v>
                </c:pt>
                <c:pt idx="36">
                  <c:v>235.6398864760915</c:v>
                </c:pt>
                <c:pt idx="37">
                  <c:v>256.06780231400205</c:v>
                </c:pt>
                <c:pt idx="38">
                  <c:v>276.45885580257652</c:v>
                </c:pt>
                <c:pt idx="39">
                  <c:v>296.81614745645339</c:v>
                </c:pt>
                <c:pt idx="40">
                  <c:v>317.14231769154225</c:v>
                </c:pt>
                <c:pt idx="41">
                  <c:v>286.27364112152469</c:v>
                </c:pt>
                <c:pt idx="42">
                  <c:v>306.86052616137408</c:v>
                </c:pt>
                <c:pt idx="43">
                  <c:v>327.41672728967603</c:v>
                </c:pt>
                <c:pt idx="44">
                  <c:v>347.94444099125826</c:v>
                </c:pt>
                <c:pt idx="45">
                  <c:v>368.44558347854678</c:v>
                </c:pt>
                <c:pt idx="46">
                  <c:v>336.95087205446185</c:v>
                </c:pt>
                <c:pt idx="47">
                  <c:v>356.73379543799183</c:v>
                </c:pt>
                <c:pt idx="48">
                  <c:v>376.49270850153761</c:v>
                </c:pt>
                <c:pt idx="49">
                  <c:v>396.22904796883012</c:v>
                </c:pt>
                <c:pt idx="50">
                  <c:v>415.94409581466471</c:v>
                </c:pt>
                <c:pt idx="51">
                  <c:v>383.80502452398406</c:v>
                </c:pt>
                <c:pt idx="52">
                  <c:v>402.80303699548989</c:v>
                </c:pt>
                <c:pt idx="53">
                  <c:v>421.78167473637228</c:v>
                </c:pt>
                <c:pt idx="54">
                  <c:v>440.74193174846272</c:v>
                </c:pt>
                <c:pt idx="55">
                  <c:v>459.68470957755449</c:v>
                </c:pt>
                <c:pt idx="56">
                  <c:v>426.1587158652531</c:v>
                </c:pt>
                <c:pt idx="57">
                  <c:v>443.6573215268815</c:v>
                </c:pt>
                <c:pt idx="58">
                  <c:v>461.141146380804</c:v>
                </c:pt>
                <c:pt idx="59">
                  <c:v>478.6108294467399</c:v>
                </c:pt>
                <c:pt idx="60">
                  <c:v>496.06695931286276</c:v>
                </c:pt>
                <c:pt idx="61">
                  <c:v>463.81102578496547</c:v>
                </c:pt>
                <c:pt idx="62">
                  <c:v>480.06601681046544</c:v>
                </c:pt>
                <c:pt idx="63">
                  <c:v>496.30931275327674</c:v>
                </c:pt>
                <c:pt idx="64">
                  <c:v>512.54135009874256</c:v>
                </c:pt>
                <c:pt idx="65">
                  <c:v>528.7625354437198</c:v>
                </c:pt>
                <c:pt idx="66">
                  <c:v>498.73270947582205</c:v>
                </c:pt>
                <c:pt idx="67">
                  <c:v>513.51007978691075</c:v>
                </c:pt>
                <c:pt idx="68">
                  <c:v>528.2784744189488</c:v>
                </c:pt>
                <c:pt idx="69">
                  <c:v>543.03817954151145</c:v>
                </c:pt>
                <c:pt idx="70">
                  <c:v>557.78946450591332</c:v>
                </c:pt>
                <c:pt idx="71">
                  <c:v>531.66670600749933</c:v>
                </c:pt>
                <c:pt idx="72">
                  <c:v>545.45699307846269</c:v>
                </c:pt>
                <c:pt idx="73">
                  <c:v>559.23996544930947</c:v>
                </c:pt>
                <c:pt idx="74">
                  <c:v>573.01582873119708</c:v>
                </c:pt>
                <c:pt idx="75">
                  <c:v>586.78477784679239</c:v>
                </c:pt>
                <c:pt idx="76">
                  <c:v>562.86587373566817</c:v>
                </c:pt>
                <c:pt idx="77">
                  <c:v>575.19032813505976</c:v>
                </c:pt>
                <c:pt idx="78">
                  <c:v>587.50927140035719</c:v>
                </c:pt>
                <c:pt idx="79">
                  <c:v>599.82283534036094</c:v>
                </c:pt>
                <c:pt idx="80">
                  <c:v>612.13114591260171</c:v>
                </c:pt>
                <c:pt idx="81">
                  <c:v>591.85584278560293</c:v>
                </c:pt>
                <c:pt idx="82">
                  <c:v>602.96074183921087</c:v>
                </c:pt>
                <c:pt idx="83">
                  <c:v>614.061392567339</c:v>
                </c:pt>
                <c:pt idx="84">
                  <c:v>625.15788257475322</c:v>
                </c:pt>
                <c:pt idx="85">
                  <c:v>636.25029610351044</c:v>
                </c:pt>
                <c:pt idx="86">
                  <c:v>617.92150881932719</c:v>
                </c:pt>
                <c:pt idx="87">
                  <c:v>627.3284555721317</c:v>
                </c:pt>
                <c:pt idx="88">
                  <c:v>636.73248374441994</c:v>
                </c:pt>
                <c:pt idx="89">
                  <c:v>646.13364251198891</c:v>
                </c:pt>
                <c:pt idx="90">
                  <c:v>655.53197950317838</c:v>
                </c:pt>
                <c:pt idx="91">
                  <c:v>638.9022348437378</c:v>
                </c:pt>
                <c:pt idx="92">
                  <c:v>646.37466056062397</c:v>
                </c:pt>
                <c:pt idx="93">
                  <c:v>653.84530420719159</c:v>
                </c:pt>
                <c:pt idx="94">
                  <c:v>661.31418901581912</c:v>
                </c:pt>
                <c:pt idx="95">
                  <c:v>668.78133765133009</c:v>
                </c:pt>
                <c:pt idx="96">
                  <c:v>655.77292581159065</c:v>
                </c:pt>
                <c:pt idx="97">
                  <c:v>663.24136042807777</c:v>
                </c:pt>
                <c:pt idx="98">
                  <c:v>670.70806463079123</c:v>
                </c:pt>
                <c:pt idx="99">
                  <c:v>678.17306039908783</c:v>
                </c:pt>
                <c:pt idx="100">
                  <c:v>685.63636918902159</c:v>
                </c:pt>
                <c:pt idx="101">
                  <c:v>667.57707534687154</c:v>
                </c:pt>
                <c:pt idx="102">
                  <c:v>667.57707534687154</c:v>
                </c:pt>
                <c:pt idx="103">
                  <c:v>667.57707534687154</c:v>
                </c:pt>
                <c:pt idx="104">
                  <c:v>667.57707534687154</c:v>
                </c:pt>
                <c:pt idx="105">
                  <c:v>667.57707534687154</c:v>
                </c:pt>
                <c:pt idx="106">
                  <c:v>667.57707534687154</c:v>
                </c:pt>
                <c:pt idx="107">
                  <c:v>667.57707534687154</c:v>
                </c:pt>
                <c:pt idx="108">
                  <c:v>667.57707534687154</c:v>
                </c:pt>
                <c:pt idx="109">
                  <c:v>667.57707534687154</c:v>
                </c:pt>
                <c:pt idx="110">
                  <c:v>667.57707534687154</c:v>
                </c:pt>
                <c:pt idx="111">
                  <c:v>667.57707534687154</c:v>
                </c:pt>
                <c:pt idx="112">
                  <c:v>667.57707534687154</c:v>
                </c:pt>
                <c:pt idx="113">
                  <c:v>667.57707534687154</c:v>
                </c:pt>
                <c:pt idx="114">
                  <c:v>667.57707534687154</c:v>
                </c:pt>
                <c:pt idx="115">
                  <c:v>667.57707534687154</c:v>
                </c:pt>
                <c:pt idx="116">
                  <c:v>667.57707534687154</c:v>
                </c:pt>
                <c:pt idx="117">
                  <c:v>667.57707534687154</c:v>
                </c:pt>
                <c:pt idx="118">
                  <c:v>667.57707534687154</c:v>
                </c:pt>
                <c:pt idx="119">
                  <c:v>667.57707534687154</c:v>
                </c:pt>
                <c:pt idx="120">
                  <c:v>667.57707534687154</c:v>
                </c:pt>
                <c:pt idx="121">
                  <c:v>667.57707534687154</c:v>
                </c:pt>
                <c:pt idx="122">
                  <c:v>667.57707534687154</c:v>
                </c:pt>
                <c:pt idx="123">
                  <c:v>667.57707534687154</c:v>
                </c:pt>
                <c:pt idx="124">
                  <c:v>667.57707534687154</c:v>
                </c:pt>
                <c:pt idx="125">
                  <c:v>667.57707534687154</c:v>
                </c:pt>
                <c:pt idx="126">
                  <c:v>667.57707534687154</c:v>
                </c:pt>
                <c:pt idx="127">
                  <c:v>667.57707534687154</c:v>
                </c:pt>
                <c:pt idx="128">
                  <c:v>667.57707534687154</c:v>
                </c:pt>
                <c:pt idx="129">
                  <c:v>667.57707534687154</c:v>
                </c:pt>
                <c:pt idx="130">
                  <c:v>667.57707534687154</c:v>
                </c:pt>
                <c:pt idx="131">
                  <c:v>667.57707534687154</c:v>
                </c:pt>
                <c:pt idx="132">
                  <c:v>667.57707534687154</c:v>
                </c:pt>
                <c:pt idx="133">
                  <c:v>667.57707534687154</c:v>
                </c:pt>
                <c:pt idx="134">
                  <c:v>667.57707534687154</c:v>
                </c:pt>
                <c:pt idx="135">
                  <c:v>667.57707534687154</c:v>
                </c:pt>
                <c:pt idx="136">
                  <c:v>667.57707534687154</c:v>
                </c:pt>
                <c:pt idx="137">
                  <c:v>667.57707534687154</c:v>
                </c:pt>
                <c:pt idx="138">
                  <c:v>667.57707534687154</c:v>
                </c:pt>
                <c:pt idx="139">
                  <c:v>667.57707534687154</c:v>
                </c:pt>
                <c:pt idx="140">
                  <c:v>667.57707534687154</c:v>
                </c:pt>
                <c:pt idx="141">
                  <c:v>667.57707534687154</c:v>
                </c:pt>
                <c:pt idx="142">
                  <c:v>667.57707534687154</c:v>
                </c:pt>
                <c:pt idx="143">
                  <c:v>667.57707534687154</c:v>
                </c:pt>
                <c:pt idx="144">
                  <c:v>667.57707534687154</c:v>
                </c:pt>
                <c:pt idx="145">
                  <c:v>667.57707534687154</c:v>
                </c:pt>
                <c:pt idx="146">
                  <c:v>667.57707534687154</c:v>
                </c:pt>
                <c:pt idx="147">
                  <c:v>667.57707534687154</c:v>
                </c:pt>
                <c:pt idx="148">
                  <c:v>667.57707534687154</c:v>
                </c:pt>
                <c:pt idx="149">
                  <c:v>667.57707534687154</c:v>
                </c:pt>
                <c:pt idx="150">
                  <c:v>667.57707534687154</c:v>
                </c:pt>
                <c:pt idx="151">
                  <c:v>667.57707534687154</c:v>
                </c:pt>
                <c:pt idx="152">
                  <c:v>667.57707534687154</c:v>
                </c:pt>
                <c:pt idx="153">
                  <c:v>667.57707534687154</c:v>
                </c:pt>
                <c:pt idx="154">
                  <c:v>667.57707534687154</c:v>
                </c:pt>
                <c:pt idx="155">
                  <c:v>667.57707534687154</c:v>
                </c:pt>
                <c:pt idx="156">
                  <c:v>667.57707534687154</c:v>
                </c:pt>
                <c:pt idx="157">
                  <c:v>667.57707534687154</c:v>
                </c:pt>
                <c:pt idx="158">
                  <c:v>667.57707534687154</c:v>
                </c:pt>
                <c:pt idx="159">
                  <c:v>667.57707534687154</c:v>
                </c:pt>
                <c:pt idx="160">
                  <c:v>667.57707534687154</c:v>
                </c:pt>
                <c:pt idx="161">
                  <c:v>667.57707534687154</c:v>
                </c:pt>
                <c:pt idx="162">
                  <c:v>667.57707534687154</c:v>
                </c:pt>
                <c:pt idx="163">
                  <c:v>667.57707534687154</c:v>
                </c:pt>
                <c:pt idx="164">
                  <c:v>667.57707534687154</c:v>
                </c:pt>
                <c:pt idx="165">
                  <c:v>667.57707534687154</c:v>
                </c:pt>
                <c:pt idx="166">
                  <c:v>667.57707534687154</c:v>
                </c:pt>
                <c:pt idx="167">
                  <c:v>667.57707534687154</c:v>
                </c:pt>
                <c:pt idx="168">
                  <c:v>667.57707534687154</c:v>
                </c:pt>
                <c:pt idx="169">
                  <c:v>667.57707534687154</c:v>
                </c:pt>
                <c:pt idx="170">
                  <c:v>667.57707534687154</c:v>
                </c:pt>
                <c:pt idx="171">
                  <c:v>667.57707534687154</c:v>
                </c:pt>
                <c:pt idx="172">
                  <c:v>667.57707534687154</c:v>
                </c:pt>
                <c:pt idx="173">
                  <c:v>667.57707534687154</c:v>
                </c:pt>
                <c:pt idx="174">
                  <c:v>667.57707534687154</c:v>
                </c:pt>
                <c:pt idx="175">
                  <c:v>667.57707534687154</c:v>
                </c:pt>
                <c:pt idx="176">
                  <c:v>667.57707534687154</c:v>
                </c:pt>
                <c:pt idx="177">
                  <c:v>667.57707534687154</c:v>
                </c:pt>
                <c:pt idx="178">
                  <c:v>667.57707534687154</c:v>
                </c:pt>
                <c:pt idx="179">
                  <c:v>667.57707534687154</c:v>
                </c:pt>
                <c:pt idx="180">
                  <c:v>667.57707534687154</c:v>
                </c:pt>
                <c:pt idx="181">
                  <c:v>667.57707534687154</c:v>
                </c:pt>
                <c:pt idx="182">
                  <c:v>667.57707534687154</c:v>
                </c:pt>
                <c:pt idx="183">
                  <c:v>667.57707534687154</c:v>
                </c:pt>
                <c:pt idx="184">
                  <c:v>667.57707534687154</c:v>
                </c:pt>
                <c:pt idx="185">
                  <c:v>667.57707534687154</c:v>
                </c:pt>
                <c:pt idx="186">
                  <c:v>667.57707534687154</c:v>
                </c:pt>
                <c:pt idx="187">
                  <c:v>667.57707534687154</c:v>
                </c:pt>
                <c:pt idx="188">
                  <c:v>667.57707534687154</c:v>
                </c:pt>
                <c:pt idx="189">
                  <c:v>667.57707534687154</c:v>
                </c:pt>
                <c:pt idx="190">
                  <c:v>667.57707534687154</c:v>
                </c:pt>
                <c:pt idx="191">
                  <c:v>667.57707534687154</c:v>
                </c:pt>
                <c:pt idx="192">
                  <c:v>667.57707534687154</c:v>
                </c:pt>
                <c:pt idx="193">
                  <c:v>667.57707534687154</c:v>
                </c:pt>
                <c:pt idx="194">
                  <c:v>667.57707534687154</c:v>
                </c:pt>
                <c:pt idx="195">
                  <c:v>667.57707534687154</c:v>
                </c:pt>
                <c:pt idx="196">
                  <c:v>667.57707534687154</c:v>
                </c:pt>
                <c:pt idx="197">
                  <c:v>667.57707534687154</c:v>
                </c:pt>
                <c:pt idx="198">
                  <c:v>667.57707534687154</c:v>
                </c:pt>
                <c:pt idx="199">
                  <c:v>667.57707534687154</c:v>
                </c:pt>
                <c:pt idx="200">
                  <c:v>667.57707534687154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1.6202091289464609</c:v>
                </c:pt>
                <c:pt idx="2">
                  <c:v>2.1426861659625378</c:v>
                </c:pt>
                <c:pt idx="3">
                  <c:v>2.8343538096715353</c:v>
                </c:pt>
                <c:pt idx="4">
                  <c:v>3.750215551424795</c:v>
                </c:pt>
                <c:pt idx="5">
                  <c:v>4.9632220203237694</c:v>
                </c:pt>
                <c:pt idx="6">
                  <c:v>6.5701468754391996</c:v>
                </c:pt>
                <c:pt idx="7">
                  <c:v>8.6993924802311628</c:v>
                </c:pt>
                <c:pt idx="8">
                  <c:v>11.521360957053394</c:v>
                </c:pt>
                <c:pt idx="9">
                  <c:v>15.262236105676472</c:v>
                </c:pt>
                <c:pt idx="10">
                  <c:v>20.222301026879929</c:v>
                </c:pt>
                <c:pt idx="11">
                  <c:v>26.800288163489981</c:v>
                </c:pt>
                <c:pt idx="12">
                  <c:v>35.525753557689733</c:v>
                </c:pt>
                <c:pt idx="13">
                  <c:v>47.102126332835446</c:v>
                </c:pt>
                <c:pt idx="14">
                  <c:v>62.463962254142665</c:v>
                </c:pt>
                <c:pt idx="15">
                  <c:v>82.85309935773347</c:v>
                </c:pt>
                <c:pt idx="16">
                  <c:v>107.5714367632949</c:v>
                </c:pt>
                <c:pt idx="17">
                  <c:v>132.14910489975804</c:v>
                </c:pt>
                <c:pt idx="18">
                  <c:v>156.61609434461207</c:v>
                </c:pt>
                <c:pt idx="19">
                  <c:v>180.99217685858619</c:v>
                </c:pt>
                <c:pt idx="20">
                  <c:v>205.29133473515969</c:v>
                </c:pt>
                <c:pt idx="21">
                  <c:v>185.85778785150788</c:v>
                </c:pt>
                <c:pt idx="22">
                  <c:v>216.00176068460652</c:v>
                </c:pt>
                <c:pt idx="23">
                  <c:v>246.04884729357317</c:v>
                </c:pt>
                <c:pt idx="24">
                  <c:v>276.01254545472335</c:v>
                </c:pt>
                <c:pt idx="25">
                  <c:v>305.90317747212345</c:v>
                </c:pt>
                <c:pt idx="26">
                  <c:v>260.53766392680978</c:v>
                </c:pt>
                <c:pt idx="27">
                  <c:v>292.47090180189429</c:v>
                </c:pt>
                <c:pt idx="28">
                  <c:v>324.32626909194676</c:v>
                </c:pt>
                <c:pt idx="29">
                  <c:v>356.11248323761021</c:v>
                </c:pt>
                <c:pt idx="30">
                  <c:v>387.83657804664432</c:v>
                </c:pt>
                <c:pt idx="31">
                  <c:v>342.32647548510039</c:v>
                </c:pt>
                <c:pt idx="32">
                  <c:v>373.6777537813179</c:v>
                </c:pt>
                <c:pt idx="33">
                  <c:v>404.97172072395028</c:v>
                </c:pt>
                <c:pt idx="34">
                  <c:v>436.21342207075668</c:v>
                </c:pt>
                <c:pt idx="35">
                  <c:v>467.40712233198587</c:v>
                </c:pt>
                <c:pt idx="36">
                  <c:v>420.69831700274091</c:v>
                </c:pt>
                <c:pt idx="37">
                  <c:v>450.52453926699656</c:v>
                </c:pt>
                <c:pt idx="38">
                  <c:v>480.30853891265809</c:v>
                </c:pt>
                <c:pt idx="39">
                  <c:v>510.05329873866987</c:v>
                </c:pt>
                <c:pt idx="40">
                  <c:v>539.76142564164661</c:v>
                </c:pt>
                <c:pt idx="41">
                  <c:v>491.21936176570608</c:v>
                </c:pt>
                <c:pt idx="42">
                  <c:v>518.96947327099531</c:v>
                </c:pt>
                <c:pt idx="43">
                  <c:v>546.68830251799864</c:v>
                </c:pt>
                <c:pt idx="44">
                  <c:v>574.37765656188196</c:v>
                </c:pt>
                <c:pt idx="45">
                  <c:v>602.0391542325317</c:v>
                </c:pt>
                <c:pt idx="46">
                  <c:v>552.03063378489981</c:v>
                </c:pt>
                <c:pt idx="47">
                  <c:v>578.13331675125153</c:v>
                </c:pt>
                <c:pt idx="48">
                  <c:v>604.21142107354433</c:v>
                </c:pt>
                <c:pt idx="49">
                  <c:v>630.26615542315449</c:v>
                </c:pt>
                <c:pt idx="50">
                  <c:v>656.29862051784369</c:v>
                </c:pt>
                <c:pt idx="51">
                  <c:v>605.39622547563874</c:v>
                </c:pt>
                <c:pt idx="52">
                  <c:v>629.47695051408391</c:v>
                </c:pt>
                <c:pt idx="53">
                  <c:v>653.53862634443976</c:v>
                </c:pt>
                <c:pt idx="54">
                  <c:v>677.58205212950963</c:v>
                </c:pt>
                <c:pt idx="55">
                  <c:v>701.6079657632057</c:v>
                </c:pt>
                <c:pt idx="56">
                  <c:v>658.86125812821149</c:v>
                </c:pt>
                <c:pt idx="57">
                  <c:v>681.1279433183812</c:v>
                </c:pt>
                <c:pt idx="58">
                  <c:v>703.37969466682216</c:v>
                </c:pt>
                <c:pt idx="59">
                  <c:v>725.61705054675224</c:v>
                </c:pt>
                <c:pt idx="60">
                  <c:v>747.84051368319672</c:v>
                </c:pt>
                <c:pt idx="61">
                  <c:v>709.67843760807307</c:v>
                </c:pt>
                <c:pt idx="62">
                  <c:v>730.53492575764778</c:v>
                </c:pt>
                <c:pt idx="63">
                  <c:v>751.3792832898913</c:v>
                </c:pt>
                <c:pt idx="64">
                  <c:v>772.21189370950435</c:v>
                </c:pt>
                <c:pt idx="65">
                  <c:v>793.03311816691746</c:v>
                </c:pt>
                <c:pt idx="66">
                  <c:v>757.07992270878549</c:v>
                </c:pt>
                <c:pt idx="67">
                  <c:v>776.14128750193925</c:v>
                </c:pt>
                <c:pt idx="68">
                  <c:v>795.19317303888658</c:v>
                </c:pt>
                <c:pt idx="69">
                  <c:v>814.23583815877089</c:v>
                </c:pt>
                <c:pt idx="70">
                  <c:v>833.2695286207304</c:v>
                </c:pt>
                <c:pt idx="71">
                  <c:v>798.92389786277101</c:v>
                </c:pt>
                <c:pt idx="72">
                  <c:v>816.5910031168105</c:v>
                </c:pt>
                <c:pt idx="73">
                  <c:v>834.25040783808493</c:v>
                </c:pt>
                <c:pt idx="74">
                  <c:v>851.90229781195683</c:v>
                </c:pt>
                <c:pt idx="75">
                  <c:v>869.5468505056682</c:v>
                </c:pt>
                <c:pt idx="76">
                  <c:v>836.80058534437376</c:v>
                </c:pt>
                <c:pt idx="77">
                  <c:v>853.07882767831904</c:v>
                </c:pt>
                <c:pt idx="78">
                  <c:v>869.35083960501481</c:v>
                </c:pt>
                <c:pt idx="79">
                  <c:v>885.61675404580762</c:v>
                </c:pt>
                <c:pt idx="80">
                  <c:v>901.87669864666202</c:v>
                </c:pt>
                <c:pt idx="81">
                  <c:v>854.8435614514475</c:v>
                </c:pt>
                <c:pt idx="82">
                  <c:v>854.8435614514475</c:v>
                </c:pt>
                <c:pt idx="83">
                  <c:v>854.8435614514475</c:v>
                </c:pt>
                <c:pt idx="84">
                  <c:v>854.8435614514475</c:v>
                </c:pt>
                <c:pt idx="85">
                  <c:v>854.8435614514475</c:v>
                </c:pt>
                <c:pt idx="86">
                  <c:v>854.8435614514475</c:v>
                </c:pt>
                <c:pt idx="87">
                  <c:v>854.8435614514475</c:v>
                </c:pt>
                <c:pt idx="88">
                  <c:v>854.8435614514475</c:v>
                </c:pt>
                <c:pt idx="89">
                  <c:v>854.8435614514475</c:v>
                </c:pt>
                <c:pt idx="90">
                  <c:v>854.8435614514475</c:v>
                </c:pt>
                <c:pt idx="91">
                  <c:v>854.8435614514475</c:v>
                </c:pt>
                <c:pt idx="92">
                  <c:v>854.8435614514475</c:v>
                </c:pt>
                <c:pt idx="93">
                  <c:v>854.8435614514475</c:v>
                </c:pt>
                <c:pt idx="94">
                  <c:v>854.8435614514475</c:v>
                </c:pt>
                <c:pt idx="95">
                  <c:v>854.8435614514475</c:v>
                </c:pt>
                <c:pt idx="96">
                  <c:v>854.8435614514475</c:v>
                </c:pt>
                <c:pt idx="97">
                  <c:v>854.8435614514475</c:v>
                </c:pt>
                <c:pt idx="98">
                  <c:v>854.8435614514475</c:v>
                </c:pt>
                <c:pt idx="99">
                  <c:v>854.8435614514475</c:v>
                </c:pt>
                <c:pt idx="100">
                  <c:v>854.8435614514475</c:v>
                </c:pt>
                <c:pt idx="101">
                  <c:v>854.8435614514475</c:v>
                </c:pt>
                <c:pt idx="102">
                  <c:v>854.8435614514475</c:v>
                </c:pt>
                <c:pt idx="103">
                  <c:v>854.8435614514475</c:v>
                </c:pt>
                <c:pt idx="104">
                  <c:v>854.8435614514475</c:v>
                </c:pt>
                <c:pt idx="105">
                  <c:v>854.8435614514475</c:v>
                </c:pt>
                <c:pt idx="106">
                  <c:v>854.8435614514475</c:v>
                </c:pt>
                <c:pt idx="107">
                  <c:v>854.8435614514475</c:v>
                </c:pt>
                <c:pt idx="108">
                  <c:v>854.8435614514475</c:v>
                </c:pt>
                <c:pt idx="109">
                  <c:v>854.8435614514475</c:v>
                </c:pt>
                <c:pt idx="110">
                  <c:v>854.8435614514475</c:v>
                </c:pt>
                <c:pt idx="111">
                  <c:v>854.8435614514475</c:v>
                </c:pt>
                <c:pt idx="112">
                  <c:v>854.8435614514475</c:v>
                </c:pt>
                <c:pt idx="113">
                  <c:v>854.8435614514475</c:v>
                </c:pt>
                <c:pt idx="114">
                  <c:v>854.8435614514475</c:v>
                </c:pt>
                <c:pt idx="115">
                  <c:v>854.8435614514475</c:v>
                </c:pt>
                <c:pt idx="116">
                  <c:v>854.8435614514475</c:v>
                </c:pt>
                <c:pt idx="117">
                  <c:v>854.8435614514475</c:v>
                </c:pt>
                <c:pt idx="118">
                  <c:v>854.8435614514475</c:v>
                </c:pt>
                <c:pt idx="119">
                  <c:v>854.8435614514475</c:v>
                </c:pt>
                <c:pt idx="120">
                  <c:v>854.8435614514475</c:v>
                </c:pt>
                <c:pt idx="121">
                  <c:v>854.8435614514475</c:v>
                </c:pt>
                <c:pt idx="122">
                  <c:v>854.8435614514475</c:v>
                </c:pt>
                <c:pt idx="123">
                  <c:v>854.8435614514475</c:v>
                </c:pt>
                <c:pt idx="124">
                  <c:v>854.8435614514475</c:v>
                </c:pt>
                <c:pt idx="125">
                  <c:v>854.8435614514475</c:v>
                </c:pt>
                <c:pt idx="126">
                  <c:v>854.8435614514475</c:v>
                </c:pt>
                <c:pt idx="127">
                  <c:v>854.8435614514475</c:v>
                </c:pt>
                <c:pt idx="128">
                  <c:v>854.8435614514475</c:v>
                </c:pt>
                <c:pt idx="129">
                  <c:v>854.8435614514475</c:v>
                </c:pt>
                <c:pt idx="130">
                  <c:v>854.8435614514475</c:v>
                </c:pt>
                <c:pt idx="131">
                  <c:v>854.8435614514475</c:v>
                </c:pt>
                <c:pt idx="132">
                  <c:v>854.8435614514475</c:v>
                </c:pt>
                <c:pt idx="133">
                  <c:v>854.8435614514475</c:v>
                </c:pt>
                <c:pt idx="134">
                  <c:v>854.8435614514475</c:v>
                </c:pt>
                <c:pt idx="135">
                  <c:v>854.8435614514475</c:v>
                </c:pt>
                <c:pt idx="136">
                  <c:v>854.8435614514475</c:v>
                </c:pt>
                <c:pt idx="137">
                  <c:v>854.8435614514475</c:v>
                </c:pt>
                <c:pt idx="138">
                  <c:v>854.8435614514475</c:v>
                </c:pt>
                <c:pt idx="139">
                  <c:v>854.8435614514475</c:v>
                </c:pt>
                <c:pt idx="140">
                  <c:v>854.8435614514475</c:v>
                </c:pt>
                <c:pt idx="141">
                  <c:v>854.8435614514475</c:v>
                </c:pt>
                <c:pt idx="142">
                  <c:v>854.8435614514475</c:v>
                </c:pt>
                <c:pt idx="143">
                  <c:v>854.8435614514475</c:v>
                </c:pt>
                <c:pt idx="144">
                  <c:v>854.8435614514475</c:v>
                </c:pt>
                <c:pt idx="145">
                  <c:v>854.8435614514475</c:v>
                </c:pt>
                <c:pt idx="146">
                  <c:v>854.8435614514475</c:v>
                </c:pt>
                <c:pt idx="147">
                  <c:v>854.8435614514475</c:v>
                </c:pt>
                <c:pt idx="148">
                  <c:v>854.8435614514475</c:v>
                </c:pt>
                <c:pt idx="149">
                  <c:v>854.8435614514475</c:v>
                </c:pt>
                <c:pt idx="150">
                  <c:v>854.8435614514475</c:v>
                </c:pt>
                <c:pt idx="151">
                  <c:v>854.8435614514475</c:v>
                </c:pt>
                <c:pt idx="152">
                  <c:v>854.8435614514475</c:v>
                </c:pt>
                <c:pt idx="153">
                  <c:v>854.8435614514475</c:v>
                </c:pt>
                <c:pt idx="154">
                  <c:v>854.8435614514475</c:v>
                </c:pt>
                <c:pt idx="155">
                  <c:v>854.8435614514475</c:v>
                </c:pt>
                <c:pt idx="156">
                  <c:v>854.8435614514475</c:v>
                </c:pt>
                <c:pt idx="157">
                  <c:v>854.8435614514475</c:v>
                </c:pt>
                <c:pt idx="158">
                  <c:v>854.8435614514475</c:v>
                </c:pt>
                <c:pt idx="159">
                  <c:v>854.8435614514475</c:v>
                </c:pt>
                <c:pt idx="160">
                  <c:v>854.8435614514475</c:v>
                </c:pt>
                <c:pt idx="161">
                  <c:v>854.8435614514475</c:v>
                </c:pt>
                <c:pt idx="162">
                  <c:v>854.8435614514475</c:v>
                </c:pt>
                <c:pt idx="163">
                  <c:v>854.8435614514475</c:v>
                </c:pt>
                <c:pt idx="164">
                  <c:v>854.8435614514475</c:v>
                </c:pt>
                <c:pt idx="165">
                  <c:v>854.8435614514475</c:v>
                </c:pt>
                <c:pt idx="166">
                  <c:v>854.8435614514475</c:v>
                </c:pt>
                <c:pt idx="167">
                  <c:v>854.8435614514475</c:v>
                </c:pt>
                <c:pt idx="168">
                  <c:v>854.8435614514475</c:v>
                </c:pt>
                <c:pt idx="169">
                  <c:v>854.8435614514475</c:v>
                </c:pt>
                <c:pt idx="170">
                  <c:v>854.8435614514475</c:v>
                </c:pt>
                <c:pt idx="171">
                  <c:v>854.8435614514475</c:v>
                </c:pt>
                <c:pt idx="172">
                  <c:v>854.8435614514475</c:v>
                </c:pt>
                <c:pt idx="173">
                  <c:v>854.8435614514475</c:v>
                </c:pt>
                <c:pt idx="174">
                  <c:v>854.8435614514475</c:v>
                </c:pt>
                <c:pt idx="175">
                  <c:v>854.8435614514475</c:v>
                </c:pt>
                <c:pt idx="176">
                  <c:v>854.8435614514475</c:v>
                </c:pt>
                <c:pt idx="177">
                  <c:v>854.8435614514475</c:v>
                </c:pt>
                <c:pt idx="178">
                  <c:v>854.8435614514475</c:v>
                </c:pt>
                <c:pt idx="179">
                  <c:v>854.8435614514475</c:v>
                </c:pt>
                <c:pt idx="180">
                  <c:v>854.8435614514475</c:v>
                </c:pt>
                <c:pt idx="181">
                  <c:v>854.8435614514475</c:v>
                </c:pt>
                <c:pt idx="182">
                  <c:v>854.8435614514475</c:v>
                </c:pt>
                <c:pt idx="183">
                  <c:v>854.8435614514475</c:v>
                </c:pt>
                <c:pt idx="184">
                  <c:v>854.8435614514475</c:v>
                </c:pt>
                <c:pt idx="185">
                  <c:v>854.8435614514475</c:v>
                </c:pt>
                <c:pt idx="186">
                  <c:v>854.8435614514475</c:v>
                </c:pt>
                <c:pt idx="187">
                  <c:v>854.8435614514475</c:v>
                </c:pt>
                <c:pt idx="188">
                  <c:v>854.8435614514475</c:v>
                </c:pt>
                <c:pt idx="189">
                  <c:v>854.8435614514475</c:v>
                </c:pt>
                <c:pt idx="190">
                  <c:v>854.8435614514475</c:v>
                </c:pt>
                <c:pt idx="191">
                  <c:v>854.8435614514475</c:v>
                </c:pt>
                <c:pt idx="192">
                  <c:v>854.8435614514475</c:v>
                </c:pt>
                <c:pt idx="193">
                  <c:v>854.8435614514475</c:v>
                </c:pt>
                <c:pt idx="194">
                  <c:v>854.8435614514475</c:v>
                </c:pt>
                <c:pt idx="195">
                  <c:v>854.8435614514475</c:v>
                </c:pt>
                <c:pt idx="196">
                  <c:v>854.8435614514475</c:v>
                </c:pt>
                <c:pt idx="197">
                  <c:v>854.8435614514475</c:v>
                </c:pt>
                <c:pt idx="198">
                  <c:v>854.8435614514475</c:v>
                </c:pt>
                <c:pt idx="199">
                  <c:v>854.8435614514475</c:v>
                </c:pt>
                <c:pt idx="200">
                  <c:v>854.8435614514475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E21" sqref="E2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0.3367</v>
      </c>
      <c r="D9" s="33">
        <f t="shared" ref="D9:D18" si="0">C9*$C$5</f>
        <v>8.7542000000000009</v>
      </c>
      <c r="E9" s="265">
        <v>115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18</v>
      </c>
      <c r="C10" s="264">
        <v>0.14769065520945218</v>
      </c>
      <c r="D10" s="33">
        <f t="shared" si="0"/>
        <v>3.8399570354457566</v>
      </c>
      <c r="E10" s="265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25</v>
      </c>
      <c r="C11" s="264">
        <v>0.11278195488721805</v>
      </c>
      <c r="D11" s="33">
        <f t="shared" si="0"/>
        <v>2.9323308270676693</v>
      </c>
      <c r="E11" s="265">
        <v>115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6</v>
      </c>
      <c r="C12" s="264">
        <v>0.11278195488721805</v>
      </c>
      <c r="D12" s="33">
        <f t="shared" si="0"/>
        <v>2.9323308270676693</v>
      </c>
      <c r="E12" s="265">
        <v>105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36</v>
      </c>
      <c r="C13" s="32">
        <v>0.10741138560687433</v>
      </c>
      <c r="D13" s="33">
        <f t="shared" si="0"/>
        <v>2.7926960257787323</v>
      </c>
      <c r="E13" s="34">
        <v>30</v>
      </c>
      <c r="F13" s="35" t="str">
        <f t="array" ref="F13">IF(E13="","",IF(INDEX(A:A,MAX(IF(ISNUMBER($A$140:$A$159),ROW($A$140:$A$159),"")))&lt;&gt;E13,"Corrigez : révolution incorrecte","OK"))</f>
        <v>OK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8</v>
      </c>
      <c r="C14" s="32">
        <v>9.3984962406015032E-2</v>
      </c>
      <c r="D14" s="33">
        <f t="shared" si="0"/>
        <v>2.4436090225563909</v>
      </c>
      <c r="E14" s="34">
        <v>50</v>
      </c>
      <c r="F14" s="35" t="str">
        <f t="array" ref="F14">IF(E14="","",IF(INDEX(A:A,MAX(IF(ISNUMBER($A$166:$A$185),ROW($A$166:$A$185),"")))&lt;&gt;E14,"Corrigez : révolution incorrecte","OK"))</f>
        <v>OK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38</v>
      </c>
      <c r="C15" s="32">
        <v>3.7593984962406013E-2</v>
      </c>
      <c r="D15" s="33">
        <f t="shared" si="0"/>
        <v>0.97744360902255634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41</v>
      </c>
      <c r="C16" s="32">
        <v>2.1482277121374866E-2</v>
      </c>
      <c r="D16" s="33">
        <f t="shared" si="0"/>
        <v>0.55853920515574651</v>
      </c>
      <c r="E16" s="34">
        <v>100</v>
      </c>
      <c r="F16" s="35" t="str">
        <f t="array" ref="F16">IF(E16="","",IF(INDEX(A:A,MAX(IF(ISNUMBER($A$218:$A$237),ROW($A$218:$A$237),"")))&lt;&gt;E16,"Corrigez : révolution incorrecte","OK"))</f>
        <v>OK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164</v>
      </c>
      <c r="C17" s="32">
        <v>1.611170784103115E-2</v>
      </c>
      <c r="D17" s="33">
        <f t="shared" si="0"/>
        <v>0.41890440386680994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45</v>
      </c>
      <c r="C18" s="32">
        <v>1.3426423200859291E-2</v>
      </c>
      <c r="D18" s="33">
        <f t="shared" si="0"/>
        <v>0.34908700322234154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0.99996530612244894</v>
      </c>
      <c r="D19" s="38">
        <f>SUM(D9:D18)</f>
        <v>25.999097959183675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20</v>
      </c>
      <c r="B36" s="259">
        <v>42</v>
      </c>
      <c r="C36" s="259"/>
      <c r="D36" s="259">
        <v>0</v>
      </c>
      <c r="E36" s="260"/>
      <c r="F36" s="260"/>
      <c r="G36" s="260"/>
      <c r="H36" s="260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25</v>
      </c>
      <c r="B37" s="259">
        <v>70</v>
      </c>
      <c r="C37" s="259">
        <v>1</v>
      </c>
      <c r="D37" s="259">
        <v>8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30</v>
      </c>
      <c r="B38" s="259">
        <v>97</v>
      </c>
      <c r="C38" s="259">
        <v>2</v>
      </c>
      <c r="D38" s="259">
        <v>21</v>
      </c>
      <c r="E38" s="260"/>
      <c r="F38" s="260"/>
      <c r="G38" s="260"/>
      <c r="H38" s="260">
        <v>1</v>
      </c>
      <c r="I38" s="53">
        <f t="shared" si="1"/>
        <v>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35</v>
      </c>
      <c r="B39" s="259">
        <v>116</v>
      </c>
      <c r="C39" s="259">
        <v>3</v>
      </c>
      <c r="D39" s="259">
        <v>21</v>
      </c>
      <c r="E39" s="260">
        <v>1</v>
      </c>
      <c r="F39" s="260"/>
      <c r="G39" s="260"/>
      <c r="H39" s="260"/>
      <c r="I39" s="49">
        <f t="shared" si="1"/>
        <v>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40</v>
      </c>
      <c r="B40" s="259">
        <v>137</v>
      </c>
      <c r="C40" s="259">
        <v>4</v>
      </c>
      <c r="D40" s="259">
        <v>21</v>
      </c>
      <c r="E40" s="260">
        <v>1</v>
      </c>
      <c r="F40" s="260"/>
      <c r="G40" s="260"/>
      <c r="H40" s="260"/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45</v>
      </c>
      <c r="B41" s="259">
        <v>158</v>
      </c>
      <c r="C41" s="259">
        <v>5</v>
      </c>
      <c r="D41" s="259">
        <v>21</v>
      </c>
      <c r="E41" s="260">
        <v>1</v>
      </c>
      <c r="F41" s="260"/>
      <c r="G41" s="260"/>
      <c r="H41" s="260"/>
      <c r="I41" s="53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50</v>
      </c>
      <c r="B42" s="259">
        <v>178</v>
      </c>
      <c r="C42" s="259">
        <v>6</v>
      </c>
      <c r="D42" s="259">
        <v>21</v>
      </c>
      <c r="E42" s="260">
        <v>1</v>
      </c>
      <c r="F42" s="260"/>
      <c r="G42" s="260"/>
      <c r="H42" s="260"/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55</v>
      </c>
      <c r="B43" s="259">
        <v>197</v>
      </c>
      <c r="C43" s="259">
        <v>7</v>
      </c>
      <c r="D43" s="259">
        <v>21</v>
      </c>
      <c r="E43" s="260">
        <v>1</v>
      </c>
      <c r="F43" s="260"/>
      <c r="G43" s="260"/>
      <c r="H43" s="260"/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214</v>
      </c>
      <c r="C44" s="259">
        <v>8</v>
      </c>
      <c r="D44" s="259">
        <v>21</v>
      </c>
      <c r="E44" s="260">
        <v>1</v>
      </c>
      <c r="F44" s="260"/>
      <c r="G44" s="260"/>
      <c r="H44" s="260"/>
      <c r="I44" s="49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65</v>
      </c>
      <c r="B45" s="261">
        <v>229</v>
      </c>
      <c r="C45" s="259">
        <v>9</v>
      </c>
      <c r="D45" s="261">
        <v>21</v>
      </c>
      <c r="E45" s="260">
        <v>1</v>
      </c>
      <c r="F45" s="260"/>
      <c r="G45" s="260"/>
      <c r="H45" s="260"/>
      <c r="I45" s="49">
        <f t="shared" si="1"/>
        <v>7.2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70</v>
      </c>
      <c r="B46" s="262">
        <v>242</v>
      </c>
      <c r="C46" s="259">
        <v>10</v>
      </c>
      <c r="D46" s="262">
        <v>21</v>
      </c>
      <c r="E46" s="260">
        <v>1</v>
      </c>
      <c r="F46" s="260"/>
      <c r="G46" s="260"/>
      <c r="H46" s="260"/>
      <c r="I46" s="49">
        <f t="shared" si="1"/>
        <v>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75</v>
      </c>
      <c r="B47" s="261">
        <v>252</v>
      </c>
      <c r="C47" s="259">
        <v>11</v>
      </c>
      <c r="D47" s="261">
        <v>21</v>
      </c>
      <c r="E47" s="260">
        <v>1</v>
      </c>
      <c r="F47" s="260"/>
      <c r="G47" s="260"/>
      <c r="H47" s="260"/>
      <c r="I47" s="49">
        <f t="shared" si="1"/>
        <v>6.2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80</v>
      </c>
      <c r="B48" s="261">
        <v>261</v>
      </c>
      <c r="C48" s="259">
        <v>12</v>
      </c>
      <c r="D48" s="261">
        <v>21</v>
      </c>
      <c r="E48" s="260">
        <v>1</v>
      </c>
      <c r="F48" s="260"/>
      <c r="G48" s="260"/>
      <c r="H48" s="260"/>
      <c r="I48" s="49">
        <f t="shared" si="1"/>
        <v>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85</v>
      </c>
      <c r="B49" s="261">
        <v>269</v>
      </c>
      <c r="C49" s="259">
        <v>13</v>
      </c>
      <c r="D49" s="261">
        <v>21</v>
      </c>
      <c r="E49" s="260">
        <v>1</v>
      </c>
      <c r="F49" s="260"/>
      <c r="G49" s="260"/>
      <c r="H49" s="260"/>
      <c r="I49" s="49">
        <f t="shared" si="1"/>
        <v>5.8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90</v>
      </c>
      <c r="B50" s="261">
        <v>275</v>
      </c>
      <c r="C50" s="261">
        <v>14</v>
      </c>
      <c r="D50" s="261">
        <v>21</v>
      </c>
      <c r="E50" s="260">
        <v>1</v>
      </c>
      <c r="F50" s="260"/>
      <c r="G50" s="260"/>
      <c r="H50" s="260"/>
      <c r="I50" s="49">
        <f t="shared" si="1"/>
        <v>5.4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95</v>
      </c>
      <c r="B51" s="261">
        <v>279</v>
      </c>
      <c r="C51" s="261">
        <v>15</v>
      </c>
      <c r="D51" s="261">
        <v>21</v>
      </c>
      <c r="E51" s="260">
        <v>1</v>
      </c>
      <c r="F51" s="260"/>
      <c r="G51" s="260"/>
      <c r="H51" s="260"/>
      <c r="I51" s="49">
        <f t="shared" si="1"/>
        <v>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100</v>
      </c>
      <c r="B52" s="261">
        <v>282</v>
      </c>
      <c r="C52" s="261">
        <v>16</v>
      </c>
      <c r="D52" s="261">
        <v>21</v>
      </c>
      <c r="E52" s="260">
        <v>1</v>
      </c>
      <c r="F52" s="260"/>
      <c r="G52" s="260"/>
      <c r="H52" s="260"/>
      <c r="I52" s="49">
        <f t="shared" si="1"/>
        <v>4.8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105</v>
      </c>
      <c r="B53" s="261">
        <v>284</v>
      </c>
      <c r="C53" s="261">
        <v>17</v>
      </c>
      <c r="D53" s="261">
        <v>20</v>
      </c>
      <c r="E53" s="260">
        <v>1</v>
      </c>
      <c r="F53" s="260"/>
      <c r="G53" s="260"/>
      <c r="H53" s="260"/>
      <c r="I53" s="49">
        <f t="shared" si="1"/>
        <v>4.5999999999999996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110</v>
      </c>
      <c r="B54" s="261">
        <v>285</v>
      </c>
      <c r="C54" s="261">
        <v>18</v>
      </c>
      <c r="D54" s="261">
        <v>19</v>
      </c>
      <c r="E54" s="260">
        <v>1</v>
      </c>
      <c r="F54" s="260"/>
      <c r="G54" s="260"/>
      <c r="H54" s="260"/>
      <c r="I54" s="49">
        <f t="shared" si="1"/>
        <v>4.2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115</v>
      </c>
      <c r="B55" s="261">
        <v>285</v>
      </c>
      <c r="C55" s="261">
        <v>19</v>
      </c>
      <c r="D55" s="261">
        <v>18</v>
      </c>
      <c r="E55" s="260">
        <v>1</v>
      </c>
      <c r="F55" s="260"/>
      <c r="G55" s="260"/>
      <c r="H55" s="260"/>
      <c r="I55" s="49">
        <f t="shared" si="1"/>
        <v>3.8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Douglas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19</v>
      </c>
      <c r="B62" s="261">
        <v>162</v>
      </c>
      <c r="C62" s="261"/>
      <c r="D62" s="261">
        <v>0</v>
      </c>
      <c r="E62" s="260"/>
      <c r="F62" s="260"/>
      <c r="G62" s="260"/>
      <c r="H62" s="260"/>
      <c r="I62" s="53">
        <f>IFERROR(B62/A62,"")</f>
        <v>8.526315789473685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25</v>
      </c>
      <c r="B63" s="261">
        <v>335</v>
      </c>
      <c r="C63" s="261">
        <v>1</v>
      </c>
      <c r="D63" s="261">
        <v>54</v>
      </c>
      <c r="E63" s="260"/>
      <c r="F63" s="260"/>
      <c r="G63" s="260">
        <v>1</v>
      </c>
      <c r="H63" s="260"/>
      <c r="I63" s="49">
        <f>IF(A63&lt;&gt;0,(B63-(B62-D62))/(A63-A62),"")</f>
        <v>28.833333333333332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30</v>
      </c>
      <c r="B64" s="261">
        <v>421</v>
      </c>
      <c r="C64" s="261">
        <v>2</v>
      </c>
      <c r="D64" s="261">
        <v>54</v>
      </c>
      <c r="E64" s="260"/>
      <c r="F64" s="260">
        <v>1</v>
      </c>
      <c r="G64" s="260"/>
      <c r="H64" s="260"/>
      <c r="I64" s="49">
        <f>IF(A64&lt;&gt;0,(B64-(B63-D63))/(A64-A63),"")</f>
        <v>28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35</v>
      </c>
      <c r="B65" s="261">
        <v>505</v>
      </c>
      <c r="C65" s="261">
        <v>3</v>
      </c>
      <c r="D65" s="261">
        <v>69</v>
      </c>
      <c r="E65" s="260">
        <v>1</v>
      </c>
      <c r="F65" s="260"/>
      <c r="G65" s="260"/>
      <c r="H65" s="260"/>
      <c r="I65" s="49">
        <f>IF(A65&lt;&gt;0,(B65-(B64-D64))/(A65-A64),"")</f>
        <v>27.6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40</v>
      </c>
      <c r="B66" s="261">
        <v>564</v>
      </c>
      <c r="C66" s="261">
        <v>4</v>
      </c>
      <c r="D66" s="261">
        <v>72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45</v>
      </c>
      <c r="B67" s="261">
        <v>606</v>
      </c>
      <c r="C67" s="261">
        <v>5</v>
      </c>
      <c r="D67" s="261">
        <v>66</v>
      </c>
      <c r="E67" s="260">
        <v>1</v>
      </c>
      <c r="F67" s="260"/>
      <c r="G67" s="260"/>
      <c r="H67" s="260"/>
      <c r="I67" s="49">
        <f t="shared" si="2"/>
        <v>22.8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50</v>
      </c>
      <c r="B68" s="261">
        <v>629</v>
      </c>
      <c r="C68" s="261">
        <v>6</v>
      </c>
      <c r="D68" s="261">
        <v>48</v>
      </c>
      <c r="E68" s="260">
        <v>1</v>
      </c>
      <c r="F68" s="260"/>
      <c r="G68" s="260"/>
      <c r="H68" s="260"/>
      <c r="I68" s="49">
        <f t="shared" si="2"/>
        <v>17.8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55</v>
      </c>
      <c r="B69" s="261">
        <v>650</v>
      </c>
      <c r="C69" s="261">
        <v>7</v>
      </c>
      <c r="D69" s="261">
        <v>35</v>
      </c>
      <c r="E69" s="260">
        <v>1</v>
      </c>
      <c r="F69" s="260"/>
      <c r="G69" s="260"/>
      <c r="H69" s="260"/>
      <c r="I69" s="49">
        <f t="shared" si="2"/>
        <v>13.8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666</v>
      </c>
      <c r="C70" s="261">
        <v>8</v>
      </c>
      <c r="D70" s="261">
        <v>29</v>
      </c>
      <c r="E70" s="260">
        <v>1</v>
      </c>
      <c r="F70" s="260"/>
      <c r="G70" s="260"/>
      <c r="H70" s="260"/>
      <c r="I70" s="49">
        <f t="shared" si="2"/>
        <v>10.199999999999999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Hêtre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20</v>
      </c>
      <c r="B88" s="261">
        <v>32</v>
      </c>
      <c r="C88" s="261"/>
      <c r="D88" s="261">
        <v>0</v>
      </c>
      <c r="E88" s="260"/>
      <c r="F88" s="260"/>
      <c r="G88" s="260"/>
      <c r="H88" s="260"/>
      <c r="I88" s="53">
        <f>IFERROR(B88/A88,"")</f>
        <v>1.6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25</v>
      </c>
      <c r="B89" s="261">
        <v>76</v>
      </c>
      <c r="C89" s="261">
        <v>1</v>
      </c>
      <c r="D89" s="261">
        <v>7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30</v>
      </c>
      <c r="B90" s="261">
        <v>116</v>
      </c>
      <c r="C90" s="261">
        <v>2</v>
      </c>
      <c r="D90" s="261">
        <v>28</v>
      </c>
      <c r="E90" s="260"/>
      <c r="F90" s="260"/>
      <c r="G90" s="260"/>
      <c r="H90" s="260">
        <v>1</v>
      </c>
      <c r="I90" s="53">
        <f t="shared" si="3"/>
        <v>9.4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35</v>
      </c>
      <c r="B91" s="261">
        <v>139</v>
      </c>
      <c r="C91" s="261">
        <v>3</v>
      </c>
      <c r="D91" s="261">
        <v>28</v>
      </c>
      <c r="E91" s="260">
        <v>1</v>
      </c>
      <c r="F91" s="260"/>
      <c r="G91" s="260"/>
      <c r="H91" s="260"/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40</v>
      </c>
      <c r="B92" s="261">
        <v>161</v>
      </c>
      <c r="C92" s="261">
        <v>4</v>
      </c>
      <c r="D92" s="261">
        <v>28</v>
      </c>
      <c r="E92" s="260">
        <v>1</v>
      </c>
      <c r="F92" s="260"/>
      <c r="G92" s="260"/>
      <c r="H92" s="260"/>
      <c r="I92" s="53">
        <f t="shared" si="3"/>
        <v>10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45</v>
      </c>
      <c r="B93" s="261">
        <v>190</v>
      </c>
      <c r="C93" s="261">
        <v>5</v>
      </c>
      <c r="D93" s="261">
        <v>28</v>
      </c>
      <c r="E93" s="260">
        <v>1</v>
      </c>
      <c r="F93" s="260"/>
      <c r="G93" s="260"/>
      <c r="H93" s="260"/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50</v>
      </c>
      <c r="B94" s="261">
        <v>217</v>
      </c>
      <c r="C94" s="261">
        <v>6</v>
      </c>
      <c r="D94" s="261">
        <v>28</v>
      </c>
      <c r="E94" s="260">
        <v>1</v>
      </c>
      <c r="F94" s="260"/>
      <c r="G94" s="260"/>
      <c r="H94" s="260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55</v>
      </c>
      <c r="B95" s="261">
        <v>244</v>
      </c>
      <c r="C95" s="261">
        <v>7</v>
      </c>
      <c r="D95" s="261">
        <v>28</v>
      </c>
      <c r="E95" s="260">
        <v>1</v>
      </c>
      <c r="F95" s="260"/>
      <c r="G95" s="260"/>
      <c r="H95" s="260"/>
      <c r="I95" s="53">
        <f t="shared" si="3"/>
        <v>11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60</v>
      </c>
      <c r="B96" s="261">
        <v>270</v>
      </c>
      <c r="C96" s="261">
        <v>8</v>
      </c>
      <c r="D96" s="261">
        <v>28</v>
      </c>
      <c r="E96" s="260">
        <v>1</v>
      </c>
      <c r="F96" s="260"/>
      <c r="G96" s="260"/>
      <c r="H96" s="260"/>
      <c r="I96" s="53">
        <f t="shared" si="3"/>
        <v>10.8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65</v>
      </c>
      <c r="B97" s="261">
        <v>294</v>
      </c>
      <c r="C97" s="261">
        <v>9</v>
      </c>
      <c r="D97" s="261">
        <v>28</v>
      </c>
      <c r="E97" s="260">
        <v>1</v>
      </c>
      <c r="F97" s="260"/>
      <c r="G97" s="260"/>
      <c r="H97" s="260"/>
      <c r="I97" s="53">
        <f t="shared" si="3"/>
        <v>10.4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70</v>
      </c>
      <c r="B98" s="261">
        <v>316</v>
      </c>
      <c r="C98" s="261">
        <v>10</v>
      </c>
      <c r="D98" s="261">
        <v>28</v>
      </c>
      <c r="E98" s="260">
        <v>1</v>
      </c>
      <c r="F98" s="260"/>
      <c r="G98" s="260"/>
      <c r="H98" s="260"/>
      <c r="I98" s="53">
        <f t="shared" si="3"/>
        <v>10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75</v>
      </c>
      <c r="B99" s="261">
        <v>335</v>
      </c>
      <c r="C99" s="261">
        <v>11</v>
      </c>
      <c r="D99" s="261">
        <v>28</v>
      </c>
      <c r="E99" s="260">
        <v>1</v>
      </c>
      <c r="F99" s="260"/>
      <c r="G99" s="260"/>
      <c r="H99" s="260"/>
      <c r="I99" s="53">
        <f t="shared" si="3"/>
        <v>9.4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80</v>
      </c>
      <c r="B100" s="261">
        <v>351</v>
      </c>
      <c r="C100" s="261">
        <v>12</v>
      </c>
      <c r="D100" s="261">
        <v>28</v>
      </c>
      <c r="E100" s="260">
        <v>1</v>
      </c>
      <c r="F100" s="260"/>
      <c r="G100" s="260"/>
      <c r="H100" s="260"/>
      <c r="I100" s="53">
        <f t="shared" si="3"/>
        <v>8.8000000000000007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85</v>
      </c>
      <c r="B101" s="261">
        <v>365</v>
      </c>
      <c r="C101" s="261">
        <v>13</v>
      </c>
      <c r="D101" s="261">
        <v>27</v>
      </c>
      <c r="E101" s="260">
        <v>1</v>
      </c>
      <c r="F101" s="260"/>
      <c r="G101" s="260"/>
      <c r="H101" s="260"/>
      <c r="I101" s="53">
        <f t="shared" si="3"/>
        <v>8.4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90</v>
      </c>
      <c r="B102" s="261">
        <v>377</v>
      </c>
      <c r="C102" s="261">
        <v>14</v>
      </c>
      <c r="D102" s="261">
        <v>26</v>
      </c>
      <c r="E102" s="260">
        <v>1</v>
      </c>
      <c r="F102" s="260"/>
      <c r="G102" s="260"/>
      <c r="H102" s="260"/>
      <c r="I102" s="53">
        <f t="shared" si="3"/>
        <v>7.8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95</v>
      </c>
      <c r="B103" s="257">
        <v>389</v>
      </c>
      <c r="C103" s="256">
        <v>15</v>
      </c>
      <c r="D103" s="256">
        <v>25</v>
      </c>
      <c r="E103" s="255">
        <v>1</v>
      </c>
      <c r="F103" s="255"/>
      <c r="G103" s="255"/>
      <c r="H103" s="255"/>
      <c r="I103" s="53">
        <f t="shared" si="3"/>
        <v>7.6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100</v>
      </c>
      <c r="B104" s="257">
        <v>400</v>
      </c>
      <c r="C104" s="256">
        <v>16</v>
      </c>
      <c r="D104" s="256">
        <v>24</v>
      </c>
      <c r="E104" s="255">
        <v>1</v>
      </c>
      <c r="F104" s="255"/>
      <c r="G104" s="255"/>
      <c r="H104" s="255"/>
      <c r="I104" s="53">
        <f t="shared" si="3"/>
        <v>7.2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105</v>
      </c>
      <c r="B105" s="257">
        <v>409</v>
      </c>
      <c r="C105" s="256">
        <v>17</v>
      </c>
      <c r="D105" s="256">
        <v>23</v>
      </c>
      <c r="E105" s="255">
        <v>1</v>
      </c>
      <c r="F105" s="255"/>
      <c r="G105" s="255"/>
      <c r="H105" s="255"/>
      <c r="I105" s="53">
        <f t="shared" si="3"/>
        <v>6.6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110</v>
      </c>
      <c r="B106" s="257">
        <v>418</v>
      </c>
      <c r="C106" s="256">
        <v>18</v>
      </c>
      <c r="D106" s="256">
        <v>22</v>
      </c>
      <c r="E106" s="255">
        <v>1</v>
      </c>
      <c r="F106" s="255"/>
      <c r="G106" s="255"/>
      <c r="H106" s="255"/>
      <c r="I106" s="53">
        <f t="shared" si="3"/>
        <v>6.4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>
        <v>115</v>
      </c>
      <c r="B107" s="257">
        <v>426</v>
      </c>
      <c r="C107" s="256">
        <v>19</v>
      </c>
      <c r="D107" s="258">
        <v>22</v>
      </c>
      <c r="E107" s="255">
        <v>1</v>
      </c>
      <c r="F107" s="255"/>
      <c r="G107" s="255"/>
      <c r="H107" s="255"/>
      <c r="I107" s="53">
        <f t="shared" si="3"/>
        <v>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Charme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67</v>
      </c>
      <c r="C114" s="261">
        <v>1</v>
      </c>
      <c r="D114" s="261">
        <v>10</v>
      </c>
      <c r="E114" s="260"/>
      <c r="F114" s="260"/>
      <c r="G114" s="260"/>
      <c r="H114" s="260">
        <v>1</v>
      </c>
      <c r="I114" s="53">
        <f>IFERROR(B114/A114,"")</f>
        <v>6.7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118</v>
      </c>
      <c r="C115" s="261">
        <v>2</v>
      </c>
      <c r="D115" s="261">
        <v>17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12.2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158</v>
      </c>
      <c r="C116" s="261">
        <v>3</v>
      </c>
      <c r="D116" s="261">
        <v>22</v>
      </c>
      <c r="E116" s="260"/>
      <c r="F116" s="260"/>
      <c r="G116" s="260"/>
      <c r="H116" s="260">
        <v>1</v>
      </c>
      <c r="I116" s="53">
        <f t="shared" si="4"/>
        <v>11.4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188</v>
      </c>
      <c r="C117" s="261">
        <v>4</v>
      </c>
      <c r="D117" s="261">
        <v>26</v>
      </c>
      <c r="E117" s="260"/>
      <c r="F117" s="260"/>
      <c r="G117" s="260"/>
      <c r="H117" s="260">
        <v>1</v>
      </c>
      <c r="I117" s="53">
        <f t="shared" si="4"/>
        <v>10.4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209</v>
      </c>
      <c r="C118" s="261">
        <v>5</v>
      </c>
      <c r="D118" s="261">
        <v>28</v>
      </c>
      <c r="E118" s="260"/>
      <c r="F118" s="260"/>
      <c r="G118" s="260"/>
      <c r="H118" s="260">
        <v>1</v>
      </c>
      <c r="I118" s="53">
        <f t="shared" si="4"/>
        <v>9.4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222</v>
      </c>
      <c r="C119" s="261">
        <v>6</v>
      </c>
      <c r="D119" s="261">
        <v>29</v>
      </c>
      <c r="E119" s="260">
        <v>1</v>
      </c>
      <c r="F119" s="260"/>
      <c r="G119" s="260"/>
      <c r="H119" s="260"/>
      <c r="I119" s="53">
        <f t="shared" si="4"/>
        <v>8.1999999999999993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235</v>
      </c>
      <c r="C120" s="261">
        <v>7</v>
      </c>
      <c r="D120" s="261">
        <v>30</v>
      </c>
      <c r="E120" s="260">
        <v>1</v>
      </c>
      <c r="F120" s="260"/>
      <c r="G120" s="260"/>
      <c r="H120" s="260"/>
      <c r="I120" s="53">
        <f t="shared" si="4"/>
        <v>8.4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243</v>
      </c>
      <c r="C121" s="261">
        <v>8</v>
      </c>
      <c r="D121" s="261">
        <v>30</v>
      </c>
      <c r="E121" s="260">
        <v>1</v>
      </c>
      <c r="F121" s="260"/>
      <c r="G121" s="260"/>
      <c r="H121" s="260"/>
      <c r="I121" s="53">
        <f t="shared" si="4"/>
        <v>7.6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249</v>
      </c>
      <c r="C122" s="261">
        <v>9</v>
      </c>
      <c r="D122" s="261">
        <v>30</v>
      </c>
      <c r="E122" s="260">
        <v>1</v>
      </c>
      <c r="F122" s="260"/>
      <c r="G122" s="260"/>
      <c r="H122" s="260"/>
      <c r="I122" s="53">
        <f t="shared" si="4"/>
        <v>7.2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254</v>
      </c>
      <c r="C123" s="261">
        <v>10</v>
      </c>
      <c r="D123" s="261">
        <v>30</v>
      </c>
      <c r="E123" s="260">
        <v>1</v>
      </c>
      <c r="F123" s="260"/>
      <c r="G123" s="260"/>
      <c r="H123" s="260"/>
      <c r="I123" s="53">
        <f t="shared" si="4"/>
        <v>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257</v>
      </c>
      <c r="C124" s="261">
        <v>11</v>
      </c>
      <c r="D124" s="261">
        <v>29</v>
      </c>
      <c r="E124" s="260">
        <v>1</v>
      </c>
      <c r="F124" s="260"/>
      <c r="G124" s="260"/>
      <c r="H124" s="260"/>
      <c r="I124" s="53">
        <f t="shared" si="4"/>
        <v>6.6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261</v>
      </c>
      <c r="C125" s="261">
        <v>12</v>
      </c>
      <c r="D125" s="261">
        <v>29</v>
      </c>
      <c r="E125" s="260">
        <v>1</v>
      </c>
      <c r="F125" s="260"/>
      <c r="G125" s="260"/>
      <c r="H125" s="260"/>
      <c r="I125" s="53">
        <f t="shared" si="4"/>
        <v>6.6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263</v>
      </c>
      <c r="C126" s="261">
        <v>13</v>
      </c>
      <c r="D126" s="261">
        <v>28</v>
      </c>
      <c r="E126" s="260">
        <v>1</v>
      </c>
      <c r="F126" s="260"/>
      <c r="G126" s="260"/>
      <c r="H126" s="260"/>
      <c r="I126" s="53">
        <f t="shared" si="4"/>
        <v>6.2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264</v>
      </c>
      <c r="C127" s="261">
        <v>14</v>
      </c>
      <c r="D127" s="261">
        <v>27</v>
      </c>
      <c r="E127" s="260">
        <v>1</v>
      </c>
      <c r="F127" s="260"/>
      <c r="G127" s="260"/>
      <c r="H127" s="260"/>
      <c r="I127" s="53">
        <f t="shared" si="4"/>
        <v>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265</v>
      </c>
      <c r="C128" s="261">
        <v>15</v>
      </c>
      <c r="D128" s="261">
        <v>26</v>
      </c>
      <c r="E128" s="260">
        <v>1</v>
      </c>
      <c r="F128" s="260"/>
      <c r="G128" s="260"/>
      <c r="H128" s="260"/>
      <c r="I128" s="53">
        <f t="shared" si="4"/>
        <v>5.6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85</v>
      </c>
      <c r="B129" s="261">
        <v>266</v>
      </c>
      <c r="C129" s="261">
        <v>16</v>
      </c>
      <c r="D129" s="261">
        <v>25</v>
      </c>
      <c r="E129" s="260">
        <v>1</v>
      </c>
      <c r="F129" s="260"/>
      <c r="G129" s="260"/>
      <c r="H129" s="260"/>
      <c r="I129" s="53">
        <f t="shared" si="4"/>
        <v>5.4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90</v>
      </c>
      <c r="B130" s="261">
        <v>267</v>
      </c>
      <c r="C130" s="261">
        <v>17</v>
      </c>
      <c r="D130" s="261">
        <v>24</v>
      </c>
      <c r="E130" s="260">
        <v>1</v>
      </c>
      <c r="F130" s="260"/>
      <c r="G130" s="260"/>
      <c r="H130" s="260"/>
      <c r="I130" s="53">
        <f t="shared" si="4"/>
        <v>5.2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95</v>
      </c>
      <c r="B131" s="261">
        <v>267</v>
      </c>
      <c r="C131" s="261">
        <v>18</v>
      </c>
      <c r="D131" s="261">
        <v>23</v>
      </c>
      <c r="E131" s="260">
        <v>1</v>
      </c>
      <c r="F131" s="260"/>
      <c r="G131" s="260"/>
      <c r="H131" s="260"/>
      <c r="I131" s="53">
        <f t="shared" si="4"/>
        <v>4.8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100</v>
      </c>
      <c r="B132" s="261">
        <v>267</v>
      </c>
      <c r="C132" s="261">
        <v>19</v>
      </c>
      <c r="D132" s="261">
        <v>22</v>
      </c>
      <c r="E132" s="260">
        <v>1</v>
      </c>
      <c r="F132" s="260"/>
      <c r="G132" s="260"/>
      <c r="H132" s="260"/>
      <c r="I132" s="53">
        <f t="shared" si="4"/>
        <v>4.5999999999999996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>
        <v>105</v>
      </c>
      <c r="B133" s="261">
        <v>267</v>
      </c>
      <c r="C133" s="261">
        <v>20</v>
      </c>
      <c r="D133" s="261">
        <v>21</v>
      </c>
      <c r="E133" s="260">
        <v>1</v>
      </c>
      <c r="F133" s="260"/>
      <c r="G133" s="260"/>
      <c r="H133" s="260"/>
      <c r="I133" s="53">
        <f t="shared" si="4"/>
        <v>4.4000000000000004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Pin maritime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11</v>
      </c>
      <c r="B140" s="60">
        <v>83</v>
      </c>
      <c r="C140" s="50"/>
      <c r="D140" s="60"/>
      <c r="E140" s="51"/>
      <c r="F140" s="51"/>
      <c r="G140" s="51"/>
      <c r="H140" s="51"/>
      <c r="I140" s="57">
        <f>IFERROR(B140/A140,"")</f>
        <v>7.5454545454545459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12</v>
      </c>
      <c r="B141" s="60">
        <v>106</v>
      </c>
      <c r="C141" s="50">
        <v>1</v>
      </c>
      <c r="D141" s="60">
        <v>34</v>
      </c>
      <c r="E141" s="51"/>
      <c r="F141" s="51"/>
      <c r="G141" s="51">
        <v>1</v>
      </c>
      <c r="H141" s="51"/>
      <c r="I141" s="57">
        <f t="shared" ref="I141:I159" si="5">IF(A141&lt;&gt;0,(B141-(B140-D140))/(A141-A140),"")</f>
        <v>23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13</v>
      </c>
      <c r="B142" s="60">
        <v>89</v>
      </c>
      <c r="C142" s="50"/>
      <c r="D142" s="60"/>
      <c r="E142" s="51"/>
      <c r="F142" s="51"/>
      <c r="G142" s="51"/>
      <c r="H142" s="51"/>
      <c r="I142" s="57">
        <f t="shared" si="5"/>
        <v>17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14</v>
      </c>
      <c r="B143" s="60">
        <v>110</v>
      </c>
      <c r="C143" s="50"/>
      <c r="D143" s="60"/>
      <c r="E143" s="51"/>
      <c r="F143" s="51"/>
      <c r="G143" s="51"/>
      <c r="H143" s="51"/>
      <c r="I143" s="57">
        <f t="shared" si="5"/>
        <v>21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15</v>
      </c>
      <c r="B144" s="60">
        <v>131</v>
      </c>
      <c r="C144" s="50"/>
      <c r="D144" s="60"/>
      <c r="E144" s="51"/>
      <c r="F144" s="51"/>
      <c r="G144" s="51"/>
      <c r="H144" s="51"/>
      <c r="I144" s="57">
        <f t="shared" si="5"/>
        <v>21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16</v>
      </c>
      <c r="B145" s="60">
        <v>153</v>
      </c>
      <c r="C145" s="50"/>
      <c r="D145" s="60"/>
      <c r="E145" s="51"/>
      <c r="F145" s="51"/>
      <c r="G145" s="51"/>
      <c r="H145" s="51"/>
      <c r="I145" s="57">
        <f t="shared" si="5"/>
        <v>22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17</v>
      </c>
      <c r="B146" s="60">
        <v>176</v>
      </c>
      <c r="C146" s="50">
        <v>2</v>
      </c>
      <c r="D146" s="60">
        <v>43</v>
      </c>
      <c r="E146" s="51">
        <v>0.25</v>
      </c>
      <c r="F146" s="51">
        <v>0.75</v>
      </c>
      <c r="G146" s="51"/>
      <c r="H146" s="51"/>
      <c r="I146" s="57">
        <f t="shared" si="5"/>
        <v>23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18</v>
      </c>
      <c r="B147" s="60">
        <v>151</v>
      </c>
      <c r="C147" s="50"/>
      <c r="D147" s="60"/>
      <c r="E147" s="51"/>
      <c r="F147" s="51"/>
      <c r="G147" s="51"/>
      <c r="H147" s="51"/>
      <c r="I147" s="57">
        <f>IF(A147&lt;&gt;0,(B147-(B146-D146))/(A147-A146),"")</f>
        <v>18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19</v>
      </c>
      <c r="B148" s="60">
        <v>171</v>
      </c>
      <c r="C148" s="50"/>
      <c r="D148" s="60"/>
      <c r="E148" s="51"/>
      <c r="F148" s="51"/>
      <c r="G148" s="51"/>
      <c r="H148" s="51"/>
      <c r="I148" s="57">
        <f t="shared" si="5"/>
        <v>20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20</v>
      </c>
      <c r="B149" s="60">
        <v>192</v>
      </c>
      <c r="C149" s="50"/>
      <c r="D149" s="60"/>
      <c r="E149" s="51"/>
      <c r="F149" s="51"/>
      <c r="G149" s="51"/>
      <c r="H149" s="51"/>
      <c r="I149" s="57">
        <f t="shared" si="5"/>
        <v>21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21</v>
      </c>
      <c r="B150" s="60">
        <v>212</v>
      </c>
      <c r="C150" s="50"/>
      <c r="D150" s="60"/>
      <c r="E150" s="51"/>
      <c r="F150" s="51"/>
      <c r="G150" s="51"/>
      <c r="H150" s="51"/>
      <c r="I150" s="57">
        <f t="shared" si="5"/>
        <v>20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22</v>
      </c>
      <c r="B151" s="60">
        <v>232</v>
      </c>
      <c r="C151" s="50">
        <v>3</v>
      </c>
      <c r="D151" s="60">
        <v>56</v>
      </c>
      <c r="E151" s="51">
        <v>0.6</v>
      </c>
      <c r="F151" s="51">
        <v>0.4</v>
      </c>
      <c r="G151" s="51"/>
      <c r="H151" s="51"/>
      <c r="I151" s="57">
        <f t="shared" si="5"/>
        <v>20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23</v>
      </c>
      <c r="B152" s="60">
        <v>192</v>
      </c>
      <c r="C152" s="50"/>
      <c r="D152" s="60"/>
      <c r="E152" s="54"/>
      <c r="F152" s="54"/>
      <c r="G152" s="54"/>
      <c r="H152" s="54"/>
      <c r="I152" s="57">
        <f t="shared" si="5"/>
        <v>16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24</v>
      </c>
      <c r="B153" s="60">
        <v>209</v>
      </c>
      <c r="C153" s="50"/>
      <c r="D153" s="60"/>
      <c r="E153" s="54"/>
      <c r="F153" s="54"/>
      <c r="G153" s="54"/>
      <c r="H153" s="54"/>
      <c r="I153" s="57">
        <f t="shared" si="5"/>
        <v>17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25</v>
      </c>
      <c r="B154" s="56">
        <v>226</v>
      </c>
      <c r="C154" s="50"/>
      <c r="D154" s="50"/>
      <c r="E154" s="54"/>
      <c r="F154" s="54"/>
      <c r="G154" s="54"/>
      <c r="H154" s="54"/>
      <c r="I154" s="57">
        <f t="shared" si="5"/>
        <v>17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26</v>
      </c>
      <c r="B155" s="56">
        <v>244</v>
      </c>
      <c r="C155" s="50"/>
      <c r="D155" s="50"/>
      <c r="E155" s="54"/>
      <c r="F155" s="54"/>
      <c r="G155" s="54"/>
      <c r="H155" s="54"/>
      <c r="I155" s="57">
        <f t="shared" si="5"/>
        <v>18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27</v>
      </c>
      <c r="B156" s="56">
        <v>261</v>
      </c>
      <c r="C156" s="50"/>
      <c r="D156" s="50"/>
      <c r="E156" s="54"/>
      <c r="F156" s="54"/>
      <c r="G156" s="54"/>
      <c r="H156" s="54"/>
      <c r="I156" s="57">
        <f t="shared" si="5"/>
        <v>17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28</v>
      </c>
      <c r="B157" s="56">
        <v>277</v>
      </c>
      <c r="C157" s="50"/>
      <c r="D157" s="50"/>
      <c r="E157" s="54"/>
      <c r="F157" s="54"/>
      <c r="G157" s="54"/>
      <c r="H157" s="54"/>
      <c r="I157" s="57">
        <f t="shared" si="5"/>
        <v>16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29</v>
      </c>
      <c r="B158" s="56">
        <v>293</v>
      </c>
      <c r="C158" s="50"/>
      <c r="D158" s="50"/>
      <c r="E158" s="54"/>
      <c r="F158" s="54"/>
      <c r="G158" s="54"/>
      <c r="H158" s="54"/>
      <c r="I158" s="57">
        <f t="shared" si="5"/>
        <v>16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>
        <v>30</v>
      </c>
      <c r="B159" s="56">
        <v>309</v>
      </c>
      <c r="C159" s="50">
        <v>4</v>
      </c>
      <c r="D159" s="58">
        <v>309</v>
      </c>
      <c r="E159" s="54">
        <v>1</v>
      </c>
      <c r="F159" s="54"/>
      <c r="G159" s="54"/>
      <c r="H159" s="54"/>
      <c r="I159" s="57">
        <f t="shared" si="5"/>
        <v>16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Châtaignier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115</v>
      </c>
      <c r="C166" s="60"/>
      <c r="D166" s="60"/>
      <c r="E166" s="51"/>
      <c r="F166" s="51"/>
      <c r="G166" s="51"/>
      <c r="H166" s="51"/>
      <c r="I166" s="49">
        <f>IFERROR(B166/A166,"")</f>
        <v>11.5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184</v>
      </c>
      <c r="C167" s="60"/>
      <c r="D167" s="60"/>
      <c r="E167" s="51"/>
      <c r="F167" s="51"/>
      <c r="G167" s="51"/>
      <c r="H167" s="51"/>
      <c r="I167" s="49">
        <f t="shared" ref="I167:I185" si="6">IF(A167&lt;&gt;0,(B167-(B166-D166))/(A167-A166),"")</f>
        <v>13.8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18</v>
      </c>
      <c r="B168" s="60">
        <v>225</v>
      </c>
      <c r="C168" s="60">
        <v>1</v>
      </c>
      <c r="D168" s="60">
        <v>94</v>
      </c>
      <c r="E168" s="51"/>
      <c r="F168" s="51"/>
      <c r="G168" s="51"/>
      <c r="H168" s="51">
        <v>1</v>
      </c>
      <c r="I168" s="49">
        <f t="shared" si="6"/>
        <v>13.666666666666666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22</v>
      </c>
      <c r="B169" s="60">
        <v>151</v>
      </c>
      <c r="C169" s="60">
        <v>2</v>
      </c>
      <c r="D169" s="60">
        <v>54</v>
      </c>
      <c r="E169" s="51"/>
      <c r="F169" s="51"/>
      <c r="G169" s="51"/>
      <c r="H169" s="51">
        <v>1</v>
      </c>
      <c r="I169" s="49">
        <f t="shared" si="6"/>
        <v>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27</v>
      </c>
      <c r="B170" s="60">
        <v>130</v>
      </c>
      <c r="C170" s="60">
        <v>3</v>
      </c>
      <c r="D170" s="60">
        <v>38</v>
      </c>
      <c r="E170" s="51"/>
      <c r="F170" s="51"/>
      <c r="G170" s="51"/>
      <c r="H170" s="51">
        <v>1</v>
      </c>
      <c r="I170" s="49">
        <f t="shared" si="6"/>
        <v>6.6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136</v>
      </c>
      <c r="C171" s="60"/>
      <c r="D171" s="60"/>
      <c r="E171" s="51"/>
      <c r="F171" s="51"/>
      <c r="G171" s="51"/>
      <c r="H171" s="51"/>
      <c r="I171" s="49">
        <f t="shared" si="6"/>
        <v>5.5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170</v>
      </c>
      <c r="C172" s="60"/>
      <c r="D172" s="60"/>
      <c r="E172" s="51"/>
      <c r="F172" s="51"/>
      <c r="G172" s="51"/>
      <c r="H172" s="51"/>
      <c r="I172" s="49">
        <f t="shared" si="6"/>
        <v>6.8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210</v>
      </c>
      <c r="C173" s="50"/>
      <c r="D173" s="50"/>
      <c r="E173" s="51"/>
      <c r="F173" s="51"/>
      <c r="G173" s="51"/>
      <c r="H173" s="51"/>
      <c r="I173" s="49">
        <f t="shared" si="6"/>
        <v>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255</v>
      </c>
      <c r="C174" s="50"/>
      <c r="D174" s="50"/>
      <c r="E174" s="51"/>
      <c r="F174" s="51"/>
      <c r="G174" s="51"/>
      <c r="H174" s="51"/>
      <c r="I174" s="49">
        <f t="shared" si="6"/>
        <v>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Pin noir d'Autriche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15</v>
      </c>
      <c r="B192" s="60">
        <v>110</v>
      </c>
      <c r="C192" s="60">
        <v>1</v>
      </c>
      <c r="D192" s="60">
        <v>14</v>
      </c>
      <c r="E192" s="51"/>
      <c r="F192" s="51"/>
      <c r="G192" s="51">
        <v>1</v>
      </c>
      <c r="H192" s="51"/>
      <c r="I192" s="49">
        <f>IFERROR(B192/A192,"")</f>
        <v>7.333333333333333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203</v>
      </c>
      <c r="C193" s="60">
        <v>2</v>
      </c>
      <c r="D193" s="60">
        <v>63</v>
      </c>
      <c r="E193" s="51"/>
      <c r="F193" s="51">
        <v>1</v>
      </c>
      <c r="G193" s="51"/>
      <c r="H193" s="51"/>
      <c r="I193" s="49">
        <f t="shared" ref="I193:I211" si="7">IF(A193&lt;&gt;0,(B193-(B192-D192))/(A193-A192),"")</f>
        <v>21.4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254</v>
      </c>
      <c r="C194" s="60">
        <v>3</v>
      </c>
      <c r="D194" s="60">
        <v>63</v>
      </c>
      <c r="E194" s="51"/>
      <c r="F194" s="51">
        <v>1</v>
      </c>
      <c r="G194" s="51"/>
      <c r="H194" s="51"/>
      <c r="I194" s="49">
        <f t="shared" si="7"/>
        <v>22.8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30</v>
      </c>
      <c r="B195" s="60">
        <v>311</v>
      </c>
      <c r="C195" s="60">
        <v>4</v>
      </c>
      <c r="D195" s="60">
        <v>63</v>
      </c>
      <c r="E195" s="51"/>
      <c r="F195" s="51">
        <v>1</v>
      </c>
      <c r="G195" s="51"/>
      <c r="H195" s="51"/>
      <c r="I195" s="49">
        <f t="shared" si="7"/>
        <v>24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35</v>
      </c>
      <c r="B196" s="60">
        <v>369</v>
      </c>
      <c r="C196" s="60">
        <v>5</v>
      </c>
      <c r="D196" s="60">
        <v>63</v>
      </c>
      <c r="E196" s="51">
        <v>1</v>
      </c>
      <c r="F196" s="51"/>
      <c r="G196" s="51"/>
      <c r="H196" s="51"/>
      <c r="I196" s="49">
        <f t="shared" si="7"/>
        <v>24.2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40</v>
      </c>
      <c r="B197" s="60">
        <v>424</v>
      </c>
      <c r="C197" s="60">
        <v>6</v>
      </c>
      <c r="D197" s="60">
        <v>63</v>
      </c>
      <c r="E197" s="51">
        <v>1</v>
      </c>
      <c r="F197" s="51"/>
      <c r="G197" s="51"/>
      <c r="H197" s="51"/>
      <c r="I197" s="49">
        <f t="shared" si="7"/>
        <v>23.6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45</v>
      </c>
      <c r="B198" s="60">
        <v>469</v>
      </c>
      <c r="C198" s="60">
        <v>7</v>
      </c>
      <c r="D198" s="60">
        <v>60</v>
      </c>
      <c r="E198" s="51">
        <v>1</v>
      </c>
      <c r="F198" s="51"/>
      <c r="G198" s="51"/>
      <c r="H198" s="51"/>
      <c r="I198" s="49">
        <f t="shared" si="7"/>
        <v>21.6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50</v>
      </c>
      <c r="B199" s="50">
        <v>509</v>
      </c>
      <c r="C199" s="50">
        <v>8</v>
      </c>
      <c r="D199" s="50">
        <v>53</v>
      </c>
      <c r="E199" s="51">
        <v>1</v>
      </c>
      <c r="F199" s="51"/>
      <c r="G199" s="51"/>
      <c r="H199" s="51"/>
      <c r="I199" s="49">
        <f t="shared" si="7"/>
        <v>20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55</v>
      </c>
      <c r="B200" s="50">
        <v>548</v>
      </c>
      <c r="C200" s="50">
        <v>9</v>
      </c>
      <c r="D200" s="50">
        <v>45</v>
      </c>
      <c r="E200" s="51">
        <v>1</v>
      </c>
      <c r="F200" s="51"/>
      <c r="G200" s="51"/>
      <c r="H200" s="51"/>
      <c r="I200" s="49">
        <f t="shared" si="7"/>
        <v>18.399999999999999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60</v>
      </c>
      <c r="B201" s="50">
        <v>588</v>
      </c>
      <c r="C201" s="50">
        <v>10</v>
      </c>
      <c r="D201" s="50">
        <v>39</v>
      </c>
      <c r="E201" s="51">
        <v>1</v>
      </c>
      <c r="F201" s="51"/>
      <c r="G201" s="51"/>
      <c r="H201" s="51"/>
      <c r="I201" s="49">
        <f t="shared" si="7"/>
        <v>17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65</v>
      </c>
      <c r="B202" s="50">
        <v>627</v>
      </c>
      <c r="C202" s="50">
        <v>11</v>
      </c>
      <c r="D202" s="50">
        <v>34</v>
      </c>
      <c r="E202" s="51">
        <v>1</v>
      </c>
      <c r="F202" s="51"/>
      <c r="G202" s="51"/>
      <c r="H202" s="51"/>
      <c r="I202" s="49">
        <f t="shared" si="7"/>
        <v>15.6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70</v>
      </c>
      <c r="B203" s="50">
        <v>662</v>
      </c>
      <c r="C203" s="50">
        <v>12</v>
      </c>
      <c r="D203" s="50">
        <v>31</v>
      </c>
      <c r="E203" s="51">
        <v>1</v>
      </c>
      <c r="F203" s="51"/>
      <c r="G203" s="51"/>
      <c r="H203" s="51"/>
      <c r="I203" s="49">
        <f t="shared" si="7"/>
        <v>13.8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75</v>
      </c>
      <c r="B204" s="50">
        <v>693</v>
      </c>
      <c r="C204" s="50">
        <v>13</v>
      </c>
      <c r="D204" s="50">
        <v>30</v>
      </c>
      <c r="E204" s="51">
        <v>1</v>
      </c>
      <c r="F204" s="51"/>
      <c r="G204" s="51"/>
      <c r="H204" s="51"/>
      <c r="I204" s="49">
        <f t="shared" si="7"/>
        <v>12.4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80</v>
      </c>
      <c r="B205" s="50">
        <v>718</v>
      </c>
      <c r="C205" s="50">
        <v>14</v>
      </c>
      <c r="D205" s="50">
        <v>29</v>
      </c>
      <c r="E205" s="51">
        <v>1</v>
      </c>
      <c r="F205" s="51"/>
      <c r="G205" s="51"/>
      <c r="H205" s="51"/>
      <c r="I205" s="49">
        <f t="shared" si="7"/>
        <v>11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Pin sylvestre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15</v>
      </c>
      <c r="B218" s="60">
        <v>46</v>
      </c>
      <c r="C218" s="50"/>
      <c r="D218" s="60">
        <v>0</v>
      </c>
      <c r="E218" s="63"/>
      <c r="F218" s="63"/>
      <c r="G218" s="63"/>
      <c r="H218" s="63"/>
      <c r="I218" s="53">
        <f>IFERROR(B218/A218,"")</f>
        <v>3.0666666666666669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20</v>
      </c>
      <c r="B219" s="60">
        <v>96</v>
      </c>
      <c r="C219" s="50">
        <v>1</v>
      </c>
      <c r="D219" s="60">
        <v>18</v>
      </c>
      <c r="E219" s="63"/>
      <c r="F219" s="63"/>
      <c r="G219" s="63">
        <v>1</v>
      </c>
      <c r="H219" s="63"/>
      <c r="I219" s="53">
        <f t="shared" ref="I219:I237" si="8">IF(A219&lt;&gt;0,(B219-(B218-D218))/(A219-A218),"")</f>
        <v>10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25</v>
      </c>
      <c r="B220" s="60">
        <v>142</v>
      </c>
      <c r="C220" s="50">
        <v>2</v>
      </c>
      <c r="D220" s="60">
        <v>42</v>
      </c>
      <c r="E220" s="63"/>
      <c r="F220" s="63">
        <v>1</v>
      </c>
      <c r="G220" s="63"/>
      <c r="H220" s="63"/>
      <c r="I220" s="53">
        <f t="shared" si="8"/>
        <v>12.8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30</v>
      </c>
      <c r="B221" s="55">
        <v>173</v>
      </c>
      <c r="C221" s="55">
        <v>3</v>
      </c>
      <c r="D221" s="55">
        <v>42</v>
      </c>
      <c r="E221" s="63"/>
      <c r="F221" s="63">
        <v>1</v>
      </c>
      <c r="G221" s="63"/>
      <c r="H221" s="63"/>
      <c r="I221" s="53">
        <f t="shared" si="8"/>
        <v>14.6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35</v>
      </c>
      <c r="B222" s="55">
        <v>212</v>
      </c>
      <c r="C222" s="55">
        <v>4</v>
      </c>
      <c r="D222" s="55">
        <v>42</v>
      </c>
      <c r="E222" s="63">
        <v>1</v>
      </c>
      <c r="F222" s="63"/>
      <c r="G222" s="63"/>
      <c r="H222" s="63"/>
      <c r="I222" s="53">
        <f t="shared" si="8"/>
        <v>16.2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40</v>
      </c>
      <c r="B223" s="55">
        <v>253</v>
      </c>
      <c r="C223" s="55">
        <v>5</v>
      </c>
      <c r="D223" s="55">
        <v>42</v>
      </c>
      <c r="E223" s="63">
        <v>1</v>
      </c>
      <c r="F223" s="63"/>
      <c r="G223" s="63"/>
      <c r="H223" s="63"/>
      <c r="I223" s="53">
        <f t="shared" si="8"/>
        <v>16.600000000000001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45</v>
      </c>
      <c r="B224" s="55">
        <v>295</v>
      </c>
      <c r="C224" s="55">
        <v>6</v>
      </c>
      <c r="D224" s="55">
        <v>42</v>
      </c>
      <c r="E224" s="63">
        <v>1</v>
      </c>
      <c r="F224" s="63"/>
      <c r="G224" s="63"/>
      <c r="H224" s="63"/>
      <c r="I224" s="53">
        <f t="shared" si="8"/>
        <v>16.8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50</v>
      </c>
      <c r="B225" s="55">
        <v>334</v>
      </c>
      <c r="C225" s="55">
        <v>7</v>
      </c>
      <c r="D225" s="55">
        <v>42</v>
      </c>
      <c r="E225" s="63">
        <v>1</v>
      </c>
      <c r="F225" s="63"/>
      <c r="G225" s="63"/>
      <c r="H225" s="63"/>
      <c r="I225" s="53">
        <f t="shared" si="8"/>
        <v>16.2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55</v>
      </c>
      <c r="B226" s="55">
        <v>370</v>
      </c>
      <c r="C226" s="55">
        <v>8</v>
      </c>
      <c r="D226" s="55">
        <v>42</v>
      </c>
      <c r="E226" s="63">
        <v>1</v>
      </c>
      <c r="F226" s="63"/>
      <c r="G226" s="63"/>
      <c r="H226" s="63"/>
      <c r="I226" s="53">
        <f t="shared" si="8"/>
        <v>15.6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60</v>
      </c>
      <c r="B227" s="55">
        <v>400</v>
      </c>
      <c r="C227" s="55">
        <v>9</v>
      </c>
      <c r="D227" s="55">
        <v>40</v>
      </c>
      <c r="E227" s="63">
        <v>1</v>
      </c>
      <c r="F227" s="63"/>
      <c r="G227" s="63"/>
      <c r="H227" s="63"/>
      <c r="I227" s="53">
        <f t="shared" si="8"/>
        <v>14.4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65</v>
      </c>
      <c r="B228" s="55">
        <v>427</v>
      </c>
      <c r="C228" s="55">
        <v>10</v>
      </c>
      <c r="D228" s="55">
        <v>37</v>
      </c>
      <c r="E228" s="63">
        <v>1</v>
      </c>
      <c r="F228" s="63"/>
      <c r="G228" s="63"/>
      <c r="H228" s="63"/>
      <c r="I228" s="53">
        <f t="shared" si="8"/>
        <v>13.4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70</v>
      </c>
      <c r="B229" s="55">
        <v>451</v>
      </c>
      <c r="C229" s="55">
        <v>11</v>
      </c>
      <c r="D229" s="55">
        <v>33</v>
      </c>
      <c r="E229" s="63">
        <v>1</v>
      </c>
      <c r="F229" s="63"/>
      <c r="G229" s="63"/>
      <c r="H229" s="63"/>
      <c r="I229" s="53">
        <f t="shared" si="8"/>
        <v>12.2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75</v>
      </c>
      <c r="B230" s="55">
        <v>475</v>
      </c>
      <c r="C230" s="55">
        <v>12</v>
      </c>
      <c r="D230" s="55">
        <v>30</v>
      </c>
      <c r="E230" s="64">
        <v>1</v>
      </c>
      <c r="F230" s="64"/>
      <c r="G230" s="64"/>
      <c r="H230" s="64"/>
      <c r="I230" s="53">
        <f t="shared" si="8"/>
        <v>11.4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80</v>
      </c>
      <c r="B231" s="60">
        <v>496</v>
      </c>
      <c r="C231" s="86">
        <v>13</v>
      </c>
      <c r="D231" s="60">
        <v>26</v>
      </c>
      <c r="E231" s="54">
        <v>1</v>
      </c>
      <c r="F231" s="54"/>
      <c r="G231" s="54"/>
      <c r="H231" s="54"/>
      <c r="I231" s="53">
        <f t="shared" si="8"/>
        <v>10.199999999999999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85</v>
      </c>
      <c r="B232" s="50">
        <v>516</v>
      </c>
      <c r="C232" s="50">
        <v>14</v>
      </c>
      <c r="D232" s="50">
        <v>23</v>
      </c>
      <c r="E232" s="54">
        <v>1</v>
      </c>
      <c r="F232" s="54"/>
      <c r="G232" s="54"/>
      <c r="H232" s="54"/>
      <c r="I232" s="53">
        <f t="shared" si="8"/>
        <v>9.1999999999999993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>
        <v>90</v>
      </c>
      <c r="B233" s="50">
        <v>532</v>
      </c>
      <c r="C233" s="50">
        <v>15</v>
      </c>
      <c r="D233" s="50">
        <v>20</v>
      </c>
      <c r="E233" s="54">
        <v>1</v>
      </c>
      <c r="F233" s="54"/>
      <c r="G233" s="54"/>
      <c r="H233" s="54"/>
      <c r="I233" s="53">
        <f t="shared" si="8"/>
        <v>7.8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>
        <v>95</v>
      </c>
      <c r="B234" s="50">
        <v>543</v>
      </c>
      <c r="C234" s="50">
        <v>16</v>
      </c>
      <c r="D234" s="50">
        <v>17</v>
      </c>
      <c r="E234" s="54">
        <v>1</v>
      </c>
      <c r="F234" s="54"/>
      <c r="G234" s="54"/>
      <c r="H234" s="54"/>
      <c r="I234" s="53">
        <f t="shared" si="8"/>
        <v>6.2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>
        <v>100</v>
      </c>
      <c r="B235" s="50">
        <v>557</v>
      </c>
      <c r="C235" s="50">
        <v>17</v>
      </c>
      <c r="D235" s="50">
        <v>15</v>
      </c>
      <c r="E235" s="54">
        <v>1</v>
      </c>
      <c r="F235" s="54"/>
      <c r="G235" s="54"/>
      <c r="H235" s="54"/>
      <c r="I235" s="53">
        <f t="shared" si="8"/>
        <v>6.2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Cèdre de l'Atlas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15</v>
      </c>
      <c r="B244" s="60">
        <v>78</v>
      </c>
      <c r="C244" s="60"/>
      <c r="D244" s="60">
        <v>0</v>
      </c>
      <c r="E244" s="51"/>
      <c r="F244" s="51"/>
      <c r="G244" s="51"/>
      <c r="H244" s="63"/>
      <c r="I244" s="53">
        <f>IFERROR(B244/A244,"")</f>
        <v>5.2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20</v>
      </c>
      <c r="B245" s="60">
        <v>198</v>
      </c>
      <c r="C245" s="60">
        <v>1</v>
      </c>
      <c r="D245" s="60">
        <v>49</v>
      </c>
      <c r="E245" s="63"/>
      <c r="F245" s="63"/>
      <c r="G245" s="63">
        <v>1</v>
      </c>
      <c r="H245" s="63"/>
      <c r="I245" s="53">
        <f>IF(A245&lt;&gt;0,(B245-(B244-D244))/(A245-A244),"")</f>
        <v>24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25</v>
      </c>
      <c r="B246" s="60">
        <v>298</v>
      </c>
      <c r="C246" s="60">
        <v>2</v>
      </c>
      <c r="D246" s="60">
        <v>77</v>
      </c>
      <c r="E246" s="63"/>
      <c r="F246" s="63">
        <v>1</v>
      </c>
      <c r="G246" s="63"/>
      <c r="H246" s="63"/>
      <c r="I246" s="53">
        <f>IF(A246&lt;&gt;0,(B246-(B245-D245))/(A246-A245),"")</f>
        <v>29.8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30</v>
      </c>
      <c r="B247" s="60">
        <v>380</v>
      </c>
      <c r="C247" s="60">
        <v>3</v>
      </c>
      <c r="D247" s="60">
        <v>77</v>
      </c>
      <c r="E247" s="63"/>
      <c r="F247" s="63">
        <v>1</v>
      </c>
      <c r="G247" s="63"/>
      <c r="H247" s="63"/>
      <c r="I247" s="53">
        <f t="shared" ref="I247:I263" si="9">IF(A247&lt;&gt;0,(B247-(B246-D246))/(A247-A246),"")</f>
        <v>31.8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35</v>
      </c>
      <c r="B248" s="60">
        <v>460</v>
      </c>
      <c r="C248" s="60">
        <v>4</v>
      </c>
      <c r="D248" s="60">
        <v>77</v>
      </c>
      <c r="E248" s="63">
        <v>1</v>
      </c>
      <c r="F248" s="63"/>
      <c r="G248" s="63"/>
      <c r="H248" s="63"/>
      <c r="I248" s="53">
        <f t="shared" si="9"/>
        <v>31.4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40</v>
      </c>
      <c r="B249" s="60">
        <v>533</v>
      </c>
      <c r="C249" s="60">
        <v>5</v>
      </c>
      <c r="D249" s="60">
        <v>77</v>
      </c>
      <c r="E249" s="63">
        <v>1</v>
      </c>
      <c r="F249" s="63"/>
      <c r="G249" s="63"/>
      <c r="H249" s="63"/>
      <c r="I249" s="53">
        <f t="shared" si="9"/>
        <v>30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45</v>
      </c>
      <c r="B250" s="60">
        <v>596</v>
      </c>
      <c r="C250" s="60">
        <v>6</v>
      </c>
      <c r="D250" s="60">
        <v>77</v>
      </c>
      <c r="E250" s="63">
        <v>1</v>
      </c>
      <c r="F250" s="63"/>
      <c r="G250" s="63"/>
      <c r="H250" s="63"/>
      <c r="I250" s="53">
        <f t="shared" si="9"/>
        <v>28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50</v>
      </c>
      <c r="B251" s="55">
        <v>651</v>
      </c>
      <c r="C251" s="55">
        <v>7</v>
      </c>
      <c r="D251" s="55">
        <v>76</v>
      </c>
      <c r="E251" s="63">
        <v>1</v>
      </c>
      <c r="F251" s="63"/>
      <c r="G251" s="63"/>
      <c r="H251" s="63"/>
      <c r="I251" s="53">
        <f t="shared" si="9"/>
        <v>26.4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55</v>
      </c>
      <c r="B252" s="55">
        <v>697</v>
      </c>
      <c r="C252" s="55">
        <v>8</v>
      </c>
      <c r="D252" s="55">
        <v>66</v>
      </c>
      <c r="E252" s="63">
        <v>1</v>
      </c>
      <c r="F252" s="63"/>
      <c r="G252" s="63"/>
      <c r="H252" s="63"/>
      <c r="I252" s="53">
        <f t="shared" si="9"/>
        <v>24.4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60</v>
      </c>
      <c r="B253" s="55">
        <v>744</v>
      </c>
      <c r="C253" s="55">
        <v>9</v>
      </c>
      <c r="D253" s="55">
        <v>60</v>
      </c>
      <c r="E253" s="63">
        <v>1</v>
      </c>
      <c r="F253" s="63"/>
      <c r="G253" s="63"/>
      <c r="H253" s="63"/>
      <c r="I253" s="53">
        <f t="shared" si="9"/>
        <v>22.6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65</v>
      </c>
      <c r="B254" s="55">
        <v>790</v>
      </c>
      <c r="C254" s="55">
        <v>10</v>
      </c>
      <c r="D254" s="55">
        <v>56</v>
      </c>
      <c r="E254" s="63">
        <v>1</v>
      </c>
      <c r="F254" s="63"/>
      <c r="G254" s="63"/>
      <c r="H254" s="63"/>
      <c r="I254" s="53">
        <f t="shared" si="9"/>
        <v>21.2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70</v>
      </c>
      <c r="B255" s="55">
        <v>831</v>
      </c>
      <c r="C255" s="55">
        <v>11</v>
      </c>
      <c r="D255" s="55">
        <v>53</v>
      </c>
      <c r="E255" s="63">
        <v>1</v>
      </c>
      <c r="F255" s="63"/>
      <c r="G255" s="63"/>
      <c r="H255" s="63"/>
      <c r="I255" s="53">
        <f t="shared" si="9"/>
        <v>19.399999999999999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75</v>
      </c>
      <c r="B256" s="55">
        <v>868</v>
      </c>
      <c r="C256" s="55">
        <v>12</v>
      </c>
      <c r="D256" s="55">
        <v>50</v>
      </c>
      <c r="E256" s="64">
        <v>1</v>
      </c>
      <c r="F256" s="64"/>
      <c r="G256" s="64"/>
      <c r="H256" s="64"/>
      <c r="I256" s="53">
        <f t="shared" si="9"/>
        <v>18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>
        <v>80</v>
      </c>
      <c r="B257" s="60">
        <v>901</v>
      </c>
      <c r="C257" s="86">
        <v>13</v>
      </c>
      <c r="D257" s="60">
        <v>48</v>
      </c>
      <c r="E257" s="54">
        <v>1</v>
      </c>
      <c r="F257" s="54"/>
      <c r="G257" s="54"/>
      <c r="H257" s="54"/>
      <c r="I257" s="53">
        <f t="shared" si="9"/>
        <v>16.600000000000001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Sapin de Nordmann</v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15</v>
      </c>
      <c r="B270" s="60">
        <v>42</v>
      </c>
      <c r="C270" s="50"/>
      <c r="D270" s="60">
        <v>0</v>
      </c>
      <c r="E270" s="51"/>
      <c r="F270" s="51"/>
      <c r="G270" s="51"/>
      <c r="H270" s="51"/>
      <c r="I270" s="53">
        <f>IFERROR(B270/A270,"")</f>
        <v>2.8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20</v>
      </c>
      <c r="B271" s="60">
        <v>156</v>
      </c>
      <c r="C271" s="50">
        <v>1</v>
      </c>
      <c r="D271" s="60">
        <v>22</v>
      </c>
      <c r="E271" s="51"/>
      <c r="F271" s="51"/>
      <c r="G271" s="51">
        <v>1</v>
      </c>
      <c r="H271" s="51"/>
      <c r="I271" s="53">
        <f>IF(A271&lt;&gt;0,(B271-(B270-D270))/(A271-A270),"")</f>
        <v>22.8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25</v>
      </c>
      <c r="B272" s="60">
        <v>269</v>
      </c>
      <c r="C272" s="50">
        <v>2</v>
      </c>
      <c r="D272" s="60">
        <v>70</v>
      </c>
      <c r="E272" s="51"/>
      <c r="F272" s="51">
        <v>1</v>
      </c>
      <c r="G272" s="51"/>
      <c r="H272" s="51"/>
      <c r="I272" s="53">
        <f t="shared" ref="I272:I289" si="10">IF(A272&lt;&gt;0,(B272-(B271-D271))/(A272-A271),"")</f>
        <v>27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30</v>
      </c>
      <c r="B273" s="60">
        <v>342</v>
      </c>
      <c r="C273" s="50">
        <v>3</v>
      </c>
      <c r="D273" s="60">
        <v>70</v>
      </c>
      <c r="E273" s="51"/>
      <c r="F273" s="51">
        <v>1</v>
      </c>
      <c r="G273" s="51"/>
      <c r="H273" s="51"/>
      <c r="I273" s="53">
        <f t="shared" si="10"/>
        <v>28.6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35</v>
      </c>
      <c r="B274" s="60">
        <v>413</v>
      </c>
      <c r="C274" s="50">
        <v>4</v>
      </c>
      <c r="D274" s="60">
        <v>70</v>
      </c>
      <c r="E274" s="51">
        <v>1</v>
      </c>
      <c r="F274" s="51"/>
      <c r="G274" s="51"/>
      <c r="H274" s="51"/>
      <c r="I274" s="53">
        <f t="shared" si="10"/>
        <v>28.2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40</v>
      </c>
      <c r="B275" s="60">
        <v>480</v>
      </c>
      <c r="C275" s="50">
        <v>5</v>
      </c>
      <c r="D275" s="60">
        <v>70</v>
      </c>
      <c r="E275" s="63">
        <v>1</v>
      </c>
      <c r="F275" s="63"/>
      <c r="G275" s="63"/>
      <c r="H275" s="63"/>
      <c r="I275" s="53">
        <f t="shared" si="10"/>
        <v>27.4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45</v>
      </c>
      <c r="B276" s="60">
        <v>540</v>
      </c>
      <c r="C276" s="50">
        <v>6</v>
      </c>
      <c r="D276" s="60">
        <v>70</v>
      </c>
      <c r="E276" s="63">
        <v>1</v>
      </c>
      <c r="F276" s="63"/>
      <c r="G276" s="63"/>
      <c r="H276" s="63"/>
      <c r="I276" s="53">
        <f t="shared" si="10"/>
        <v>26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50</v>
      </c>
      <c r="B277" s="55">
        <v>593</v>
      </c>
      <c r="C277" s="55">
        <v>7</v>
      </c>
      <c r="D277" s="55">
        <v>70</v>
      </c>
      <c r="E277" s="63">
        <v>1</v>
      </c>
      <c r="F277" s="63"/>
      <c r="G277" s="63"/>
      <c r="H277" s="63"/>
      <c r="I277" s="53">
        <f t="shared" si="10"/>
        <v>24.6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>
        <v>55</v>
      </c>
      <c r="B278" s="55">
        <v>640</v>
      </c>
      <c r="C278" s="55">
        <v>8</v>
      </c>
      <c r="D278" s="55">
        <v>68</v>
      </c>
      <c r="E278" s="63">
        <v>1</v>
      </c>
      <c r="F278" s="63"/>
      <c r="G278" s="63"/>
      <c r="H278" s="63"/>
      <c r="I278" s="53">
        <f t="shared" si="10"/>
        <v>23.4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>
        <v>60</v>
      </c>
      <c r="B279" s="55">
        <v>684</v>
      </c>
      <c r="C279" s="55">
        <v>9</v>
      </c>
      <c r="D279" s="55">
        <v>60</v>
      </c>
      <c r="E279" s="63">
        <v>1</v>
      </c>
      <c r="F279" s="63"/>
      <c r="G279" s="63"/>
      <c r="H279" s="63"/>
      <c r="I279" s="53">
        <f t="shared" si="10"/>
        <v>22.4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>
        <v>65</v>
      </c>
      <c r="B280" s="55">
        <v>729</v>
      </c>
      <c r="C280" s="55">
        <v>10</v>
      </c>
      <c r="D280" s="55">
        <v>56</v>
      </c>
      <c r="E280" s="63">
        <v>1</v>
      </c>
      <c r="F280" s="63"/>
      <c r="G280" s="63"/>
      <c r="H280" s="63"/>
      <c r="I280" s="53">
        <f t="shared" si="10"/>
        <v>21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>
        <v>70</v>
      </c>
      <c r="B281" s="55">
        <v>771</v>
      </c>
      <c r="C281" s="55">
        <v>11</v>
      </c>
      <c r="D281" s="55">
        <v>54</v>
      </c>
      <c r="E281" s="63">
        <v>1</v>
      </c>
      <c r="F281" s="63"/>
      <c r="G281" s="63"/>
      <c r="H281" s="63"/>
      <c r="I281" s="53">
        <f t="shared" si="10"/>
        <v>19.600000000000001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>
        <v>75</v>
      </c>
      <c r="B282" s="55">
        <v>806</v>
      </c>
      <c r="C282" s="55">
        <v>12</v>
      </c>
      <c r="D282" s="55">
        <v>52</v>
      </c>
      <c r="E282" s="64">
        <v>1</v>
      </c>
      <c r="F282" s="64"/>
      <c r="G282" s="64"/>
      <c r="H282" s="64"/>
      <c r="I282" s="53">
        <f t="shared" si="10"/>
        <v>17.8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>
        <v>80</v>
      </c>
      <c r="B283" s="60">
        <v>840</v>
      </c>
      <c r="C283" s="86">
        <v>13</v>
      </c>
      <c r="D283" s="60">
        <v>51</v>
      </c>
      <c r="E283" s="54">
        <v>1</v>
      </c>
      <c r="F283" s="54"/>
      <c r="G283" s="54"/>
      <c r="H283" s="54"/>
      <c r="I283" s="53">
        <f t="shared" si="10"/>
        <v>17.2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Douglas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Hêtre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Charme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Pin maritime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Châtaignier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Pin noir d'Autriche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Pin sylvestre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>Cèdre de l'Atlas</v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>Sapin de Nordmann</v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364.3481978218424</v>
      </c>
      <c r="T3" s="59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443.34220761968419</v>
      </c>
      <c r="AO3" s="59">
        <f>IF('Données projet'!E10&gt;30,$AM$33-$H$33,LOOKUP('Données projet'!$E$10,$A$3:$A$203,AM3:AM203)-LOOKUP('Données projet'!$E$10,$A$3:$A$203,$H$3:$H$203))</f>
        <v>546.58234447298014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447.15627913956871</v>
      </c>
      <c r="BJ3" s="59">
        <f>IF('Données projet'!E11&gt;30,$BH$33-$H$33,LOOKUP('Données projet'!$E$11,$A$3:$A$203,BH3:BH203)-LOOKUP('Données projet'!$E$11,$A$3:$A$203,$H$3:$H$203))</f>
        <v>256.77417912163997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448.94764480536713</v>
      </c>
      <c r="CE3" s="59">
        <f>IF('Données projet'!E12&gt;30,$CC$33-$H$33,LOOKUP('Données projet'!$E$12,$A$3:$A$203,CC3:CC203)-LOOKUP('Données projet'!$E$12,$A$3:$A$203,$H$3:$H$203))</f>
        <v>469.26760321719695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187.80389738728508</v>
      </c>
      <c r="CZ3" s="59">
        <f>IF('Données projet'!E13&gt;30,$CX$33-$H$33,LOOKUP('Données projet'!$E$13,$A$3:$A$203,CX3:CX203)-LOOKUP('Données projet'!$E$13,$A$3:$A$203,$H$3:$H$203))</f>
        <v>439.28159165815265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239.25212250019609</v>
      </c>
      <c r="DU3" s="59">
        <f>IF('Données projet'!E14&gt;30,$DS$33-$H$33,LOOKUP('Données projet'!$E$14,$A$3:$A$203,DS3:DS203)-LOOKUP('Données projet'!$E$14,$A$3:$A$203,$H$3:$H$203))</f>
        <v>213.58492101729695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504.81063008331739</v>
      </c>
      <c r="EP3" s="59">
        <f>IF('Données projet'!E15&gt;30,$EN$33-$H$33,LOOKUP('Données projet'!$E$15,$A$3:$A$203,EN3:EN203)-LOOKUP('Données projet'!$E$15,$A$3:$A$203,$H$3:$H$203))</f>
        <v>441.82647565372287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393.41577134252316</v>
      </c>
      <c r="FK3" s="59">
        <f>IF('Données projet'!E16&gt;30,$FI$33-$H$33,LOOKUP('Données projet'!$E$16,$A$3:$A$203,FI3:FI203)-LOOKUP('Données projet'!$E$16,$A$3:$A$203,$H$3:$H$203))</f>
        <v>255.54039659391475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488.67934252295686</v>
      </c>
      <c r="GF3" s="59">
        <f>IF('Données projet'!E17&gt;30,$GD$33-$H$33,LOOKUP('Données projet'!$E$17,$A$3:$A$203,GD3:GD203)-LOOKUP('Données projet'!$E$17,$A$3:$A$203,$H$3:$H$203))</f>
        <v>424.50324471331095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458.80976193248841</v>
      </c>
      <c r="HA3" s="59">
        <f>IF('Données projet'!E18&gt;30,$GY$33-$H$33,LOOKUP('Données projet'!$E$18,$A$3:$A$203,GY3:GY203)-LOOKUP('Données projet'!$E$18,$A$3:$A$203,$H$3:$H$203))</f>
        <v>396.07405370178759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260.65521412271448</v>
      </c>
      <c r="S4" s="59">
        <f ca="1">AVERAGE(OFFSET($R$3,0,0,'Données projet'!$E$9+1,1))-AVERAGE(OFFSET($H$3,0,0,'Données projet'!$E$9+1,1))</f>
        <v>364.3481978218424</v>
      </c>
      <c r="T4" s="59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8.526315789473685</v>
      </c>
      <c r="AI4" s="13">
        <f>IF('Données projet'!$A$62&gt;35,AI3+AH4-AQ3,IF(A4&lt;'Données projet'!$A$62,$AF$205^A4,IF(A4='Données projet'!$A$62,'Données projet'!$B$62,AI3+AH4-AQ3)))</f>
        <v>1.3070441688874561</v>
      </c>
      <c r="AJ4" s="13">
        <f>AI4*VLOOKUP('Données projet'!$B$10,Paramètres!$A$1:$I$89,3,0)*VLOOKUP('Données projet'!$B$10,Paramètres!$A$1:$I$89,5,0)</f>
        <v>0.73063769040808801</v>
      </c>
      <c r="AK4" s="13">
        <f>EXP(-1.0587+0.8836*LN(AJ4)+0.284)</f>
        <v>0.34923616900555043</v>
      </c>
      <c r="AL4" s="20">
        <f t="shared" ref="AL4:AL67" si="4">(AJ4+AK4)*0.475*44/12</f>
        <v>1.8807803051454206</v>
      </c>
      <c r="AM4" s="59">
        <f t="shared" ref="AM4:AM67" si="5">AL4+(AD4+AE4)*44/12</f>
        <v>259.76966919403429</v>
      </c>
      <c r="AN4" s="59">
        <f ca="1">AVERAGE(OFFSET($AM$3,0,0,'Données projet'!$E$10+1,1))-AVERAGE(OFFSET($H$3,0,0,'Données projet'!$E$10+1,1))</f>
        <v>443.34220761968419</v>
      </c>
      <c r="AO4" s="59">
        <f>$AO$3</f>
        <v>546.58234447298014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1.6</v>
      </c>
      <c r="BD4" s="12">
        <f>IF('Données projet'!$A$88&gt;35,BD3+BC4-BL3,IF(A4&lt;'Données projet'!$A$88,$BA$205^A4,IF(A4='Données projet'!$A$88,'Données projet'!$B$88,BD3+BC4-BL3)))</f>
        <v>1.189207115002721</v>
      </c>
      <c r="BE4" s="13">
        <f>BD4*VLOOKUP('Données projet'!$B$11,Paramètres!$A$1:$I$89,3,0)*VLOOKUP('Données projet'!$B$11,Paramètres!$A$1:$I$89,5,0)</f>
        <v>1.0203397046723348</v>
      </c>
      <c r="BF4" s="13">
        <f>EXP(-1.0587+0.8836*LN(BE4)+0.284)</f>
        <v>0.46911460970544039</v>
      </c>
      <c r="BG4" s="20">
        <f t="shared" ref="BG4:BG67" si="7">(BE4+BF4)*0.475*44/12</f>
        <v>2.594132930874625</v>
      </c>
      <c r="BH4" s="59">
        <f t="shared" ref="BH4:BH67" si="8">BG4+(AY4+AZ4)*44/12</f>
        <v>260.48302181976351</v>
      </c>
      <c r="BI4" s="59">
        <f ca="1">AVERAGE(OFFSET($BH$3,0,0,'Données projet'!$E$11+1,1))-AVERAGE(OFFSET($H$3,0,0,'Données projet'!$E$11+1,1))</f>
        <v>447.15627913956871</v>
      </c>
      <c r="BJ4" s="59">
        <f>$BJ$3</f>
        <v>256.77417912163997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6.7</v>
      </c>
      <c r="BY4" s="12">
        <f>IF('Données projet'!$A$114&gt;35,BY3+BX4-CG3,IF(A4&lt;'Données projet'!$A$114,$BV$205^A4,IF(A4='Données projet'!$A$114,'Données projet'!$B$114,BY3+BX4-CG3)))</f>
        <v>1.522675921848786</v>
      </c>
      <c r="BZ4" s="13">
        <f>BY4*VLOOKUP('Données projet'!$B$12,Paramètres!$A$1:$I$89,3,0)*VLOOKUP('Données projet'!$B$12,Paramètres!$A$1:$I$89,5,0)</f>
        <v>1.4489784072313048</v>
      </c>
      <c r="CA4" s="13">
        <f>EXP(-1.0587+0.8836*LN(BZ4)+0.284)</f>
        <v>0.63953802549588323</v>
      </c>
      <c r="CB4" s="20">
        <f t="shared" ref="CB4:CB67" si="10">(BZ4+CA4)*0.475*44/12</f>
        <v>3.6374994536665191</v>
      </c>
      <c r="CC4" s="59">
        <f t="shared" ref="CC4:CC67" si="11">CB4+(BT4+BU4)*44/12</f>
        <v>261.52638834255538</v>
      </c>
      <c r="CD4" s="59">
        <f ca="1">AVERAGE(OFFSET($CC$3,0,0,'Données projet'!$E$12+1,1))-AVERAGE(OFFSET($H$3,0,0,'Données projet'!$E$12+1,1))</f>
        <v>448.94764480536713</v>
      </c>
      <c r="CE4" s="59">
        <f>$CE$3</f>
        <v>469.26760321719695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7.5454545454545459</v>
      </c>
      <c r="CT4" s="12">
        <f>IF('Données projet'!$A$140&gt;35,CT3+CS4-DB3,IF(A4&lt;'Données projet'!$A$140,$CQ$205^A4,IF(A4='Données projet'!$A$140,'Données projet'!$B$140,CT3+CS4-DB3)))</f>
        <v>1.4943820583928935</v>
      </c>
      <c r="CU4" s="17">
        <f>CT4*VLOOKUP('Données projet'!$B$13,Paramètres!$A$1:$I$89,3,0)*VLOOKUP('Données projet'!$B$13,Paramètres!$A$1:$I$89,5,0)</f>
        <v>0.89364047091895038</v>
      </c>
      <c r="CV4" s="13">
        <f>EXP(-1.0587+0.8836*LN(CU4)+0.284)</f>
        <v>0.41725306962072783</v>
      </c>
      <c r="CW4" s="20">
        <f t="shared" ref="CW4:CW67" si="13">(CU4+CV4)*0.475*44/12</f>
        <v>2.2831395831066059</v>
      </c>
      <c r="CX4" s="59">
        <f t="shared" ref="CX4:CX67" si="14">CW4+(CO4+CP4)*44/12</f>
        <v>260.17202847199547</v>
      </c>
      <c r="CY4" s="59">
        <f ca="1">AVERAGE(OFFSET($CX$3,0,0,'Données projet'!$E$13+1,1))-AVERAGE(OFFSET($H$3,0,0,'Données projet'!$E$13+1,1))</f>
        <v>187.80389738728508</v>
      </c>
      <c r="CZ4" s="59">
        <f>$CZ$3</f>
        <v>439.28159165815265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11.5</v>
      </c>
      <c r="DO4" s="12">
        <f>IF('Données projet'!$A$166&gt;35,DO3+DN4-DW3,IF(A4&lt;'Données projet'!$A$166,$DL$205^A4,IF(A4='Données projet'!$A$166,'Données projet'!$B$166,DO3+DN4-DW3)))</f>
        <v>1.6071994829923506</v>
      </c>
      <c r="DP4" s="17">
        <f>DO4*VLOOKUP('Données projet'!$B$14,Paramètres!$A$1:$I$89,3,0)*VLOOKUP('Données projet'!$B$14,Paramètres!$A$1:$I$89,5,0)</f>
        <v>1.1783986609299915</v>
      </c>
      <c r="DQ4" s="13">
        <f>EXP(-1.0587+0.8836*LN(DP4)+0.284)</f>
        <v>0.53277751568396181</v>
      </c>
      <c r="DR4" s="20">
        <f t="shared" ref="DR4:DR67" si="16">(DP4+DQ4)*0.475*44/12</f>
        <v>2.9802985076026349</v>
      </c>
      <c r="DS4" s="59">
        <f t="shared" ref="DS4:DS67" si="17">DR4+(DJ4+DK4)*44/12</f>
        <v>260.8691873964915</v>
      </c>
      <c r="DT4" s="59">
        <f ca="1">AVERAGE(OFFSET($DS$3,0,0,'Données projet'!$E$14+1,1))-AVERAGE(OFFSET($H$3,0,0,'Données projet'!$E$14+1,1))</f>
        <v>239.25212250019609</v>
      </c>
      <c r="DU4" s="59">
        <f>$DU$3</f>
        <v>213.58492101729695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7.333333333333333</v>
      </c>
      <c r="EJ4" s="12">
        <f>IF('Données projet'!$A$192&gt;35,EJ3+EI4-ER3,IF(A4&lt;'Données projet'!$A$192,$EG$205^A4,IF(A4='Données projet'!$A$192,'Données projet'!$B$192,EJ3+EI4-ER3)))</f>
        <v>1.3680212568593273</v>
      </c>
      <c r="EK4" s="17">
        <f>EJ4*VLOOKUP('Données projet'!$B$15,Paramètres!$A$1:$I$89,3,0)*VLOOKUP('Données projet'!$B$15,Paramètres!$A$1:$I$89,5,0)</f>
        <v>0.81807671160187789</v>
      </c>
      <c r="EL4" s="13">
        <f>EXP(-1.0587+0.8836*LN(EK4)+0.284)</f>
        <v>0.38591962976646654</v>
      </c>
      <c r="EM4" s="20">
        <f t="shared" ref="EM4:EM67" si="19">(EK4+EL4)*0.475*44/12</f>
        <v>2.0969602945498664</v>
      </c>
      <c r="EN4" s="59">
        <f t="shared" ref="EN4:EN67" si="20">EM4+(EE4+EF4)*44/12</f>
        <v>259.98584918343875</v>
      </c>
      <c r="EO4" s="59">
        <f ca="1">AVERAGE(OFFSET($EN$3,0,0,'Données projet'!$E$15+1,1))-AVERAGE(OFFSET($H$3,0,0,'Données projet'!$E$15+1,1))</f>
        <v>504.81063008331739</v>
      </c>
      <c r="EP4" s="59">
        <f>$EP$3</f>
        <v>441.82647565372287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3.0666666666666669</v>
      </c>
      <c r="FE4" s="12">
        <f>IF('Données projet'!$A$218&gt;35,FE3+FD4-FM3,IF(A4&lt;'Données projet'!$A$218,$FB$205^A4,IF(A4='Données projet'!$A$218,'Données projet'!$B$218,FE3+FD4-FM3)))</f>
        <v>1.2907749310619425</v>
      </c>
      <c r="FF4" s="17">
        <f>FE4*VLOOKUP('Données projet'!$B$16,Paramètres!$A$1:$I$89,3,0)*VLOOKUP('Données projet'!$B$16,Paramètres!$A$1:$I$89,5,0)</f>
        <v>0.73832326056743114</v>
      </c>
      <c r="FG4" s="13">
        <f>EXP(-1.0587+0.8836*LN(FF4)+0.284)</f>
        <v>0.35248019271209924</v>
      </c>
      <c r="FH4" s="20">
        <f t="shared" ref="FH4:FH67" si="22">(FF4+FG4)*0.475*44/12</f>
        <v>1.8998160144618488</v>
      </c>
      <c r="FI4" s="59">
        <f t="shared" ref="FI4:FI67" si="23">FH4+(EZ4+FA4)*44/12</f>
        <v>259.78870490335072</v>
      </c>
      <c r="FJ4" s="59">
        <f ca="1">AVERAGE(OFFSET($FI$3,0,0,'Données projet'!$E$16+1,1))-AVERAGE(OFFSET($H$3,0,0,'Données projet'!$E$16+1,1))</f>
        <v>393.41577134252316</v>
      </c>
      <c r="FK4" s="59">
        <f>$FK$3</f>
        <v>255.54039659391475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5.2</v>
      </c>
      <c r="FZ4" s="12">
        <f>IF('Données projet'!$A$244&gt;35,FZ3+FY4-GH3,IF(A4&lt;'Données projet'!$A$244,$FW$205^A4,IF(A4='Données projet'!$A$244,'Données projet'!$B$244,FZ3+FY4-GH3)))</f>
        <v>1.3370253457396568</v>
      </c>
      <c r="GA4" s="17">
        <f>FZ4*VLOOKUP('Données projet'!$B$17,Paramètres!$A$1:$I$89,3,0)*VLOOKUP('Données projet'!$B$17,Paramètres!$A$1:$I$89,5,0)</f>
        <v>0.62572786180615947</v>
      </c>
      <c r="GB4" s="13">
        <f>EXP(-1.0587+0.8836*LN(GA4)+0.284)</f>
        <v>0.30453575289994267</v>
      </c>
      <c r="GC4" s="20">
        <f t="shared" ref="GC4:GC67" si="25">(GA4+GB4)*0.475*44/12</f>
        <v>1.6202091289464609</v>
      </c>
      <c r="GD4" s="59">
        <f t="shared" ref="GD4:GD67" si="26">GC4+(FU4+FV4)*44/12</f>
        <v>259.5090980178353</v>
      </c>
      <c r="GE4" s="59">
        <f ca="1">AVERAGE(OFFSET($GD$3,0,0,'Données projet'!$E$17+1,1))-AVERAGE(OFFSET($H$3,0,0,'Données projet'!$E$17+1,1))</f>
        <v>488.67934252295686</v>
      </c>
      <c r="GF4" s="59">
        <f>$GF$3</f>
        <v>424.50324471331095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2.8</v>
      </c>
      <c r="GU4" s="12">
        <f>IF('Données projet'!$A$270&gt;35,GU3+GT4-HC3,IF(A4&lt;'Données projet'!$A$270,$GR$205^A4,IF(A4='Données projet'!$A$270,'Données projet'!$B$270,GU3+GT4-HC3)))</f>
        <v>1.282970348825361</v>
      </c>
      <c r="GV4" s="17">
        <f>GU4*VLOOKUP('Données projet'!$B$18,Paramètres!$A$1:$I$89,3,0)*VLOOKUP('Données projet'!$B$18,Paramètres!$A$1:$I$89,5,0)</f>
        <v>0.61710873778499864</v>
      </c>
      <c r="GW4" s="13">
        <f>EXP(-1.0587+0.8836*LN(GV4)+0.284)</f>
        <v>0.30082620099479607</v>
      </c>
      <c r="GX4" s="20">
        <f t="shared" ref="GX4:GX67" si="28">(GV4+GW4)*0.475*44/12</f>
        <v>1.5987366850414757</v>
      </c>
      <c r="GY4" s="59">
        <f t="shared" ref="GY4:GY67" si="29">GX4+(GP4+GQ4)*44/12</f>
        <v>259.48762557393036</v>
      </c>
      <c r="GZ4" s="59">
        <f ca="1">AVERAGE(OFFSET($GY$3,0,0,'Données projet'!$E$18+1,1))-AVERAGE(OFFSET($H$3,0,0,'Données projet'!$E$18+1,1))</f>
        <v>458.80976193248841</v>
      </c>
      <c r="HA4" s="59">
        <f>$HA$3</f>
        <v>396.07405370178759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262.42339882093205</v>
      </c>
      <c r="S5" s="59">
        <f ca="1">AVERAGE(OFFSET($R$3,0,0,'Données projet'!$E$9+1,1))-AVERAGE(OFFSET($H$3,0,0,'Données projet'!$E$9+1,1))</f>
        <v>364.3481978218424</v>
      </c>
      <c r="T5" s="59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8.526315789473685</v>
      </c>
      <c r="AI5" s="13">
        <f>IF('Données projet'!$A$62&gt;35,AI4+AH5-AQ4,IF(A5&lt;'Données projet'!$A$62,$AF$205^A5,IF(A5='Données projet'!$A$62,'Données projet'!$B$62,AI4+AH5-AQ4)))</f>
        <v>1.708364459422701</v>
      </c>
      <c r="AJ5" s="13">
        <f>AI5*VLOOKUP('Données projet'!$B$10,Paramètres!$A$1:$I$89,3,0)*VLOOKUP('Données projet'!$B$10,Paramètres!$A$1:$I$89,5,0)</f>
        <v>0.95497573281728976</v>
      </c>
      <c r="AK5" s="13">
        <f t="shared" ref="AK5:AK68" si="35">EXP(-1.0587+0.8836*LN(AJ5)+0.284)</f>
        <v>0.44245926414263009</v>
      </c>
      <c r="AL5" s="20">
        <f t="shared" si="4"/>
        <v>2.4338659530385267</v>
      </c>
      <c r="AM5" s="59">
        <f t="shared" si="5"/>
        <v>261.54497706414969</v>
      </c>
      <c r="AN5" s="59">
        <f ca="1">AVERAGE(OFFSET($AM$3,0,0,'Données projet'!$E$10+1,1))-AVERAGE(OFFSET($H$3,0,0,'Données projet'!$E$10+1,1))</f>
        <v>443.34220761968419</v>
      </c>
      <c r="AO5" s="59">
        <f t="shared" ref="AO5:AO68" si="36">$AO$3</f>
        <v>546.58234447298014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1.6</v>
      </c>
      <c r="BD5" s="12">
        <f>IF('Données projet'!$A$88&gt;35,BD4+BC5-BL4,IF(A5&lt;'Données projet'!$A$88,$BA$205^A5,IF(A5='Données projet'!$A$88,'Données projet'!$B$88,BD4+BC5-BL4)))</f>
        <v>1.4142135623730949</v>
      </c>
      <c r="BE5" s="13">
        <f>BD5*VLOOKUP('Données projet'!$B$11,Paramètres!$A$1:$I$89,3,0)*VLOOKUP('Données projet'!$B$11,Paramètres!$A$1:$I$89,5,0)</f>
        <v>1.2133952365161156</v>
      </c>
      <c r="BF5" s="13">
        <f t="shared" ref="BF5:BF68" si="37">EXP(-1.0587+0.8836*LN(BE5)+0.284)</f>
        <v>0.54673450619692521</v>
      </c>
      <c r="BG5" s="20">
        <f t="shared" si="7"/>
        <v>3.0655593018918794</v>
      </c>
      <c r="BH5" s="59">
        <f t="shared" si="8"/>
        <v>262.17667041300302</v>
      </c>
      <c r="BI5" s="59">
        <f ca="1">AVERAGE(OFFSET($BH$3,0,0,'Données projet'!$E$11+1,1))-AVERAGE(OFFSET($H$3,0,0,'Données projet'!$E$11+1,1))</f>
        <v>447.15627913956871</v>
      </c>
      <c r="BJ5" s="59">
        <f t="shared" ref="BJ5:BJ68" si="38">$BJ$3</f>
        <v>256.77417912163997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6.7</v>
      </c>
      <c r="BY5" s="12">
        <f>IF('Données projet'!$A$114&gt;35,BY4+BX5-CG4,IF(A5&lt;'Données projet'!$A$114,$BV$205^A5,IF(A5='Données projet'!$A$114,'Données projet'!$B$114,BY4+BX5-CG4)))</f>
        <v>2.3185419629780504</v>
      </c>
      <c r="BZ5" s="13">
        <f>BY5*VLOOKUP('Données projet'!$B$12,Paramètres!$A$1:$I$89,3,0)*VLOOKUP('Données projet'!$B$12,Paramètres!$A$1:$I$89,5,0)</f>
        <v>2.206324531969913</v>
      </c>
      <c r="CA5" s="13">
        <f t="shared" ref="CA5:CA68" si="39">EXP(-1.0587+0.8836*LN(BZ5)+0.284)</f>
        <v>0.92729590374086168</v>
      </c>
      <c r="CB5" s="20">
        <f t="shared" si="10"/>
        <v>5.4577222588629324</v>
      </c>
      <c r="CC5" s="59">
        <f t="shared" si="11"/>
        <v>264.56883336997407</v>
      </c>
      <c r="CD5" s="59">
        <f ca="1">AVERAGE(OFFSET($CC$3,0,0,'Données projet'!$E$12+1,1))-AVERAGE(OFFSET($H$3,0,0,'Données projet'!$E$12+1,1))</f>
        <v>448.94764480536713</v>
      </c>
      <c r="CE5" s="59">
        <f t="shared" ref="CE5:CE68" si="40">$CE$3</f>
        <v>469.26760321719695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7.5454545454545459</v>
      </c>
      <c r="CT5" s="12">
        <f>IF('Données projet'!$A$140&gt;35,CT4+CS5-DB4,IF(A5&lt;'Données projet'!$A$140,$CQ$205^A5,IF(A5='Données projet'!$A$140,'Données projet'!$B$140,CT4+CS5-DB4)))</f>
        <v>2.2331777364465815</v>
      </c>
      <c r="CU5" s="17">
        <f>CT5*VLOOKUP('Données projet'!$B$13,Paramètres!$A$1:$I$89,3,0)*VLOOKUP('Données projet'!$B$13,Paramètres!$A$1:$I$89,5,0)</f>
        <v>1.3354402863950559</v>
      </c>
      <c r="CV5" s="13">
        <f t="shared" ref="CV5:CV68" si="41">EXP(-1.0587+0.8836*LN(CU5)+0.284)</f>
        <v>0.59505053454406853</v>
      </c>
      <c r="CW5" s="20">
        <f t="shared" si="13"/>
        <v>3.3622715131356418</v>
      </c>
      <c r="CX5" s="59">
        <f t="shared" si="14"/>
        <v>262.47338262424677</v>
      </c>
      <c r="CY5" s="59">
        <f ca="1">AVERAGE(OFFSET($CX$3,0,0,'Données projet'!$E$13+1,1))-AVERAGE(OFFSET($H$3,0,0,'Données projet'!$E$13+1,1))</f>
        <v>187.80389738728508</v>
      </c>
      <c r="CZ5" s="59">
        <f t="shared" ref="CZ5:CZ68" si="42">$CZ$3</f>
        <v>439.28159165815265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11.5</v>
      </c>
      <c r="DO5" s="12">
        <f>IF('Données projet'!$A$166&gt;35,DO4+DN5-DW4,IF(A5&lt;'Données projet'!$A$166,$DL$205^A5,IF(A5='Données projet'!$A$166,'Données projet'!$B$166,DO4+DN5-DW4)))</f>
        <v>2.5830901781308793</v>
      </c>
      <c r="DP5" s="17">
        <f>DO5*VLOOKUP('Données projet'!$B$14,Paramètres!$A$1:$I$89,3,0)*VLOOKUP('Données projet'!$B$14,Paramètres!$A$1:$I$89,5,0)</f>
        <v>1.8939217186055606</v>
      </c>
      <c r="DQ5" s="13">
        <f t="shared" ref="DQ5:DQ68" si="43">EXP(-1.0587+0.8836*LN(DP5)+0.284)</f>
        <v>0.81026886193479808</v>
      </c>
      <c r="DR5" s="20">
        <f t="shared" si="16"/>
        <v>4.709798594441124</v>
      </c>
      <c r="DS5" s="59">
        <f t="shared" si="17"/>
        <v>263.82090970555225</v>
      </c>
      <c r="DT5" s="59">
        <f ca="1">AVERAGE(OFFSET($DS$3,0,0,'Données projet'!$E$14+1,1))-AVERAGE(OFFSET($H$3,0,0,'Données projet'!$E$14+1,1))</f>
        <v>239.25212250019609</v>
      </c>
      <c r="DU5" s="59">
        <f t="shared" ref="DU5:DU68" si="44">$DU$3</f>
        <v>213.58492101729695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7.333333333333333</v>
      </c>
      <c r="EJ5" s="12">
        <f>IF('Données projet'!$A$192&gt;35,EJ4+EI5-ER4,IF(A5&lt;'Données projet'!$A$192,$EG$205^A5,IF(A5='Données projet'!$A$192,'Données projet'!$B$192,EJ4+EI5-ER4)))</f>
        <v>1.8714821592189737</v>
      </c>
      <c r="EK5" s="17">
        <f>EJ5*VLOOKUP('Données projet'!$B$15,Paramètres!$A$1:$I$89,3,0)*VLOOKUP('Données projet'!$B$15,Paramètres!$A$1:$I$89,5,0)</f>
        <v>1.1191463312129464</v>
      </c>
      <c r="EL5" s="13">
        <f t="shared" ref="EL5:EL68" si="45">EXP(-1.0587+0.8836*LN(EK5)+0.284)</f>
        <v>0.50903601214619809</v>
      </c>
      <c r="EM5" s="20">
        <f t="shared" si="19"/>
        <v>2.8357509146838429</v>
      </c>
      <c r="EN5" s="59">
        <f t="shared" si="20"/>
        <v>261.94686202579499</v>
      </c>
      <c r="EO5" s="59">
        <f ca="1">AVERAGE(OFFSET($EN$3,0,0,'Données projet'!$E$15+1,1))-AVERAGE(OFFSET($H$3,0,0,'Données projet'!$E$15+1,1))</f>
        <v>504.81063008331739</v>
      </c>
      <c r="EP5" s="59">
        <f t="shared" ref="EP5:EP68" si="46">$EP$3</f>
        <v>441.82647565372287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3.0666666666666669</v>
      </c>
      <c r="FE5" s="12">
        <f>IF('Données projet'!$A$218&gt;35,FE4+FD5-FM4,IF(A5&lt;'Données projet'!$A$218,$FB$205^A5,IF(A5='Données projet'!$A$218,'Données projet'!$B$218,FE4+FD5-FM4)))</f>
        <v>1.6660999226579625</v>
      </c>
      <c r="FF5" s="17">
        <f>FE5*VLOOKUP('Données projet'!$B$16,Paramètres!$A$1:$I$89,3,0)*VLOOKUP('Données projet'!$B$16,Paramètres!$A$1:$I$89,5,0)</f>
        <v>0.95300915576035461</v>
      </c>
      <c r="FG5" s="13">
        <f t="shared" ref="FG5:FG68" si="47">EXP(-1.0587+0.8836*LN(FF5)+0.284)</f>
        <v>0.44165407164485548</v>
      </c>
      <c r="FH5" s="20">
        <f t="shared" si="22"/>
        <v>2.4290384543974075</v>
      </c>
      <c r="FI5" s="59">
        <f t="shared" si="23"/>
        <v>261.54014956550856</v>
      </c>
      <c r="FJ5" s="59">
        <f ca="1">AVERAGE(OFFSET($FI$3,0,0,'Données projet'!$E$16+1,1))-AVERAGE(OFFSET($H$3,0,0,'Données projet'!$E$16+1,1))</f>
        <v>393.41577134252316</v>
      </c>
      <c r="FK5" s="59">
        <f t="shared" ref="FK5:FK68" si="48">$FK$3</f>
        <v>255.54039659391475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5.2</v>
      </c>
      <c r="FZ5" s="12">
        <f>IF('Données projet'!$A$244&gt;35,FZ4+FY5-GH4,IF(A5&lt;'Données projet'!$A$244,$FW$205^A5,IF(A5='Données projet'!$A$244,'Données projet'!$B$244,FZ4+FY5-GH4)))</f>
        <v>1.7876367751502489</v>
      </c>
      <c r="GA5" s="17">
        <f>FZ5*VLOOKUP('Données projet'!$B$17,Paramètres!$A$1:$I$89,3,0)*VLOOKUP('Données projet'!$B$17,Paramètres!$A$1:$I$89,5,0)</f>
        <v>0.8366140107703165</v>
      </c>
      <c r="GB5" s="13">
        <f t="shared" ref="GB5:GB68" si="49">EXP(-1.0587+0.8836*LN(GA5)+0.284)</f>
        <v>0.39363641944740851</v>
      </c>
      <c r="GC5" s="20">
        <f t="shared" si="25"/>
        <v>2.1426861659625378</v>
      </c>
      <c r="GD5" s="59">
        <f t="shared" si="26"/>
        <v>261.25379727707366</v>
      </c>
      <c r="GE5" s="59">
        <f ca="1">AVERAGE(OFFSET($GD$3,0,0,'Données projet'!$E$17+1,1))-AVERAGE(OFFSET($H$3,0,0,'Données projet'!$E$17+1,1))</f>
        <v>488.67934252295686</v>
      </c>
      <c r="GF5" s="59">
        <f t="shared" ref="GF5:GF68" si="50">$GF$3</f>
        <v>424.50324471331095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2.8</v>
      </c>
      <c r="GU5" s="12">
        <f>IF('Données projet'!$A$270&gt;35,GU4+GT5-HC4,IF(A5&lt;'Données projet'!$A$270,$GR$205^A5,IF(A5='Données projet'!$A$270,'Données projet'!$B$270,GU4+GT5-HC4)))</f>
        <v>1.6460129159650685</v>
      </c>
      <c r="GV5" s="17">
        <f>GU5*VLOOKUP('Données projet'!$B$18,Paramètres!$A$1:$I$89,3,0)*VLOOKUP('Données projet'!$B$18,Paramètres!$A$1:$I$89,5,0)</f>
        <v>0.7917322125791979</v>
      </c>
      <c r="GW5" s="13">
        <f t="shared" ref="GW5:GW68" si="51">EXP(-1.0587+0.8836*LN(GV5)+0.284)</f>
        <v>0.37491763092151442</v>
      </c>
      <c r="GX5" s="20">
        <f t="shared" si="28"/>
        <v>2.031915144097074</v>
      </c>
      <c r="GY5" s="59">
        <f t="shared" si="29"/>
        <v>261.14302625520821</v>
      </c>
      <c r="GZ5" s="59">
        <f ca="1">AVERAGE(OFFSET($GY$3,0,0,'Données projet'!$E$18+1,1))-AVERAGE(OFFSET($H$3,0,0,'Données projet'!$E$18+1,1))</f>
        <v>458.80976193248841</v>
      </c>
      <c r="HA5" s="59">
        <f t="shared" ref="HA5:HA68" si="52">$HA$3</f>
        <v>396.07405370178759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264.29973523978072</v>
      </c>
      <c r="S6" s="59">
        <f ca="1">AVERAGE(OFFSET($R$3,0,0,'Données projet'!$E$9+1,1))-AVERAGE(OFFSET($H$3,0,0,'Données projet'!$E$9+1,1))</f>
        <v>364.3481978218424</v>
      </c>
      <c r="T6" s="59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8.526315789473685</v>
      </c>
      <c r="AI6" s="13">
        <f>IF('Données projet'!$A$62&gt;35,AI5+AH6-AQ5,IF(A6&lt;'Données projet'!$A$62,$AF$205^A6,IF(A6='Données projet'!$A$62,'Données projet'!$B$62,AI5+AH6-AQ5)))</f>
        <v>2.2329078050230127</v>
      </c>
      <c r="AJ6" s="13">
        <f>AI6*VLOOKUP('Données projet'!$B$10,Paramètres!$A$1:$I$89,3,0)*VLOOKUP('Données projet'!$B$10,Paramètres!$A$1:$I$89,5,0)</f>
        <v>1.248195463007864</v>
      </c>
      <c r="AK6" s="13">
        <f t="shared" si="35"/>
        <v>0.56056679634040518</v>
      </c>
      <c r="AL6" s="20">
        <f t="shared" si="4"/>
        <v>3.1502609350315693</v>
      </c>
      <c r="AM6" s="59">
        <f t="shared" si="5"/>
        <v>263.48359426836487</v>
      </c>
      <c r="AN6" s="59">
        <f ca="1">AVERAGE(OFFSET($AM$3,0,0,'Données projet'!$E$10+1,1))-AVERAGE(OFFSET($H$3,0,0,'Données projet'!$E$10+1,1))</f>
        <v>443.34220761968419</v>
      </c>
      <c r="AO6" s="59">
        <f t="shared" si="36"/>
        <v>546.58234447298014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1.6</v>
      </c>
      <c r="BD6" s="12">
        <f>IF('Données projet'!$A$88&gt;35,BD5+BC6-BL5,IF(A6&lt;'Données projet'!$A$88,$BA$205^A6,IF(A6='Données projet'!$A$88,'Données projet'!$B$88,BD5+BC6-BL5)))</f>
        <v>1.6817928305074288</v>
      </c>
      <c r="BE6" s="13">
        <f>BD6*VLOOKUP('Données projet'!$B$11,Paramètres!$A$1:$I$89,3,0)*VLOOKUP('Données projet'!$B$11,Paramètres!$A$1:$I$89,5,0)</f>
        <v>1.4429782485753739</v>
      </c>
      <c r="BF6" s="13">
        <f t="shared" si="37"/>
        <v>0.6371974227238163</v>
      </c>
      <c r="BG6" s="20">
        <f t="shared" si="7"/>
        <v>3.6229726275127558</v>
      </c>
      <c r="BH6" s="59">
        <f t="shared" si="8"/>
        <v>263.95630596084607</v>
      </c>
      <c r="BI6" s="59">
        <f ca="1">AVERAGE(OFFSET($BH$3,0,0,'Données projet'!$E$11+1,1))-AVERAGE(OFFSET($H$3,0,0,'Données projet'!$E$11+1,1))</f>
        <v>447.15627913956871</v>
      </c>
      <c r="BJ6" s="59">
        <f t="shared" si="38"/>
        <v>256.77417912163997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6.7</v>
      </c>
      <c r="BY6" s="12">
        <f>IF('Données projet'!$A$114&gt;35,BY5+BX6-CG5,IF(A6&lt;'Données projet'!$A$114,$BV$205^A6,IF(A6='Données projet'!$A$114,'Données projet'!$B$114,BY5+BX6-CG5)))</f>
        <v>3.5303880208226968</v>
      </c>
      <c r="BZ6" s="13">
        <f>BY6*VLOOKUP('Données projet'!$B$12,Paramètres!$A$1:$I$89,3,0)*VLOOKUP('Données projet'!$B$12,Paramètres!$A$1:$I$89,5,0)</f>
        <v>3.3595172406148786</v>
      </c>
      <c r="CA6" s="13">
        <f t="shared" si="39"/>
        <v>1.3445294240758423</v>
      </c>
      <c r="CB6" s="20">
        <f t="shared" si="10"/>
        <v>8.1928812743363384</v>
      </c>
      <c r="CC6" s="59">
        <f t="shared" si="11"/>
        <v>268.52621460766966</v>
      </c>
      <c r="CD6" s="59">
        <f ca="1">AVERAGE(OFFSET($CC$3,0,0,'Données projet'!$E$12+1,1))-AVERAGE(OFFSET($H$3,0,0,'Données projet'!$E$12+1,1))</f>
        <v>448.94764480536713</v>
      </c>
      <c r="CE6" s="59">
        <f t="shared" si="40"/>
        <v>469.26760321719695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7.5454545454545459</v>
      </c>
      <c r="CT6" s="12">
        <f>IF('Données projet'!$A$140&gt;35,CT5+CS6-DB5,IF(A6&lt;'Données projet'!$A$140,$CQ$205^A6,IF(A6='Données projet'!$A$140,'Données projet'!$B$140,CT5+CS6-DB5)))</f>
        <v>3.337220742548225</v>
      </c>
      <c r="CU6" s="17">
        <f>CT6*VLOOKUP('Données projet'!$B$13,Paramètres!$A$1:$I$89,3,0)*VLOOKUP('Données projet'!$B$13,Paramètres!$A$1:$I$89,5,0)</f>
        <v>1.9956580040438385</v>
      </c>
      <c r="CV6" s="13">
        <f t="shared" si="41"/>
        <v>0.84861002696285914</v>
      </c>
      <c r="CW6" s="20">
        <f t="shared" si="13"/>
        <v>4.9537668206699985</v>
      </c>
      <c r="CX6" s="59">
        <f t="shared" si="14"/>
        <v>265.28710015400333</v>
      </c>
      <c r="CY6" s="59">
        <f ca="1">AVERAGE(OFFSET($CX$3,0,0,'Données projet'!$E$13+1,1))-AVERAGE(OFFSET($H$3,0,0,'Données projet'!$E$13+1,1))</f>
        <v>187.80389738728508</v>
      </c>
      <c r="CZ6" s="59">
        <f t="shared" si="42"/>
        <v>439.28159165815265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11.5</v>
      </c>
      <c r="DO6" s="12">
        <f>IF('Données projet'!$A$166&gt;35,DO5+DN6-DW5,IF(A6&lt;'Données projet'!$A$166,$DL$205^A6,IF(A6='Données projet'!$A$166,'Données projet'!$B$166,DO5+DN6-DW5)))</f>
        <v>4.1515411988145683</v>
      </c>
      <c r="DP6" s="17">
        <f>DO6*VLOOKUP('Données projet'!$B$14,Paramètres!$A$1:$I$89,3,0)*VLOOKUP('Données projet'!$B$14,Paramètres!$A$1:$I$89,5,0)</f>
        <v>3.0439100069708416</v>
      </c>
      <c r="DQ6" s="13">
        <f t="shared" si="43"/>
        <v>1.2322885431422059</v>
      </c>
      <c r="DR6" s="20">
        <f t="shared" si="16"/>
        <v>7.447712474780225</v>
      </c>
      <c r="DS6" s="59">
        <f t="shared" si="17"/>
        <v>267.78104580811356</v>
      </c>
      <c r="DT6" s="59">
        <f ca="1">AVERAGE(OFFSET($DS$3,0,0,'Données projet'!$E$14+1,1))-AVERAGE(OFFSET($H$3,0,0,'Données projet'!$E$14+1,1))</f>
        <v>239.25212250019609</v>
      </c>
      <c r="DU6" s="59">
        <f t="shared" si="44"/>
        <v>213.58492101729695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7.333333333333333</v>
      </c>
      <c r="EJ6" s="12">
        <f>IF('Données projet'!$A$192&gt;35,EJ5+EI6-ER5,IF(A6&lt;'Données projet'!$A$192,$EG$205^A6,IF(A6='Données projet'!$A$192,'Données projet'!$B$192,EJ5+EI6-ER5)))</f>
        <v>2.5602273756445482</v>
      </c>
      <c r="EK6" s="17">
        <f>EJ6*VLOOKUP('Données projet'!$B$15,Paramètres!$A$1:$I$89,3,0)*VLOOKUP('Données projet'!$B$15,Paramètres!$A$1:$I$89,5,0)</f>
        <v>1.5310159706354398</v>
      </c>
      <c r="EL6" s="13">
        <f t="shared" si="45"/>
        <v>0.67142907920622097</v>
      </c>
      <c r="EM6" s="20">
        <f t="shared" si="19"/>
        <v>3.8359251284742251</v>
      </c>
      <c r="EN6" s="59">
        <f t="shared" si="20"/>
        <v>264.16925846180754</v>
      </c>
      <c r="EO6" s="59">
        <f ca="1">AVERAGE(OFFSET($EN$3,0,0,'Données projet'!$E$15+1,1))-AVERAGE(OFFSET($H$3,0,0,'Données projet'!$E$15+1,1))</f>
        <v>504.81063008331739</v>
      </c>
      <c r="EP6" s="59">
        <f t="shared" si="46"/>
        <v>441.82647565372287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3.0666666666666669</v>
      </c>
      <c r="FE6" s="12">
        <f>IF('Données projet'!$A$218&gt;35,FE5+FD6-FM5,IF(A6&lt;'Données projet'!$A$218,$FB$205^A6,IF(A6='Données projet'!$A$218,'Données projet'!$B$218,FE5+FD6-FM5)))</f>
        <v>2.1505600128111393</v>
      </c>
      <c r="FF6" s="17">
        <f>FE6*VLOOKUP('Données projet'!$B$16,Paramètres!$A$1:$I$89,3,0)*VLOOKUP('Données projet'!$B$16,Paramètres!$A$1:$I$89,5,0)</f>
        <v>1.2301203273279717</v>
      </c>
      <c r="FG6" s="13">
        <f t="shared" si="47"/>
        <v>0.55338802869924653</v>
      </c>
      <c r="FH6" s="20">
        <f t="shared" si="22"/>
        <v>3.1062770534140718</v>
      </c>
      <c r="FI6" s="59">
        <f t="shared" si="23"/>
        <v>263.4396103867474</v>
      </c>
      <c r="FJ6" s="59">
        <f ca="1">AVERAGE(OFFSET($FI$3,0,0,'Données projet'!$E$16+1,1))-AVERAGE(OFFSET($H$3,0,0,'Données projet'!$E$16+1,1))</f>
        <v>393.41577134252316</v>
      </c>
      <c r="FK6" s="59">
        <f t="shared" si="48"/>
        <v>255.54039659391475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5.2</v>
      </c>
      <c r="FZ6" s="12">
        <f>IF('Données projet'!$A$244&gt;35,FZ5+FY6-GH5,IF(A6&lt;'Données projet'!$A$244,$FW$205^A6,IF(A6='Données projet'!$A$244,'Données projet'!$B$244,FZ5+FY6-GH5)))</f>
        <v>2.3901156773521866</v>
      </c>
      <c r="GA6" s="17">
        <f>FZ6*VLOOKUP('Données projet'!$B$17,Paramètres!$A$1:$I$89,3,0)*VLOOKUP('Données projet'!$B$17,Paramètres!$A$1:$I$89,5,0)</f>
        <v>1.1185741370008233</v>
      </c>
      <c r="GB6" s="13">
        <f t="shared" si="49"/>
        <v>0.50880604080101532</v>
      </c>
      <c r="GC6" s="20">
        <f t="shared" si="25"/>
        <v>2.8343538096715353</v>
      </c>
      <c r="GD6" s="59">
        <f t="shared" si="26"/>
        <v>263.16768714300485</v>
      </c>
      <c r="GE6" s="59">
        <f ca="1">AVERAGE(OFFSET($GD$3,0,0,'Données projet'!$E$17+1,1))-AVERAGE(OFFSET($H$3,0,0,'Données projet'!$E$17+1,1))</f>
        <v>488.67934252295686</v>
      </c>
      <c r="GF6" s="59">
        <f t="shared" si="50"/>
        <v>424.50324471331095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2.8</v>
      </c>
      <c r="GU6" s="12">
        <f>IF('Données projet'!$A$270&gt;35,GU5+GT6-HC5,IF(A6&lt;'Données projet'!$A$270,$GR$205^A6,IF(A6='Données projet'!$A$270,'Données projet'!$B$270,GU5+GT6-HC5)))</f>
        <v>2.1117857649667533</v>
      </c>
      <c r="GV6" s="17">
        <f>GU6*VLOOKUP('Données projet'!$B$18,Paramètres!$A$1:$I$89,3,0)*VLOOKUP('Données projet'!$B$18,Paramètres!$A$1:$I$89,5,0)</f>
        <v>1.0157689529490084</v>
      </c>
      <c r="GW6" s="13">
        <f t="shared" si="51"/>
        <v>0.46725727184326088</v>
      </c>
      <c r="GX6" s="20">
        <f t="shared" si="28"/>
        <v>2.5829373415132024</v>
      </c>
      <c r="GY6" s="59">
        <f t="shared" si="29"/>
        <v>262.91627067484654</v>
      </c>
      <c r="GZ6" s="59">
        <f ca="1">AVERAGE(OFFSET($GY$3,0,0,'Données projet'!$E$18+1,1))-AVERAGE(OFFSET($H$3,0,0,'Données projet'!$E$18+1,1))</f>
        <v>458.80976193248841</v>
      </c>
      <c r="HA6" s="59">
        <f t="shared" si="52"/>
        <v>396.07405370178759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266.30572241486152</v>
      </c>
      <c r="S7" s="59">
        <f ca="1">AVERAGE(OFFSET($R$3,0,0,'Données projet'!$E$9+1,1))-AVERAGE(OFFSET($H$3,0,0,'Données projet'!$E$9+1,1))</f>
        <v>364.3481978218424</v>
      </c>
      <c r="T7" s="59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8.526315789473685</v>
      </c>
      <c r="AI7" s="13">
        <f>IF('Données projet'!$A$62&gt;35,AI6+AH7-AQ6,IF(A7&lt;'Données projet'!$A$62,$AF$205^A7,IF(A7='Données projet'!$A$62,'Données projet'!$B$62,AI6+AH7-AQ6)))</f>
        <v>2.9185091262186176</v>
      </c>
      <c r="AJ7" s="13">
        <f>AI7*VLOOKUP('Données projet'!$B$10,Paramètres!$A$1:$I$89,3,0)*VLOOKUP('Données projet'!$B$10,Paramètres!$A$1:$I$89,5,0)</f>
        <v>1.6314466015562072</v>
      </c>
      <c r="AK7" s="13">
        <f t="shared" si="35"/>
        <v>0.71020127416305878</v>
      </c>
      <c r="AL7" s="20">
        <f t="shared" si="4"/>
        <v>4.0783700502110554</v>
      </c>
      <c r="AM7" s="59">
        <f t="shared" si="5"/>
        <v>265.63392560576659</v>
      </c>
      <c r="AN7" s="59">
        <f ca="1">AVERAGE(OFFSET($AM$3,0,0,'Données projet'!$E$10+1,1))-AVERAGE(OFFSET($H$3,0,0,'Données projet'!$E$10+1,1))</f>
        <v>443.34220761968419</v>
      </c>
      <c r="AO7" s="59">
        <f t="shared" si="36"/>
        <v>546.58234447298014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1.6</v>
      </c>
      <c r="BD7" s="12">
        <f>IF('Données projet'!$A$88&gt;35,BD6+BC7-BL6,IF(A7&lt;'Données projet'!$A$88,$BA$205^A7,IF(A7='Données projet'!$A$88,'Données projet'!$B$88,BD6+BC7-BL6)))</f>
        <v>1.9999999999999996</v>
      </c>
      <c r="BE7" s="13">
        <f>BD7*VLOOKUP('Données projet'!$B$11,Paramètres!$A$1:$I$89,3,0)*VLOOKUP('Données projet'!$B$11,Paramètres!$A$1:$I$89,5,0)</f>
        <v>1.7159999999999997</v>
      </c>
      <c r="BF7" s="13">
        <f t="shared" si="37"/>
        <v>0.74262837066960552</v>
      </c>
      <c r="BG7" s="20">
        <f t="shared" si="7"/>
        <v>4.2821110789162296</v>
      </c>
      <c r="BH7" s="59">
        <f t="shared" si="8"/>
        <v>265.83766663447176</v>
      </c>
      <c r="BI7" s="59">
        <f ca="1">AVERAGE(OFFSET($BH$3,0,0,'Données projet'!$E$11+1,1))-AVERAGE(OFFSET($H$3,0,0,'Données projet'!$E$11+1,1))</f>
        <v>447.15627913956871</v>
      </c>
      <c r="BJ7" s="59">
        <f t="shared" si="38"/>
        <v>256.77417912163997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6.7</v>
      </c>
      <c r="BY7" s="12">
        <f>IF('Données projet'!$A$114&gt;35,BY6+BX7-CG6,IF(A7&lt;'Données projet'!$A$114,$BV$205^A7,IF(A7='Données projet'!$A$114,'Données projet'!$B$114,BY6+BX7-CG6)))</f>
        <v>5.3756368340901108</v>
      </c>
      <c r="BZ7" s="13">
        <f>BY7*VLOOKUP('Données projet'!$B$12,Paramètres!$A$1:$I$89,3,0)*VLOOKUP('Données projet'!$B$12,Paramètres!$A$1:$I$89,5,0)</f>
        <v>5.1154560113201493</v>
      </c>
      <c r="CA7" s="13">
        <f t="shared" si="39"/>
        <v>1.9494956948617177</v>
      </c>
      <c r="CB7" s="20">
        <f t="shared" si="10"/>
        <v>12.304790888266751</v>
      </c>
      <c r="CC7" s="59">
        <f t="shared" si="11"/>
        <v>273.86034644382232</v>
      </c>
      <c r="CD7" s="59">
        <f ca="1">AVERAGE(OFFSET($CC$3,0,0,'Données projet'!$E$12+1,1))-AVERAGE(OFFSET($H$3,0,0,'Données projet'!$E$12+1,1))</f>
        <v>448.94764480536713</v>
      </c>
      <c r="CE7" s="59">
        <f t="shared" si="40"/>
        <v>469.26760321719695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7.5454545454545459</v>
      </c>
      <c r="CT7" s="12">
        <f>IF('Données projet'!$A$140&gt;35,CT6+CS7-DB6,IF(A7&lt;'Données projet'!$A$140,$CQ$205^A7,IF(A7='Données projet'!$A$140,'Données projet'!$B$140,CT6+CS7-DB6)))</f>
        <v>4.9870828025606775</v>
      </c>
      <c r="CU7" s="17">
        <f>CT7*VLOOKUP('Données projet'!$B$13,Paramètres!$A$1:$I$89,3,0)*VLOOKUP('Données projet'!$B$13,Paramètres!$A$1:$I$89,5,0)</f>
        <v>2.9822755159312857</v>
      </c>
      <c r="CV7" s="13">
        <f t="shared" si="41"/>
        <v>1.2102148238782438</v>
      </c>
      <c r="CW7" s="20">
        <f t="shared" si="13"/>
        <v>7.3019206751682626</v>
      </c>
      <c r="CX7" s="59">
        <f t="shared" si="14"/>
        <v>268.85747623072382</v>
      </c>
      <c r="CY7" s="59">
        <f ca="1">AVERAGE(OFFSET($CX$3,0,0,'Données projet'!$E$13+1,1))-AVERAGE(OFFSET($H$3,0,0,'Données projet'!$E$13+1,1))</f>
        <v>187.80389738728508</v>
      </c>
      <c r="CZ7" s="59">
        <f t="shared" si="42"/>
        <v>439.28159165815265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11.5</v>
      </c>
      <c r="DO7" s="12">
        <f>IF('Données projet'!$A$166&gt;35,DO6+DN7-DW6,IF(A7&lt;'Données projet'!$A$166,$DL$205^A7,IF(A7='Données projet'!$A$166,'Données projet'!$B$166,DO6+DN7-DW6)))</f>
        <v>6.6723548683562175</v>
      </c>
      <c r="DP7" s="17">
        <f>DO7*VLOOKUP('Données projet'!$B$14,Paramètres!$A$1:$I$89,3,0)*VLOOKUP('Données projet'!$B$14,Paramètres!$A$1:$I$89,5,0)</f>
        <v>4.8921705894787788</v>
      </c>
      <c r="DQ7" s="13">
        <f t="shared" si="43"/>
        <v>1.8741125629997808</v>
      </c>
      <c r="DR7" s="20">
        <f t="shared" si="16"/>
        <v>11.784609823900155</v>
      </c>
      <c r="DS7" s="59">
        <f t="shared" si="17"/>
        <v>273.3401653794557</v>
      </c>
      <c r="DT7" s="59">
        <f ca="1">AVERAGE(OFFSET($DS$3,0,0,'Données projet'!$E$14+1,1))-AVERAGE(OFFSET($H$3,0,0,'Données projet'!$E$14+1,1))</f>
        <v>239.25212250019609</v>
      </c>
      <c r="DU7" s="59">
        <f t="shared" si="44"/>
        <v>213.58492101729695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7.333333333333333</v>
      </c>
      <c r="EJ7" s="12">
        <f>IF('Données projet'!$A$192&gt;35,EJ6+EI7-ER6,IF(A7&lt;'Données projet'!$A$192,$EG$205^A7,IF(A7='Données projet'!$A$192,'Données projet'!$B$192,EJ6+EI7-ER6)))</f>
        <v>3.5024454722749119</v>
      </c>
      <c r="EK7" s="17">
        <f>EJ7*VLOOKUP('Données projet'!$B$15,Paramètres!$A$1:$I$89,3,0)*VLOOKUP('Données projet'!$B$15,Paramètres!$A$1:$I$89,5,0)</f>
        <v>2.0944623924203976</v>
      </c>
      <c r="EL7" s="13">
        <f t="shared" si="45"/>
        <v>0.88562890963839402</v>
      </c>
      <c r="EM7" s="20">
        <f t="shared" si="19"/>
        <v>5.1903256844190615</v>
      </c>
      <c r="EN7" s="59">
        <f t="shared" si="20"/>
        <v>266.74588123997461</v>
      </c>
      <c r="EO7" s="59">
        <f ca="1">AVERAGE(OFFSET($EN$3,0,0,'Données projet'!$E$15+1,1))-AVERAGE(OFFSET($H$3,0,0,'Données projet'!$E$15+1,1))</f>
        <v>504.81063008331739</v>
      </c>
      <c r="EP7" s="59">
        <f t="shared" si="46"/>
        <v>441.82647565372287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3.0666666666666669</v>
      </c>
      <c r="FE7" s="12">
        <f>IF('Données projet'!$A$218&gt;35,FE6+FD7-FM6,IF(A7&lt;'Données projet'!$A$218,$FB$205^A7,IF(A7='Données projet'!$A$218,'Données projet'!$B$218,FE6+FD7-FM6)))</f>
        <v>2.7758889522808685</v>
      </c>
      <c r="FF7" s="17">
        <f>FE7*VLOOKUP('Données projet'!$B$16,Paramètres!$A$1:$I$89,3,0)*VLOOKUP('Données projet'!$B$16,Paramètres!$A$1:$I$89,5,0)</f>
        <v>1.5878084807046569</v>
      </c>
      <c r="FG7" s="13">
        <f t="shared" si="47"/>
        <v>0.69338953259756575</v>
      </c>
      <c r="FH7" s="20">
        <f t="shared" si="22"/>
        <v>3.9730865398347048</v>
      </c>
      <c r="FI7" s="59">
        <f t="shared" si="23"/>
        <v>265.52864209539024</v>
      </c>
      <c r="FJ7" s="59">
        <f ca="1">AVERAGE(OFFSET($FI$3,0,0,'Données projet'!$E$16+1,1))-AVERAGE(OFFSET($H$3,0,0,'Données projet'!$E$16+1,1))</f>
        <v>393.41577134252316</v>
      </c>
      <c r="FK7" s="59">
        <f t="shared" si="48"/>
        <v>255.54039659391475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5.2</v>
      </c>
      <c r="FZ7" s="12">
        <f>IF('Données projet'!$A$244&gt;35,FZ6+FY7-GH6,IF(A7&lt;'Données projet'!$A$244,$FW$205^A7,IF(A7='Données projet'!$A$244,'Données projet'!$B$244,FZ6+FY7-GH6)))</f>
        <v>3.1956452398695814</v>
      </c>
      <c r="GA7" s="17">
        <f>FZ7*VLOOKUP('Données projet'!$B$17,Paramètres!$A$1:$I$89,3,0)*VLOOKUP('Données projet'!$B$17,Paramètres!$A$1:$I$89,5,0)</f>
        <v>1.4955619722589639</v>
      </c>
      <c r="GB7" s="13">
        <f t="shared" si="49"/>
        <v>0.65767183717154076</v>
      </c>
      <c r="GC7" s="20">
        <f t="shared" si="25"/>
        <v>3.750215551424795</v>
      </c>
      <c r="GD7" s="59">
        <f t="shared" si="26"/>
        <v>265.30577110698033</v>
      </c>
      <c r="GE7" s="59">
        <f ca="1">AVERAGE(OFFSET($GD$3,0,0,'Données projet'!$E$17+1,1))-AVERAGE(OFFSET($H$3,0,0,'Données projet'!$E$17+1,1))</f>
        <v>488.67934252295686</v>
      </c>
      <c r="GF7" s="59">
        <f t="shared" si="50"/>
        <v>424.50324471331095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2.8</v>
      </c>
      <c r="GU7" s="12">
        <f>IF('Données projet'!$A$270&gt;35,GU6+GT7-HC6,IF(A7&lt;'Données projet'!$A$270,$GR$205^A7,IF(A7='Données projet'!$A$270,'Données projet'!$B$270,GU6+GT7-HC6)))</f>
        <v>2.7093585195238274</v>
      </c>
      <c r="GV7" s="17">
        <f>GU7*VLOOKUP('Données projet'!$B$18,Paramètres!$A$1:$I$89,3,0)*VLOOKUP('Données projet'!$B$18,Paramètres!$A$1:$I$89,5,0)</f>
        <v>1.3032014478909613</v>
      </c>
      <c r="GW7" s="13">
        <f t="shared" si="51"/>
        <v>0.58233953296294128</v>
      </c>
      <c r="GX7" s="20">
        <f t="shared" si="28"/>
        <v>3.2839838749872139</v>
      </c>
      <c r="GY7" s="59">
        <f t="shared" si="29"/>
        <v>264.83953943054274</v>
      </c>
      <c r="GZ7" s="59">
        <f ca="1">AVERAGE(OFFSET($GY$3,0,0,'Données projet'!$E$18+1,1))-AVERAGE(OFFSET($H$3,0,0,'Données projet'!$E$18+1,1))</f>
        <v>458.80976193248841</v>
      </c>
      <c r="HA7" s="59">
        <f t="shared" si="52"/>
        <v>396.07405370178759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268.46714702955143</v>
      </c>
      <c r="S8" s="59">
        <f ca="1">AVERAGE(OFFSET($R$3,0,0,'Données projet'!$E$9+1,1))-AVERAGE(OFFSET($H$3,0,0,'Données projet'!$E$9+1,1))</f>
        <v>364.3481978218424</v>
      </c>
      <c r="T8" s="59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8.526315789473685</v>
      </c>
      <c r="AI8" s="13">
        <f>IF('Données projet'!$A$62&gt;35,AI7+AH8-AQ7,IF(A8&lt;'Données projet'!$A$62,$AF$205^A8,IF(A8='Données projet'!$A$62,'Données projet'!$B$62,AI7+AH8-AQ7)))</f>
        <v>3.8146203352688688</v>
      </c>
      <c r="AJ8" s="13">
        <f>AI8*VLOOKUP('Données projet'!$B$10,Paramètres!$A$1:$I$89,3,0)*VLOOKUP('Données projet'!$B$10,Paramètres!$A$1:$I$89,5,0)</f>
        <v>2.1323727674152977</v>
      </c>
      <c r="AK8" s="13">
        <f t="shared" si="35"/>
        <v>0.89977831922200224</v>
      </c>
      <c r="AL8" s="20">
        <f t="shared" si="4"/>
        <v>5.2809964758932972</v>
      </c>
      <c r="AM8" s="59">
        <f t="shared" si="5"/>
        <v>268.05877425367106</v>
      </c>
      <c r="AN8" s="59">
        <f ca="1">AVERAGE(OFFSET($AM$3,0,0,'Données projet'!$E$10+1,1))-AVERAGE(OFFSET($H$3,0,0,'Données projet'!$E$10+1,1))</f>
        <v>443.34220761968419</v>
      </c>
      <c r="AO8" s="59">
        <f t="shared" si="36"/>
        <v>546.58234447298014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1.6</v>
      </c>
      <c r="BD8" s="12">
        <f>IF('Données projet'!$A$88&gt;35,BD7+BC8-BL7,IF(A8&lt;'Données projet'!$A$88,$BA$205^A8,IF(A8='Données projet'!$A$88,'Données projet'!$B$88,BD7+BC8-BL7)))</f>
        <v>2.3784142300054416</v>
      </c>
      <c r="BE8" s="13">
        <f>BD8*VLOOKUP('Données projet'!$B$11,Paramètres!$A$1:$I$89,3,0)*VLOOKUP('Données projet'!$B$11,Paramètres!$A$1:$I$89,5,0)</f>
        <v>2.0406794093446692</v>
      </c>
      <c r="BF8" s="13">
        <f t="shared" si="37"/>
        <v>0.86550396667632346</v>
      </c>
      <c r="BG8" s="20">
        <f t="shared" si="7"/>
        <v>5.061602713236562</v>
      </c>
      <c r="BH8" s="59">
        <f t="shared" si="8"/>
        <v>267.83938049101431</v>
      </c>
      <c r="BI8" s="59">
        <f ca="1">AVERAGE(OFFSET($BH$3,0,0,'Données projet'!$E$11+1,1))-AVERAGE(OFFSET($H$3,0,0,'Données projet'!$E$11+1,1))</f>
        <v>447.15627913956871</v>
      </c>
      <c r="BJ8" s="59">
        <f t="shared" si="38"/>
        <v>256.77417912163997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6.7</v>
      </c>
      <c r="BY8" s="12">
        <f>IF('Données projet'!$A$114&gt;35,BY7+BX8-CG7,IF(A8&lt;'Données projet'!$A$114,$BV$205^A8,IF(A8='Données projet'!$A$114,'Données projet'!$B$114,BY7+BX8-CG7)))</f>
        <v>8.1853527718724486</v>
      </c>
      <c r="BZ8" s="13">
        <f>BY8*VLOOKUP('Données projet'!$B$12,Paramètres!$A$1:$I$89,3,0)*VLOOKUP('Données projet'!$B$12,Paramètres!$A$1:$I$89,5,0)</f>
        <v>7.789181697713822</v>
      </c>
      <c r="CA8" s="13">
        <f t="shared" si="39"/>
        <v>2.8266644048319418</v>
      </c>
      <c r="CB8" s="20">
        <f t="shared" si="10"/>
        <v>18.489265295267202</v>
      </c>
      <c r="CC8" s="59">
        <f t="shared" si="11"/>
        <v>281.26704307304499</v>
      </c>
      <c r="CD8" s="59">
        <f ca="1">AVERAGE(OFFSET($CC$3,0,0,'Données projet'!$E$12+1,1))-AVERAGE(OFFSET($H$3,0,0,'Données projet'!$E$12+1,1))</f>
        <v>448.94764480536713</v>
      </c>
      <c r="CE8" s="59">
        <f t="shared" si="40"/>
        <v>469.26760321719695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7.5454545454545459</v>
      </c>
      <c r="CT8" s="12">
        <f>IF('Données projet'!$A$140&gt;35,CT7+CS8-DB7,IF(A8&lt;'Données projet'!$A$140,$CQ$205^A8,IF(A8='Données projet'!$A$140,'Données projet'!$B$140,CT7+CS8-DB7)))</f>
        <v>7.4526070638664255</v>
      </c>
      <c r="CU8" s="17">
        <f>CT8*VLOOKUP('Données projet'!$B$13,Paramètres!$A$1:$I$89,3,0)*VLOOKUP('Données projet'!$B$13,Paramètres!$A$1:$I$89,5,0)</f>
        <v>4.4566590241921231</v>
      </c>
      <c r="CV8" s="13">
        <f t="shared" si="41"/>
        <v>1.7259045655829262</v>
      </c>
      <c r="CW8" s="20">
        <f t="shared" si="13"/>
        <v>10.76796491885821</v>
      </c>
      <c r="CX8" s="59">
        <f t="shared" si="14"/>
        <v>273.54574269663595</v>
      </c>
      <c r="CY8" s="59">
        <f ca="1">AVERAGE(OFFSET($CX$3,0,0,'Données projet'!$E$13+1,1))-AVERAGE(OFFSET($H$3,0,0,'Données projet'!$E$13+1,1))</f>
        <v>187.80389738728508</v>
      </c>
      <c r="CZ8" s="59">
        <f t="shared" si="42"/>
        <v>439.28159165815265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11.5</v>
      </c>
      <c r="DO8" s="12">
        <f>IF('Données projet'!$A$166&gt;35,DO7+DN8-DW7,IF(A8&lt;'Données projet'!$A$166,$DL$205^A8,IF(A8='Données projet'!$A$166,'Données projet'!$B$166,DO7+DN8-DW7)))</f>
        <v>10.723805294763606</v>
      </c>
      <c r="DP8" s="17">
        <f>DO8*VLOOKUP('Données projet'!$B$14,Paramètres!$A$1:$I$89,3,0)*VLOOKUP('Données projet'!$B$14,Paramètres!$A$1:$I$89,5,0)</f>
        <v>7.8626940421206752</v>
      </c>
      <c r="DQ8" s="13">
        <f t="shared" si="43"/>
        <v>2.8502236090239195</v>
      </c>
      <c r="DR8" s="20">
        <f t="shared" si="16"/>
        <v>18.658331575743503</v>
      </c>
      <c r="DS8" s="59">
        <f t="shared" si="17"/>
        <v>281.43610935352126</v>
      </c>
      <c r="DT8" s="59">
        <f ca="1">AVERAGE(OFFSET($DS$3,0,0,'Données projet'!$E$14+1,1))-AVERAGE(OFFSET($H$3,0,0,'Données projet'!$E$14+1,1))</f>
        <v>239.25212250019609</v>
      </c>
      <c r="DU8" s="59">
        <f t="shared" si="44"/>
        <v>213.58492101729695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7.333333333333333</v>
      </c>
      <c r="EJ8" s="12">
        <f>IF('Données projet'!$A$192&gt;35,EJ7+EI8-ER7,IF(A8&lt;'Données projet'!$A$192,$EG$205^A8,IF(A8='Données projet'!$A$192,'Données projet'!$B$192,EJ7+EI8-ER7)))</f>
        <v>4.7914198570627855</v>
      </c>
      <c r="EK8" s="17">
        <f>EJ8*VLOOKUP('Données projet'!$B$15,Paramètres!$A$1:$I$89,3,0)*VLOOKUP('Données projet'!$B$15,Paramètres!$A$1:$I$89,5,0)</f>
        <v>2.8652690745235461</v>
      </c>
      <c r="EL8" s="13">
        <f t="shared" si="45"/>
        <v>1.1681629376471956</v>
      </c>
      <c r="EM8" s="20">
        <f t="shared" si="19"/>
        <v>7.024894087864042</v>
      </c>
      <c r="EN8" s="59">
        <f t="shared" si="20"/>
        <v>269.8026718656418</v>
      </c>
      <c r="EO8" s="59">
        <f ca="1">AVERAGE(OFFSET($EN$3,0,0,'Données projet'!$E$15+1,1))-AVERAGE(OFFSET($H$3,0,0,'Données projet'!$E$15+1,1))</f>
        <v>504.81063008331739</v>
      </c>
      <c r="EP8" s="59">
        <f t="shared" si="46"/>
        <v>441.82647565372287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3.0666666666666669</v>
      </c>
      <c r="FE8" s="12">
        <f>IF('Données projet'!$A$218&gt;35,FE7+FD8-FM7,IF(A8&lt;'Données projet'!$A$218,$FB$205^A8,IF(A8='Données projet'!$A$218,'Données projet'!$B$218,FE7+FD8-FM7)))</f>
        <v>3.5830478710159461</v>
      </c>
      <c r="FF8" s="17">
        <f>FE8*VLOOKUP('Données projet'!$B$16,Paramètres!$A$1:$I$89,3,0)*VLOOKUP('Données projet'!$B$16,Paramètres!$A$1:$I$89,5,0)</f>
        <v>2.0495033822211211</v>
      </c>
      <c r="FG8" s="13">
        <f t="shared" si="47"/>
        <v>0.86880998319746505</v>
      </c>
      <c r="FH8" s="20">
        <f t="shared" si="22"/>
        <v>5.0827291114373709</v>
      </c>
      <c r="FI8" s="59">
        <f t="shared" si="23"/>
        <v>267.86050688921512</v>
      </c>
      <c r="FJ8" s="59">
        <f ca="1">AVERAGE(OFFSET($FI$3,0,0,'Données projet'!$E$16+1,1))-AVERAGE(OFFSET($H$3,0,0,'Données projet'!$E$16+1,1))</f>
        <v>393.41577134252316</v>
      </c>
      <c r="FK8" s="59">
        <f t="shared" si="48"/>
        <v>255.54039659391475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5.2</v>
      </c>
      <c r="FZ8" s="12">
        <f>IF('Données projet'!$A$244&gt;35,FZ7+FY8-GH7,IF(A8&lt;'Données projet'!$A$244,$FW$205^A8,IF(A8='Données projet'!$A$244,'Données projet'!$B$244,FZ7+FY8-GH7)))</f>
        <v>4.2726586816979157</v>
      </c>
      <c r="GA8" s="17">
        <f>FZ8*VLOOKUP('Données projet'!$B$17,Paramètres!$A$1:$I$89,3,0)*VLOOKUP('Données projet'!$B$17,Paramètres!$A$1:$I$89,5,0)</f>
        <v>1.9996042630346245</v>
      </c>
      <c r="GB8" s="13">
        <f t="shared" si="49"/>
        <v>0.85009259073978882</v>
      </c>
      <c r="GC8" s="20">
        <f t="shared" si="25"/>
        <v>4.9632220203237694</v>
      </c>
      <c r="GD8" s="59">
        <f t="shared" si="26"/>
        <v>267.74099979810154</v>
      </c>
      <c r="GE8" s="59">
        <f ca="1">AVERAGE(OFFSET($GD$3,0,0,'Données projet'!$E$17+1,1))-AVERAGE(OFFSET($H$3,0,0,'Données projet'!$E$17+1,1))</f>
        <v>488.67934252295686</v>
      </c>
      <c r="GF8" s="59">
        <f t="shared" si="50"/>
        <v>424.50324471331095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2.8</v>
      </c>
      <c r="GU8" s="12">
        <f>IF('Données projet'!$A$270&gt;35,GU7+GT8-HC7,IF(A8&lt;'Données projet'!$A$270,$GR$205^A8,IF(A8='Données projet'!$A$270,'Données projet'!$B$270,GU7+GT8-HC7)))</f>
        <v>3.4760266448864483</v>
      </c>
      <c r="GV8" s="17">
        <f>GU8*VLOOKUP('Données projet'!$B$18,Paramètres!$A$1:$I$89,3,0)*VLOOKUP('Données projet'!$B$18,Paramètres!$A$1:$I$89,5,0)</f>
        <v>1.6719688161903816</v>
      </c>
      <c r="GW8" s="13">
        <f t="shared" si="51"/>
        <v>0.72576576564281325</v>
      </c>
      <c r="GX8" s="20">
        <f t="shared" si="28"/>
        <v>4.1760543966928143</v>
      </c>
      <c r="GY8" s="59">
        <f t="shared" si="29"/>
        <v>266.95383217447056</v>
      </c>
      <c r="GZ8" s="59">
        <f ca="1">AVERAGE(OFFSET($GY$3,0,0,'Données projet'!$E$18+1,1))-AVERAGE(OFFSET($H$3,0,0,'Données projet'!$E$18+1,1))</f>
        <v>458.80976193248841</v>
      </c>
      <c r="HA8" s="59">
        <f t="shared" si="52"/>
        <v>396.07405370178759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270.81494110736412</v>
      </c>
      <c r="S9" s="59">
        <f ca="1">AVERAGE(OFFSET($R$3,0,0,'Données projet'!$E$9+1,1))-AVERAGE(OFFSET($H$3,0,0,'Données projet'!$E$9+1,1))</f>
        <v>364.3481978218424</v>
      </c>
      <c r="T9" s="59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8.526315789473685</v>
      </c>
      <c r="AI9" s="13">
        <f>IF('Données projet'!$A$62&gt;35,AI8+AH9-AQ8,IF(A9&lt;'Données projet'!$A$62,$AF$205^A9,IF(A9='Données projet'!$A$62,'Données projet'!$B$62,AI8+AH9-AQ8)))</f>
        <v>4.9858772657326877</v>
      </c>
      <c r="AJ9" s="13">
        <f>AI9*VLOOKUP('Données projet'!$B$10,Paramètres!$A$1:$I$89,3,0)*VLOOKUP('Données projet'!$B$10,Paramètres!$A$1:$I$89,5,0)</f>
        <v>2.7871053915445723</v>
      </c>
      <c r="AK9" s="13">
        <f t="shared" si="35"/>
        <v>1.1399599707787778</v>
      </c>
      <c r="AL9" s="20">
        <f t="shared" si="4"/>
        <v>6.839638839379834</v>
      </c>
      <c r="AM9" s="59">
        <f t="shared" si="5"/>
        <v>270.83963883937986</v>
      </c>
      <c r="AN9" s="59">
        <f ca="1">AVERAGE(OFFSET($AM$3,0,0,'Données projet'!$E$10+1,1))-AVERAGE(OFFSET($H$3,0,0,'Données projet'!$E$10+1,1))</f>
        <v>443.34220761968419</v>
      </c>
      <c r="AO9" s="59">
        <f t="shared" si="36"/>
        <v>546.58234447298014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1.6</v>
      </c>
      <c r="BD9" s="12">
        <f>IF('Données projet'!$A$88&gt;35,BD8+BC9-BL8,IF(A9&lt;'Données projet'!$A$88,$BA$205^A9,IF(A9='Données projet'!$A$88,'Données projet'!$B$88,BD8+BC9-BL8)))</f>
        <v>2.8284271247461894</v>
      </c>
      <c r="BE9" s="13">
        <f>BD9*VLOOKUP('Données projet'!$B$11,Paramètres!$A$1:$I$89,3,0)*VLOOKUP('Données projet'!$B$11,Paramètres!$A$1:$I$89,5,0)</f>
        <v>2.4267904730322307</v>
      </c>
      <c r="BF9" s="13">
        <f t="shared" si="37"/>
        <v>1.0087106093953995</v>
      </c>
      <c r="BG9" s="20">
        <f t="shared" si="7"/>
        <v>5.9834977185614555</v>
      </c>
      <c r="BH9" s="59">
        <f t="shared" si="8"/>
        <v>269.98349771856147</v>
      </c>
      <c r="BI9" s="59">
        <f ca="1">AVERAGE(OFFSET($BH$3,0,0,'Données projet'!$E$11+1,1))-AVERAGE(OFFSET($H$3,0,0,'Données projet'!$E$11+1,1))</f>
        <v>447.15627913956871</v>
      </c>
      <c r="BJ9" s="59">
        <f t="shared" si="38"/>
        <v>256.77417912163997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6.7</v>
      </c>
      <c r="BY9" s="12">
        <f>IF('Données projet'!$A$114&gt;35,BY8+BX9-CG8,IF(A9&lt;'Données projet'!$A$114,$BV$205^A9,IF(A9='Données projet'!$A$114,'Données projet'!$B$114,BY8+BX9-CG8)))</f>
        <v>12.463639577568397</v>
      </c>
      <c r="BZ9" s="13">
        <f>BY9*VLOOKUP('Données projet'!$B$12,Paramètres!$A$1:$I$89,3,0)*VLOOKUP('Données projet'!$B$12,Paramètres!$A$1:$I$89,5,0)</f>
        <v>11.860399422014087</v>
      </c>
      <c r="CA9" s="13">
        <f t="shared" si="39"/>
        <v>4.0985120811516644</v>
      </c>
      <c r="CB9" s="20">
        <f t="shared" si="10"/>
        <v>27.795104201347016</v>
      </c>
      <c r="CC9" s="59">
        <f t="shared" si="11"/>
        <v>291.79510420134704</v>
      </c>
      <c r="CD9" s="59">
        <f ca="1">AVERAGE(OFFSET($CC$3,0,0,'Données projet'!$E$12+1,1))-AVERAGE(OFFSET($H$3,0,0,'Données projet'!$E$12+1,1))</f>
        <v>448.94764480536713</v>
      </c>
      <c r="CE9" s="59">
        <f t="shared" si="40"/>
        <v>469.26760321719695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7.5454545454545459</v>
      </c>
      <c r="CT9" s="12">
        <f>IF('Données projet'!$A$140&gt;35,CT8+CS9-DB8,IF(A9&lt;'Données projet'!$A$140,$CQ$205^A9,IF(A9='Données projet'!$A$140,'Données projet'!$B$140,CT8+CS9-DB8)))</f>
        <v>11.137042284494127</v>
      </c>
      <c r="CU9" s="17">
        <f>CT9*VLOOKUP('Données projet'!$B$13,Paramètres!$A$1:$I$89,3,0)*VLOOKUP('Données projet'!$B$13,Paramètres!$A$1:$I$89,5,0)</f>
        <v>6.6599512861274883</v>
      </c>
      <c r="CV9" s="13">
        <f t="shared" si="41"/>
        <v>2.461337037629669</v>
      </c>
      <c r="CW9" s="20">
        <f t="shared" si="13"/>
        <v>15.886243830543714</v>
      </c>
      <c r="CX9" s="59">
        <f t="shared" si="14"/>
        <v>279.88624383054372</v>
      </c>
      <c r="CY9" s="59">
        <f ca="1">AVERAGE(OFFSET($CX$3,0,0,'Données projet'!$E$13+1,1))-AVERAGE(OFFSET($H$3,0,0,'Données projet'!$E$13+1,1))</f>
        <v>187.80389738728508</v>
      </c>
      <c r="CZ9" s="59">
        <f t="shared" si="42"/>
        <v>439.28159165815265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11.5</v>
      </c>
      <c r="DO9" s="12">
        <f>IF('Données projet'!$A$166&gt;35,DO8+DN9-DW8,IF(A9&lt;'Données projet'!$A$166,$DL$205^A9,IF(A9='Données projet'!$A$166,'Données projet'!$B$166,DO8+DN9-DW8)))</f>
        <v>17.235294325454703</v>
      </c>
      <c r="DP9" s="17">
        <f>DO9*VLOOKUP('Données projet'!$B$14,Paramètres!$A$1:$I$89,3,0)*VLOOKUP('Données projet'!$B$14,Paramètres!$A$1:$I$89,5,0)</f>
        <v>12.636917799423388</v>
      </c>
      <c r="DQ9" s="13">
        <f t="shared" si="43"/>
        <v>4.3347314253281013</v>
      </c>
      <c r="DR9" s="20">
        <f t="shared" si="16"/>
        <v>29.558955733108835</v>
      </c>
      <c r="DS9" s="59">
        <f t="shared" si="17"/>
        <v>293.55895573310886</v>
      </c>
      <c r="DT9" s="59">
        <f ca="1">AVERAGE(OFFSET($DS$3,0,0,'Données projet'!$E$14+1,1))-AVERAGE(OFFSET($H$3,0,0,'Données projet'!$E$14+1,1))</f>
        <v>239.25212250019609</v>
      </c>
      <c r="DU9" s="59">
        <f t="shared" si="44"/>
        <v>213.58492101729695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7.333333333333333</v>
      </c>
      <c r="EJ9" s="12">
        <f>IF('Données projet'!$A$192&gt;35,EJ8+EI9-ER8,IF(A9&lt;'Données projet'!$A$192,$EG$205^A9,IF(A9='Données projet'!$A$192,'Données projet'!$B$192,EJ8+EI9-ER8)))</f>
        <v>6.5547642149997696</v>
      </c>
      <c r="EK9" s="17">
        <f>EJ9*VLOOKUP('Données projet'!$B$15,Paramètres!$A$1:$I$89,3,0)*VLOOKUP('Données projet'!$B$15,Paramètres!$A$1:$I$89,5,0)</f>
        <v>3.9197490005698628</v>
      </c>
      <c r="EL9" s="13">
        <f t="shared" si="45"/>
        <v>1.5408311924344247</v>
      </c>
      <c r="EM9" s="20">
        <f t="shared" si="19"/>
        <v>9.5105105028157997</v>
      </c>
      <c r="EN9" s="59">
        <f t="shared" si="20"/>
        <v>273.51051050281581</v>
      </c>
      <c r="EO9" s="59">
        <f ca="1">AVERAGE(OFFSET($EN$3,0,0,'Données projet'!$E$15+1,1))-AVERAGE(OFFSET($H$3,0,0,'Données projet'!$E$15+1,1))</f>
        <v>504.81063008331739</v>
      </c>
      <c r="EP9" s="59">
        <f t="shared" si="46"/>
        <v>441.82647565372287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3.0666666666666669</v>
      </c>
      <c r="FE9" s="12">
        <f>IF('Données projet'!$A$218&gt;35,FE8+FD9-FM8,IF(A9&lt;'Données projet'!$A$218,$FB$205^A9,IF(A9='Données projet'!$A$218,'Données projet'!$B$218,FE8+FD9-FM8)))</f>
        <v>4.6249083687022479</v>
      </c>
      <c r="FF9" s="17">
        <f>FE9*VLOOKUP('Données projet'!$B$16,Paramètres!$A$1:$I$89,3,0)*VLOOKUP('Données projet'!$B$16,Paramètres!$A$1:$I$89,5,0)</f>
        <v>2.6454475868976859</v>
      </c>
      <c r="FG9" s="13">
        <f t="shared" si="47"/>
        <v>1.0886100112816002</v>
      </c>
      <c r="FH9" s="20">
        <f t="shared" si="22"/>
        <v>6.5034836501622566</v>
      </c>
      <c r="FI9" s="59">
        <f t="shared" si="23"/>
        <v>270.50348365016225</v>
      </c>
      <c r="FJ9" s="59">
        <f ca="1">AVERAGE(OFFSET($FI$3,0,0,'Données projet'!$E$16+1,1))-AVERAGE(OFFSET($H$3,0,0,'Données projet'!$E$16+1,1))</f>
        <v>393.41577134252316</v>
      </c>
      <c r="FK9" s="59">
        <f t="shared" si="48"/>
        <v>255.54039659391475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5.2</v>
      </c>
      <c r="FZ9" s="12">
        <f>IF('Données projet'!$A$244&gt;35,FZ8+FY9-GH8,IF(A9&lt;'Données projet'!$A$244,$FW$205^A9,IF(A9='Données projet'!$A$244,'Données projet'!$B$244,FZ8+FY9-GH8)))</f>
        <v>5.7126529511247019</v>
      </c>
      <c r="GA9" s="17">
        <f>FZ9*VLOOKUP('Données projet'!$B$17,Paramètres!$A$1:$I$89,3,0)*VLOOKUP('Données projet'!$B$17,Paramètres!$A$1:$I$89,5,0)</f>
        <v>2.6735215811263608</v>
      </c>
      <c r="GB9" s="13">
        <f t="shared" si="49"/>
        <v>1.0988115530971037</v>
      </c>
      <c r="GC9" s="20">
        <f t="shared" si="25"/>
        <v>6.5701468754391996</v>
      </c>
      <c r="GD9" s="59">
        <f t="shared" si="26"/>
        <v>270.57014687543921</v>
      </c>
      <c r="GE9" s="59">
        <f ca="1">AVERAGE(OFFSET($GD$3,0,0,'Données projet'!$E$17+1,1))-AVERAGE(OFFSET($H$3,0,0,'Données projet'!$E$17+1,1))</f>
        <v>488.67934252295686</v>
      </c>
      <c r="GF9" s="59">
        <f t="shared" si="50"/>
        <v>424.50324471331095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2.8</v>
      </c>
      <c r="GU9" s="12">
        <f>IF('Données projet'!$A$270&gt;35,GU8+GT9-HC8,IF(A9&lt;'Données projet'!$A$270,$GR$205^A9,IF(A9='Données projet'!$A$270,'Données projet'!$B$270,GU8+GT9-HC8)))</f>
        <v>4.4596391171162164</v>
      </c>
      <c r="GV9" s="17">
        <f>GU9*VLOOKUP('Données projet'!$B$18,Paramètres!$A$1:$I$89,3,0)*VLOOKUP('Données projet'!$B$18,Paramètres!$A$1:$I$89,5,0)</f>
        <v>2.1450864153329001</v>
      </c>
      <c r="GW9" s="13">
        <f t="shared" si="51"/>
        <v>0.90451689566577897</v>
      </c>
      <c r="GX9" s="20">
        <f t="shared" si="28"/>
        <v>5.3113924333226992</v>
      </c>
      <c r="GY9" s="59">
        <f t="shared" si="29"/>
        <v>269.31139243332268</v>
      </c>
      <c r="GZ9" s="59">
        <f ca="1">AVERAGE(OFFSET($GY$3,0,0,'Données projet'!$E$18+1,1))-AVERAGE(OFFSET($H$3,0,0,'Données projet'!$E$18+1,1))</f>
        <v>458.80976193248841</v>
      </c>
      <c r="HA9" s="59">
        <f t="shared" si="52"/>
        <v>396.07405370178759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273.38621175408076</v>
      </c>
      <c r="S10" s="59">
        <f ca="1">AVERAGE(OFFSET($R$3,0,0,'Données projet'!$E$9+1,1))-AVERAGE(OFFSET($H$3,0,0,'Données projet'!$E$9+1,1))</f>
        <v>364.3481978218424</v>
      </c>
      <c r="T10" s="59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8.526315789473685</v>
      </c>
      <c r="AI10" s="13">
        <f>IF('Données projet'!$A$62&gt;35,AI9+AH10-AQ9,IF(A10&lt;'Données projet'!$A$62,$AF$205^A10,IF(A10='Données projet'!$A$62,'Données projet'!$B$62,AI9+AH10-AQ9)))</f>
        <v>6.5167618069644444</v>
      </c>
      <c r="AJ10" s="13">
        <f>AI10*VLOOKUP('Données projet'!$B$10,Paramètres!$A$1:$I$89,3,0)*VLOOKUP('Données projet'!$B$10,Paramètres!$A$1:$I$89,5,0)</f>
        <v>3.6428698500931249</v>
      </c>
      <c r="AK10" s="13">
        <f t="shared" si="35"/>
        <v>1.4442543315575544</v>
      </c>
      <c r="AL10" s="20">
        <f t="shared" si="4"/>
        <v>8.8600746163749324</v>
      </c>
      <c r="AM10" s="59">
        <f t="shared" si="5"/>
        <v>274.08229683859719</v>
      </c>
      <c r="AN10" s="59">
        <f ca="1">AVERAGE(OFFSET($AM$3,0,0,'Données projet'!$E$10+1,1))-AVERAGE(OFFSET($H$3,0,0,'Données projet'!$E$10+1,1))</f>
        <v>443.34220761968419</v>
      </c>
      <c r="AO10" s="59">
        <f t="shared" si="36"/>
        <v>546.58234447298014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1.6</v>
      </c>
      <c r="BD10" s="12">
        <f>IF('Données projet'!$A$88&gt;35,BD9+BC10-BL9,IF(A10&lt;'Données projet'!$A$88,$BA$205^A10,IF(A10='Données projet'!$A$88,'Données projet'!$B$88,BD9+BC10-BL9)))</f>
        <v>3.3635856610148567</v>
      </c>
      <c r="BE10" s="13">
        <f>BD10*VLOOKUP('Données projet'!$B$11,Paramètres!$A$1:$I$89,3,0)*VLOOKUP('Données projet'!$B$11,Paramètres!$A$1:$I$89,5,0)</f>
        <v>2.8859564971507474</v>
      </c>
      <c r="BF10" s="13">
        <f t="shared" si="37"/>
        <v>1.1756122821876749</v>
      </c>
      <c r="BG10" s="20">
        <f t="shared" si="7"/>
        <v>7.073898957347752</v>
      </c>
      <c r="BH10" s="59">
        <f t="shared" si="8"/>
        <v>272.29612117956998</v>
      </c>
      <c r="BI10" s="59">
        <f ca="1">AVERAGE(OFFSET($BH$3,0,0,'Données projet'!$E$11+1,1))-AVERAGE(OFFSET($H$3,0,0,'Données projet'!$E$11+1,1))</f>
        <v>447.15627913956871</v>
      </c>
      <c r="BJ10" s="59">
        <f t="shared" si="38"/>
        <v>256.77417912163997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6.7</v>
      </c>
      <c r="BY10" s="12">
        <f>IF('Données projet'!$A$114&gt;35,BY9+BX10-CG9,IF(A10&lt;'Données projet'!$A$114,$BV$205^A10,IF(A10='Données projet'!$A$114,'Données projet'!$B$114,BY9+BX10-CG9)))</f>
        <v>18.978083883364974</v>
      </c>
      <c r="BZ10" s="13">
        <f>BY10*VLOOKUP('Données projet'!$B$12,Paramètres!$A$1:$I$89,3,0)*VLOOKUP('Données projet'!$B$12,Paramètres!$A$1:$I$89,5,0)</f>
        <v>18.059544623410108</v>
      </c>
      <c r="CA10" s="13">
        <f t="shared" si="39"/>
        <v>5.942623132279782</v>
      </c>
      <c r="CB10" s="20">
        <f t="shared" si="10"/>
        <v>41.80377550782655</v>
      </c>
      <c r="CC10" s="59">
        <f t="shared" si="11"/>
        <v>307.0259977300488</v>
      </c>
      <c r="CD10" s="59">
        <f ca="1">AVERAGE(OFFSET($CC$3,0,0,'Données projet'!$E$12+1,1))-AVERAGE(OFFSET($H$3,0,0,'Données projet'!$E$12+1,1))</f>
        <v>448.94764480536713</v>
      </c>
      <c r="CE10" s="59">
        <f t="shared" si="40"/>
        <v>469.26760321719695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7.5454545454545459</v>
      </c>
      <c r="CT10" s="12">
        <f>IF('Données projet'!$A$140&gt;35,CT9+CS10-DB9,IF(A10&lt;'Données projet'!$A$140,$CQ$205^A10,IF(A10='Données projet'!$A$140,'Données projet'!$B$140,CT9+CS10-DB9)))</f>
        <v>16.642996173511026</v>
      </c>
      <c r="CU10" s="17">
        <f>CT10*VLOOKUP('Données projet'!$B$13,Paramètres!$A$1:$I$89,3,0)*VLOOKUP('Données projet'!$B$13,Paramètres!$A$1:$I$89,5,0)</f>
        <v>9.9525117117595947</v>
      </c>
      <c r="CV10" s="13">
        <f t="shared" si="41"/>
        <v>3.5101477414317164</v>
      </c>
      <c r="CW10" s="20">
        <f t="shared" si="13"/>
        <v>23.447465214308199</v>
      </c>
      <c r="CX10" s="59">
        <f t="shared" si="14"/>
        <v>288.66968743653041</v>
      </c>
      <c r="CY10" s="59">
        <f ca="1">AVERAGE(OFFSET($CX$3,0,0,'Données projet'!$E$13+1,1))-AVERAGE(OFFSET($H$3,0,0,'Données projet'!$E$13+1,1))</f>
        <v>187.80389738728508</v>
      </c>
      <c r="CZ10" s="59">
        <f t="shared" si="42"/>
        <v>439.28159165815265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11.5</v>
      </c>
      <c r="DO10" s="12">
        <f>IF('Données projet'!$A$166&gt;35,DO9+DN10-DW9,IF(A10&lt;'Données projet'!$A$166,$DL$205^A10,IF(A10='Données projet'!$A$166,'Données projet'!$B$166,DO9+DN10-DW9)))</f>
        <v>27.700556129091794</v>
      </c>
      <c r="DP10" s="17">
        <f>DO10*VLOOKUP('Données projet'!$B$14,Paramètres!$A$1:$I$89,3,0)*VLOOKUP('Données projet'!$B$14,Paramètres!$A$1:$I$89,5,0)</f>
        <v>20.310047753850103</v>
      </c>
      <c r="DQ10" s="13">
        <f t="shared" si="43"/>
        <v>6.5924289133797958</v>
      </c>
      <c r="DR10" s="20">
        <f t="shared" si="16"/>
        <v>46.855146862092077</v>
      </c>
      <c r="DS10" s="59">
        <f t="shared" si="17"/>
        <v>312.07736908431428</v>
      </c>
      <c r="DT10" s="59">
        <f ca="1">AVERAGE(OFFSET($DS$3,0,0,'Données projet'!$E$14+1,1))-AVERAGE(OFFSET($H$3,0,0,'Données projet'!$E$14+1,1))</f>
        <v>239.25212250019609</v>
      </c>
      <c r="DU10" s="59">
        <f t="shared" si="44"/>
        <v>213.58492101729695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7.333333333333333</v>
      </c>
      <c r="EJ10" s="12">
        <f>IF('Données projet'!$A$192&gt;35,EJ9+EI10-ER9,IF(A10&lt;'Données projet'!$A$192,$EG$205^A10,IF(A10='Données projet'!$A$192,'Données projet'!$B$192,EJ9+EI10-ER9)))</f>
        <v>8.9670567798205276</v>
      </c>
      <c r="EK10" s="17">
        <f>EJ10*VLOOKUP('Données projet'!$B$15,Paramètres!$A$1:$I$89,3,0)*VLOOKUP('Données projet'!$B$15,Paramètres!$A$1:$I$89,5,0)</f>
        <v>5.3622999543326761</v>
      </c>
      <c r="EL10" s="13">
        <f t="shared" si="45"/>
        <v>2.032388365582547</v>
      </c>
      <c r="EM10" s="20">
        <f t="shared" si="19"/>
        <v>12.87908215718568</v>
      </c>
      <c r="EN10" s="59">
        <f t="shared" si="20"/>
        <v>278.10130437940791</v>
      </c>
      <c r="EO10" s="59">
        <f ca="1">AVERAGE(OFFSET($EN$3,0,0,'Données projet'!$E$15+1,1))-AVERAGE(OFFSET($H$3,0,0,'Données projet'!$E$15+1,1))</f>
        <v>504.81063008331739</v>
      </c>
      <c r="EP10" s="59">
        <f t="shared" si="46"/>
        <v>441.82647565372287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3.0666666666666669</v>
      </c>
      <c r="FE10" s="12">
        <f>IF('Données projet'!$A$218&gt;35,FE9+FD10-FM9,IF(A10&lt;'Données projet'!$A$218,$FB$205^A10,IF(A10='Données projet'!$A$218,'Données projet'!$B$218,FE9+FD10-FM9)))</f>
        <v>5.9697157807794445</v>
      </c>
      <c r="FF10" s="17">
        <f>FE10*VLOOKUP('Données projet'!$B$16,Paramètres!$A$1:$I$89,3,0)*VLOOKUP('Données projet'!$B$16,Paramètres!$A$1:$I$89,5,0)</f>
        <v>3.4146774266058424</v>
      </c>
      <c r="FG10" s="13">
        <f t="shared" si="47"/>
        <v>1.3640171954529439</v>
      </c>
      <c r="FH10" s="20">
        <f t="shared" si="22"/>
        <v>8.3228931334190523</v>
      </c>
      <c r="FI10" s="59">
        <f t="shared" si="23"/>
        <v>273.54511535564126</v>
      </c>
      <c r="FJ10" s="59">
        <f ca="1">AVERAGE(OFFSET($FI$3,0,0,'Données projet'!$E$16+1,1))-AVERAGE(OFFSET($H$3,0,0,'Données projet'!$E$16+1,1))</f>
        <v>393.41577134252316</v>
      </c>
      <c r="FK10" s="59">
        <f t="shared" si="48"/>
        <v>255.54039659391475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5.2</v>
      </c>
      <c r="FZ10" s="12">
        <f>IF('Données projet'!$A$244&gt;35,FZ9+FY10-GH9,IF(A10&lt;'Données projet'!$A$244,$FW$205^A10,IF(A10='Données projet'!$A$244,'Données projet'!$B$244,FZ9+FY10-GH9)))</f>
        <v>7.6379617870681749</v>
      </c>
      <c r="GA10" s="17">
        <f>FZ10*VLOOKUP('Données projet'!$B$17,Paramètres!$A$1:$I$89,3,0)*VLOOKUP('Données projet'!$B$17,Paramètres!$A$1:$I$89,5,0)</f>
        <v>3.5745661163479054</v>
      </c>
      <c r="GB10" s="13">
        <f t="shared" si="49"/>
        <v>1.4203003794786002</v>
      </c>
      <c r="GC10" s="20">
        <f t="shared" si="25"/>
        <v>8.6993924802311628</v>
      </c>
      <c r="GD10" s="59">
        <f t="shared" si="26"/>
        <v>273.92161470245338</v>
      </c>
      <c r="GE10" s="59">
        <f ca="1">AVERAGE(OFFSET($GD$3,0,0,'Données projet'!$E$17+1,1))-AVERAGE(OFFSET($H$3,0,0,'Données projet'!$E$17+1,1))</f>
        <v>488.67934252295686</v>
      </c>
      <c r="GF10" s="59">
        <f t="shared" si="50"/>
        <v>424.50324471331095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2.8</v>
      </c>
      <c r="GU10" s="12">
        <f>IF('Données projet'!$A$270&gt;35,GU9+GT10-HC9,IF(A10&lt;'Données projet'!$A$270,$GR$205^A10,IF(A10='Données projet'!$A$270,'Données projet'!$B$270,GU9+GT10-HC9)))</f>
        <v>5.7215847537218165</v>
      </c>
      <c r="GV10" s="17">
        <f>GU10*VLOOKUP('Données projet'!$B$18,Paramètres!$A$1:$I$89,3,0)*VLOOKUP('Données projet'!$B$18,Paramètres!$A$1:$I$89,5,0)</f>
        <v>2.7520822665401936</v>
      </c>
      <c r="GW10" s="13">
        <f t="shared" si="51"/>
        <v>1.1272932029526337</v>
      </c>
      <c r="GX10" s="20">
        <f t="shared" si="28"/>
        <v>6.7565789427000071</v>
      </c>
      <c r="GY10" s="59">
        <f t="shared" si="29"/>
        <v>271.97880116492223</v>
      </c>
      <c r="GZ10" s="59">
        <f ca="1">AVERAGE(OFFSET($GY$3,0,0,'Données projet'!$E$18+1,1))-AVERAGE(OFFSET($H$3,0,0,'Données projet'!$E$18+1,1))</f>
        <v>458.80976193248841</v>
      </c>
      <c r="HA10" s="59">
        <f t="shared" si="52"/>
        <v>396.07405370178759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276.22547755046565</v>
      </c>
      <c r="S11" s="59">
        <f ca="1">AVERAGE(OFFSET($R$3,0,0,'Données projet'!$E$9+1,1))-AVERAGE(OFFSET($H$3,0,0,'Données projet'!$E$9+1,1))</f>
        <v>364.3481978218424</v>
      </c>
      <c r="T11" s="59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8.526315789473685</v>
      </c>
      <c r="AI11" s="13">
        <f>IF('Données projet'!$A$62&gt;35,AI10+AH11-AQ10,IF(A11&lt;'Données projet'!$A$62,$AF$205^A11,IF(A11='Données projet'!$A$62,'Données projet'!$B$62,AI10+AH11-AQ10)))</f>
        <v>8.5176955198213591</v>
      </c>
      <c r="AJ11" s="13">
        <f>AI11*VLOOKUP('Données projet'!$B$10,Paramètres!$A$1:$I$89,3,0)*VLOOKUP('Données projet'!$B$10,Paramètres!$A$1:$I$89,5,0)</f>
        <v>4.7613917955801393</v>
      </c>
      <c r="AK11" s="13">
        <f t="shared" si="35"/>
        <v>1.8297752795633417</v>
      </c>
      <c r="AL11" s="20">
        <f t="shared" si="4"/>
        <v>11.479615989208229</v>
      </c>
      <c r="AM11" s="59">
        <f t="shared" si="5"/>
        <v>277.9240604336527</v>
      </c>
      <c r="AN11" s="59">
        <f ca="1">AVERAGE(OFFSET($AM$3,0,0,'Données projet'!$E$10+1,1))-AVERAGE(OFFSET($H$3,0,0,'Données projet'!$E$10+1,1))</f>
        <v>443.34220761968419</v>
      </c>
      <c r="AO11" s="59">
        <f t="shared" si="36"/>
        <v>546.58234447298014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1.6</v>
      </c>
      <c r="BD11" s="12">
        <f>IF('Données projet'!$A$88&gt;35,BD10+BC11-BL10,IF(A11&lt;'Données projet'!$A$88,$BA$205^A11,IF(A11='Données projet'!$A$88,'Données projet'!$B$88,BD10+BC11-BL10)))</f>
        <v>3.9999999999999982</v>
      </c>
      <c r="BE11" s="13">
        <f>BD11*VLOOKUP('Données projet'!$B$11,Paramètres!$A$1:$I$89,3,0)*VLOOKUP('Données projet'!$B$11,Paramètres!$A$1:$I$89,5,0)</f>
        <v>3.4319999999999991</v>
      </c>
      <c r="BF11" s="13">
        <f t="shared" si="37"/>
        <v>1.3701295744860806</v>
      </c>
      <c r="BG11" s="20">
        <f t="shared" si="7"/>
        <v>8.3637090088965884</v>
      </c>
      <c r="BH11" s="59">
        <f t="shared" si="8"/>
        <v>274.80815345334105</v>
      </c>
      <c r="BI11" s="59">
        <f ca="1">AVERAGE(OFFSET($BH$3,0,0,'Données projet'!$E$11+1,1))-AVERAGE(OFFSET($H$3,0,0,'Données projet'!$E$11+1,1))</f>
        <v>447.15627913956871</v>
      </c>
      <c r="BJ11" s="59">
        <f t="shared" si="38"/>
        <v>256.77417912163997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6.7</v>
      </c>
      <c r="BY11" s="12">
        <f>IF('Données projet'!$A$114&gt;35,BY10+BX11-CG10,IF(A11&lt;'Données projet'!$A$114,$BV$205^A11,IF(A11='Données projet'!$A$114,'Données projet'!$B$114,BY10+BX11-CG10)))</f>
        <v>28.897471372026349</v>
      </c>
      <c r="BZ11" s="13">
        <f>BY11*VLOOKUP('Données projet'!$B$12,Paramètres!$A$1:$I$89,3,0)*VLOOKUP('Données projet'!$B$12,Paramètres!$A$1:$I$89,5,0)</f>
        <v>27.498833757620275</v>
      </c>
      <c r="CA11" s="13">
        <f t="shared" si="39"/>
        <v>8.6164854447332626</v>
      </c>
      <c r="CB11" s="20">
        <f t="shared" si="10"/>
        <v>62.900847610765744</v>
      </c>
      <c r="CC11" s="59">
        <f t="shared" si="11"/>
        <v>329.34529205521022</v>
      </c>
      <c r="CD11" s="59">
        <f ca="1">AVERAGE(OFFSET($CC$3,0,0,'Données projet'!$E$12+1,1))-AVERAGE(OFFSET($H$3,0,0,'Données projet'!$E$12+1,1))</f>
        <v>448.94764480536713</v>
      </c>
      <c r="CE11" s="59">
        <f t="shared" si="40"/>
        <v>469.26760321719695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7.5454545454545459</v>
      </c>
      <c r="CT11" s="12">
        <f>IF('Données projet'!$A$140&gt;35,CT10+CS11-DB10,IF(A11&lt;'Données projet'!$A$140,$CQ$205^A11,IF(A11='Données projet'!$A$140,'Données projet'!$B$140,CT10+CS11-DB10)))</f>
        <v>24.870994879596463</v>
      </c>
      <c r="CU11" s="17">
        <f>CT11*VLOOKUP('Données projet'!$B$13,Paramètres!$A$1:$I$89,3,0)*VLOOKUP('Données projet'!$B$13,Paramètres!$A$1:$I$89,5,0)</f>
        <v>14.872854937998687</v>
      </c>
      <c r="CV11" s="13">
        <f t="shared" si="41"/>
        <v>5.0058715967414829</v>
      </c>
      <c r="CW11" s="20">
        <f t="shared" si="13"/>
        <v>34.622115381339128</v>
      </c>
      <c r="CX11" s="59">
        <f t="shared" si="14"/>
        <v>301.0665598257836</v>
      </c>
      <c r="CY11" s="59">
        <f ca="1">AVERAGE(OFFSET($CX$3,0,0,'Données projet'!$E$13+1,1))-AVERAGE(OFFSET($H$3,0,0,'Données projet'!$E$13+1,1))</f>
        <v>187.80389738728508</v>
      </c>
      <c r="CZ11" s="59">
        <f t="shared" si="42"/>
        <v>439.28159165815265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11.5</v>
      </c>
      <c r="DO11" s="12">
        <f>IF('Données projet'!$A$166&gt;35,DO10+DN11-DW10,IF(A11&lt;'Données projet'!$A$166,$DL$205^A11,IF(A11='Données projet'!$A$166,'Données projet'!$B$166,DO10+DN11-DW10)))</f>
        <v>44.520319489276915</v>
      </c>
      <c r="DP11" s="17">
        <f>DO11*VLOOKUP('Données projet'!$B$14,Paramètres!$A$1:$I$89,3,0)*VLOOKUP('Données projet'!$B$14,Paramètres!$A$1:$I$89,5,0)</f>
        <v>32.642298249537831</v>
      </c>
      <c r="DQ11" s="13">
        <f t="shared" si="43"/>
        <v>10.026023463420534</v>
      </c>
      <c r="DR11" s="20">
        <f t="shared" si="16"/>
        <v>74.31399365006915</v>
      </c>
      <c r="DS11" s="59">
        <f t="shared" si="17"/>
        <v>340.75843809451362</v>
      </c>
      <c r="DT11" s="59">
        <f ca="1">AVERAGE(OFFSET($DS$3,0,0,'Données projet'!$E$14+1,1))-AVERAGE(OFFSET($H$3,0,0,'Données projet'!$E$14+1,1))</f>
        <v>239.25212250019609</v>
      </c>
      <c r="DU11" s="59">
        <f t="shared" si="44"/>
        <v>213.58492101729695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7.333333333333333</v>
      </c>
      <c r="EJ11" s="12">
        <f>IF('Données projet'!$A$192&gt;35,EJ10+EI11-ER10,IF(A11&lt;'Données projet'!$A$192,$EG$205^A11,IF(A11='Données projet'!$A$192,'Données projet'!$B$192,EJ10+EI11-ER10)))</f>
        <v>12.26712428625903</v>
      </c>
      <c r="EK11" s="17">
        <f>EJ11*VLOOKUP('Données projet'!$B$15,Paramètres!$A$1:$I$89,3,0)*VLOOKUP('Données projet'!$B$15,Paramètres!$A$1:$I$89,5,0)</f>
        <v>7.3357403231829004</v>
      </c>
      <c r="EL11" s="13">
        <f t="shared" si="45"/>
        <v>2.6807624928913736</v>
      </c>
      <c r="EM11" s="20">
        <f t="shared" si="19"/>
        <v>17.445409071329362</v>
      </c>
      <c r="EN11" s="59">
        <f t="shared" si="20"/>
        <v>283.88985351577384</v>
      </c>
      <c r="EO11" s="59">
        <f ca="1">AVERAGE(OFFSET($EN$3,0,0,'Données projet'!$E$15+1,1))-AVERAGE(OFFSET($H$3,0,0,'Données projet'!$E$15+1,1))</f>
        <v>504.81063008331739</v>
      </c>
      <c r="EP11" s="59">
        <f t="shared" si="46"/>
        <v>441.82647565372287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3.0666666666666669</v>
      </c>
      <c r="FE11" s="12">
        <f>IF('Données projet'!$A$218&gt;35,FE10+FD11-FM10,IF(A11&lt;'Données projet'!$A$218,$FB$205^A11,IF(A11='Données projet'!$A$218,'Données projet'!$B$218,FE10+FD11-FM10)))</f>
        <v>7.7055594753949777</v>
      </c>
      <c r="FF11" s="17">
        <f>FE11*VLOOKUP('Données projet'!$B$16,Paramètres!$A$1:$I$89,3,0)*VLOOKUP('Données projet'!$B$16,Paramètres!$A$1:$I$89,5,0)</f>
        <v>4.4075800199259279</v>
      </c>
      <c r="FG11" s="13">
        <f t="shared" si="47"/>
        <v>1.7090995767170396</v>
      </c>
      <c r="FH11" s="20">
        <f t="shared" si="22"/>
        <v>10.653216964153168</v>
      </c>
      <c r="FI11" s="59">
        <f t="shared" si="23"/>
        <v>277.09766140859762</v>
      </c>
      <c r="FJ11" s="59">
        <f ca="1">AVERAGE(OFFSET($FI$3,0,0,'Données projet'!$E$16+1,1))-AVERAGE(OFFSET($H$3,0,0,'Données projet'!$E$16+1,1))</f>
        <v>393.41577134252316</v>
      </c>
      <c r="FK11" s="59">
        <f t="shared" si="48"/>
        <v>255.54039659391475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5.2</v>
      </c>
      <c r="FZ11" s="12">
        <f>IF('Données projet'!$A$244&gt;35,FZ10+FY11-GH10,IF(A11&lt;'Données projet'!$A$244,$FW$205^A11,IF(A11='Données projet'!$A$244,'Données projet'!$B$244,FZ10+FY11-GH10)))</f>
        <v>10.212148499101115</v>
      </c>
      <c r="GA11" s="17">
        <f>FZ11*VLOOKUP('Données projet'!$B$17,Paramètres!$A$1:$I$89,3,0)*VLOOKUP('Données projet'!$B$17,Paramètres!$A$1:$I$89,5,0)</f>
        <v>4.7792854975793215</v>
      </c>
      <c r="GB11" s="13">
        <f t="shared" si="49"/>
        <v>1.8358499801546853</v>
      </c>
      <c r="GC11" s="20">
        <f t="shared" si="25"/>
        <v>11.521360957053394</v>
      </c>
      <c r="GD11" s="59">
        <f t="shared" si="26"/>
        <v>277.96580540149785</v>
      </c>
      <c r="GE11" s="59">
        <f ca="1">AVERAGE(OFFSET($GD$3,0,0,'Données projet'!$E$17+1,1))-AVERAGE(OFFSET($H$3,0,0,'Données projet'!$E$17+1,1))</f>
        <v>488.67934252295686</v>
      </c>
      <c r="GF11" s="59">
        <f t="shared" si="50"/>
        <v>424.50324471331095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2.8</v>
      </c>
      <c r="GU11" s="12">
        <f>IF('Données projet'!$A$270&gt;35,GU10+GT11-HC10,IF(A11&lt;'Données projet'!$A$270,$GR$205^A11,IF(A11='Données projet'!$A$270,'Données projet'!$B$270,GU10+GT11-HC10)))</f>
        <v>7.3406235873163457</v>
      </c>
      <c r="GV11" s="17">
        <f>GU11*VLOOKUP('Données projet'!$B$18,Paramètres!$A$1:$I$89,3,0)*VLOOKUP('Données projet'!$B$18,Paramètres!$A$1:$I$89,5,0)</f>
        <v>3.5308399454991624</v>
      </c>
      <c r="GW11" s="13">
        <f t="shared" si="51"/>
        <v>1.4049377866931161</v>
      </c>
      <c r="GX11" s="20">
        <f t="shared" si="28"/>
        <v>8.5964795502348839</v>
      </c>
      <c r="GY11" s="59">
        <f t="shared" si="29"/>
        <v>275.04092399467936</v>
      </c>
      <c r="GZ11" s="59">
        <f ca="1">AVERAGE(OFFSET($GY$3,0,0,'Données projet'!$E$18+1,1))-AVERAGE(OFFSET($H$3,0,0,'Données projet'!$E$18+1,1))</f>
        <v>458.80976193248841</v>
      </c>
      <c r="HA11" s="59">
        <f t="shared" si="52"/>
        <v>396.07405370178759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279.38615317116773</v>
      </c>
      <c r="S12" s="59">
        <f ca="1">AVERAGE(OFFSET($R$3,0,0,'Données projet'!$E$9+1,1))-AVERAGE(OFFSET($H$3,0,0,'Données projet'!$E$9+1,1))</f>
        <v>364.3481978218424</v>
      </c>
      <c r="T12" s="59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8.526315789473685</v>
      </c>
      <c r="AI12" s="13">
        <f>IF('Données projet'!$A$62&gt;35,AI11+AH12-AQ11,IF(A12&lt;'Données projet'!$A$62,$AF$205^A12,IF(A12='Données projet'!$A$62,'Données projet'!$B$62,AI11+AH12-AQ11)))</f>
        <v>11.133004261541316</v>
      </c>
      <c r="AJ12" s="13">
        <f>AI12*VLOOKUP('Données projet'!$B$10,Paramètres!$A$1:$I$89,3,0)*VLOOKUP('Données projet'!$B$10,Paramètres!$A$1:$I$89,5,0)</f>
        <v>6.2233493822015964</v>
      </c>
      <c r="AK12" s="13">
        <f t="shared" si="35"/>
        <v>2.3182049730052579</v>
      </c>
      <c r="AL12" s="20">
        <f t="shared" si="4"/>
        <v>14.87654050198527</v>
      </c>
      <c r="AM12" s="59">
        <f t="shared" si="5"/>
        <v>282.54320716865197</v>
      </c>
      <c r="AN12" s="59">
        <f ca="1">AVERAGE(OFFSET($AM$3,0,0,'Données projet'!$E$10+1,1))-AVERAGE(OFFSET($H$3,0,0,'Données projet'!$E$10+1,1))</f>
        <v>443.34220761968419</v>
      </c>
      <c r="AO12" s="59">
        <f t="shared" si="36"/>
        <v>546.58234447298014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1.6</v>
      </c>
      <c r="BD12" s="12">
        <f>IF('Données projet'!$A$88&gt;35,BD11+BC12-BL11,IF(A12&lt;'Données projet'!$A$88,$BA$205^A12,IF(A12='Données projet'!$A$88,'Données projet'!$B$88,BD11+BC12-BL11)))</f>
        <v>4.7568284600108823</v>
      </c>
      <c r="BE12" s="13">
        <f>BD12*VLOOKUP('Données projet'!$B$11,Paramètres!$A$1:$I$89,3,0)*VLOOKUP('Données projet'!$B$11,Paramètres!$A$1:$I$89,5,0)</f>
        <v>4.0813588186893375</v>
      </c>
      <c r="BF12" s="13">
        <f t="shared" si="37"/>
        <v>1.5968317780655192</v>
      </c>
      <c r="BG12" s="20">
        <f t="shared" si="7"/>
        <v>9.8895152893480418</v>
      </c>
      <c r="BH12" s="59">
        <f t="shared" si="8"/>
        <v>277.55618195601471</v>
      </c>
      <c r="BI12" s="59">
        <f ca="1">AVERAGE(OFFSET($BH$3,0,0,'Données projet'!$E$11+1,1))-AVERAGE(OFFSET($H$3,0,0,'Données projet'!$E$11+1,1))</f>
        <v>447.15627913956871</v>
      </c>
      <c r="BJ12" s="59">
        <f t="shared" si="38"/>
        <v>256.77417912163997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6.7</v>
      </c>
      <c r="BY12" s="12">
        <f>IF('Données projet'!$A$114&gt;35,BY11+BX12-CG11,IF(A12&lt;'Données projet'!$A$114,$BV$205^A12,IF(A12='Données projet'!$A$114,'Données projet'!$B$114,BY11+BX12-CG11)))</f>
        <v>44.001483860499121</v>
      </c>
      <c r="BZ12" s="13">
        <f>BY12*VLOOKUP('Données projet'!$B$12,Paramètres!$A$1:$I$89,3,0)*VLOOKUP('Données projet'!$B$12,Paramètres!$A$1:$I$89,5,0)</f>
        <v>41.871812041650962</v>
      </c>
      <c r="CA12" s="13">
        <f t="shared" si="39"/>
        <v>12.493442671135341</v>
      </c>
      <c r="CB12" s="20">
        <f t="shared" si="10"/>
        <v>94.686151958102812</v>
      </c>
      <c r="CC12" s="59">
        <f t="shared" si="11"/>
        <v>362.3528186247695</v>
      </c>
      <c r="CD12" s="59">
        <f ca="1">AVERAGE(OFFSET($CC$3,0,0,'Données projet'!$E$12+1,1))-AVERAGE(OFFSET($H$3,0,0,'Données projet'!$E$12+1,1))</f>
        <v>448.94764480536713</v>
      </c>
      <c r="CE12" s="59">
        <f t="shared" si="40"/>
        <v>469.26760321719695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7.5454545454545459</v>
      </c>
      <c r="CT12" s="12">
        <f>IF('Données projet'!$A$140&gt;35,CT11+CS12-DB11,IF(A12&lt;'Données projet'!$A$140,$CQ$205^A12,IF(A12='Données projet'!$A$140,'Données projet'!$B$140,CT11+CS12-DB11)))</f>
        <v>37.166768522450475</v>
      </c>
      <c r="CU12" s="17">
        <f>CT12*VLOOKUP('Données projet'!$B$13,Paramètres!$A$1:$I$89,3,0)*VLOOKUP('Données projet'!$B$13,Paramètres!$A$1:$I$89,5,0)</f>
        <v>22.225727576425388</v>
      </c>
      <c r="CV12" s="13">
        <f t="shared" si="41"/>
        <v>7.1389446510425687</v>
      </c>
      <c r="CW12" s="20">
        <f t="shared" si="13"/>
        <v>51.143470796173354</v>
      </c>
      <c r="CX12" s="59">
        <f t="shared" si="14"/>
        <v>318.81013746284003</v>
      </c>
      <c r="CY12" s="59">
        <f ca="1">AVERAGE(OFFSET($CX$3,0,0,'Données projet'!$E$13+1,1))-AVERAGE(OFFSET($H$3,0,0,'Données projet'!$E$13+1,1))</f>
        <v>187.80389738728508</v>
      </c>
      <c r="CZ12" s="59">
        <f t="shared" si="42"/>
        <v>439.28159165815265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11.5</v>
      </c>
      <c r="DO12" s="12">
        <f>IF('Données projet'!$A$166&gt;35,DO11+DN12-DW11,IF(A12&lt;'Données projet'!$A$166,$DL$205^A12,IF(A12='Données projet'!$A$166,'Données projet'!$B$166,DO11+DN12-DW11)))</f>
        <v>71.553034465820133</v>
      </c>
      <c r="DP12" s="17">
        <f>DO12*VLOOKUP('Données projet'!$B$14,Paramètres!$A$1:$I$89,3,0)*VLOOKUP('Données projet'!$B$14,Paramètres!$A$1:$I$89,5,0)</f>
        <v>52.462684870339316</v>
      </c>
      <c r="DQ12" s="13">
        <f t="shared" si="43"/>
        <v>15.247968208658939</v>
      </c>
      <c r="DR12" s="20">
        <f t="shared" si="16"/>
        <v>117.92938744592196</v>
      </c>
      <c r="DS12" s="59">
        <f t="shared" si="17"/>
        <v>385.59605411258866</v>
      </c>
      <c r="DT12" s="59">
        <f ca="1">AVERAGE(OFFSET($DS$3,0,0,'Données projet'!$E$14+1,1))-AVERAGE(OFFSET($H$3,0,0,'Données projet'!$E$14+1,1))</f>
        <v>239.25212250019609</v>
      </c>
      <c r="DU12" s="59">
        <f t="shared" si="44"/>
        <v>213.58492101729695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7.333333333333333</v>
      </c>
      <c r="EJ12" s="12">
        <f>IF('Données projet'!$A$192&gt;35,EJ11+EI12-ER11,IF(A12&lt;'Données projet'!$A$192,$EG$205^A12,IF(A12='Données projet'!$A$192,'Données projet'!$B$192,EJ11+EI12-ER11)))</f>
        <v>16.781686784137655</v>
      </c>
      <c r="EK12" s="17">
        <f>EJ12*VLOOKUP('Données projet'!$B$15,Paramètres!$A$1:$I$89,3,0)*VLOOKUP('Données projet'!$B$15,Paramètres!$A$1:$I$89,5,0)</f>
        <v>10.035448696914319</v>
      </c>
      <c r="EL12" s="13">
        <f t="shared" si="45"/>
        <v>3.5359814418310247</v>
      </c>
      <c r="EM12" s="20">
        <f t="shared" si="19"/>
        <v>23.636907491648142</v>
      </c>
      <c r="EN12" s="59">
        <f t="shared" si="20"/>
        <v>291.3035741583148</v>
      </c>
      <c r="EO12" s="59">
        <f ca="1">AVERAGE(OFFSET($EN$3,0,0,'Données projet'!$E$15+1,1))-AVERAGE(OFFSET($H$3,0,0,'Données projet'!$E$15+1,1))</f>
        <v>504.81063008331739</v>
      </c>
      <c r="EP12" s="59">
        <f t="shared" si="46"/>
        <v>441.82647565372287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3.0666666666666669</v>
      </c>
      <c r="FE12" s="12">
        <f>IF('Données projet'!$A$218&gt;35,FE11+FD12-FM11,IF(A12&lt;'Données projet'!$A$218,$FB$205^A12,IF(A12='Données projet'!$A$218,'Données projet'!$B$218,FE11+FD12-FM11)))</f>
        <v>9.94614300064665</v>
      </c>
      <c r="FF12" s="17">
        <f>FE12*VLOOKUP('Données projet'!$B$16,Paramètres!$A$1:$I$89,3,0)*VLOOKUP('Données projet'!$B$16,Paramètres!$A$1:$I$89,5,0)</f>
        <v>5.6891937963698842</v>
      </c>
      <c r="FG12" s="13">
        <f t="shared" si="47"/>
        <v>2.1414842663800817</v>
      </c>
      <c r="FH12" s="20">
        <f t="shared" si="22"/>
        <v>13.638430959289522</v>
      </c>
      <c r="FI12" s="59">
        <f t="shared" si="23"/>
        <v>281.30509762595619</v>
      </c>
      <c r="FJ12" s="59">
        <f ca="1">AVERAGE(OFFSET($FI$3,0,0,'Données projet'!$E$16+1,1))-AVERAGE(OFFSET($H$3,0,0,'Données projet'!$E$16+1,1))</f>
        <v>393.41577134252316</v>
      </c>
      <c r="FK12" s="59">
        <f t="shared" si="48"/>
        <v>255.54039659391475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5.2</v>
      </c>
      <c r="FZ12" s="12">
        <f>IF('Données projet'!$A$244&gt;35,FZ11+FY12-GH11,IF(A12&lt;'Données projet'!$A$244,$FW$205^A12,IF(A12='Données projet'!$A$244,'Données projet'!$B$244,FZ11+FY12-GH11)))</f>
        <v>13.653901377755385</v>
      </c>
      <c r="GA12" s="17">
        <f>FZ12*VLOOKUP('Données projet'!$B$17,Paramètres!$A$1:$I$89,3,0)*VLOOKUP('Données projet'!$B$17,Paramètres!$A$1:$I$89,5,0)</f>
        <v>6.3900258447895206</v>
      </c>
      <c r="GB12" s="13">
        <f t="shared" si="49"/>
        <v>2.3729805316754398</v>
      </c>
      <c r="GC12" s="20">
        <f t="shared" si="25"/>
        <v>15.262236105676472</v>
      </c>
      <c r="GD12" s="59">
        <f t="shared" si="26"/>
        <v>282.92890277234318</v>
      </c>
      <c r="GE12" s="59">
        <f ca="1">AVERAGE(OFFSET($GD$3,0,0,'Données projet'!$E$17+1,1))-AVERAGE(OFFSET($H$3,0,0,'Données projet'!$E$17+1,1))</f>
        <v>488.67934252295686</v>
      </c>
      <c r="GF12" s="59">
        <f t="shared" si="50"/>
        <v>424.50324471331095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2.8</v>
      </c>
      <c r="GU12" s="12">
        <f>IF('Données projet'!$A$270&gt;35,GU11+GT12-HC11,IF(A12&lt;'Données projet'!$A$270,$GR$205^A12,IF(A12='Données projet'!$A$270,'Données projet'!$B$270,GU11+GT12-HC11)))</f>
        <v>9.4178024044149247</v>
      </c>
      <c r="GV12" s="17">
        <f>GU12*VLOOKUP('Données projet'!$B$18,Paramètres!$A$1:$I$89,3,0)*VLOOKUP('Données projet'!$B$18,Paramètres!$A$1:$I$89,5,0)</f>
        <v>4.5299629565235788</v>
      </c>
      <c r="GW12" s="13">
        <f t="shared" si="51"/>
        <v>1.7509643270341699</v>
      </c>
      <c r="GX12" s="20">
        <f t="shared" si="28"/>
        <v>10.939281685529744</v>
      </c>
      <c r="GY12" s="59">
        <f t="shared" si="29"/>
        <v>278.60594835219644</v>
      </c>
      <c r="GZ12" s="59">
        <f ca="1">AVERAGE(OFFSET($GY$3,0,0,'Données projet'!$E$18+1,1))-AVERAGE(OFFSET($H$3,0,0,'Données projet'!$E$18+1,1))</f>
        <v>458.80976193248841</v>
      </c>
      <c r="HA12" s="59">
        <f t="shared" si="52"/>
        <v>396.07405370178759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282.93233218914207</v>
      </c>
      <c r="S13" s="59">
        <f ca="1">AVERAGE(OFFSET($R$3,0,0,'Données projet'!$E$9+1,1))-AVERAGE(OFFSET($H$3,0,0,'Données projet'!$E$9+1,1))</f>
        <v>364.3481978218424</v>
      </c>
      <c r="T13" s="59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8.526315789473685</v>
      </c>
      <c r="AI13" s="13">
        <f>IF('Données projet'!$A$62&gt;35,AI12+AH13-AQ12,IF(A13&lt;'Données projet'!$A$62,$AF$205^A13,IF(A13='Données projet'!$A$62,'Données projet'!$B$62,AI12+AH13-AQ12)))</f>
        <v>14.551328302246779</v>
      </c>
      <c r="AJ13" s="13">
        <f>AI13*VLOOKUP('Données projet'!$B$10,Paramètres!$A$1:$I$89,3,0)*VLOOKUP('Données projet'!$B$10,Paramètres!$A$1:$I$89,5,0)</f>
        <v>8.1341925209559491</v>
      </c>
      <c r="AK13" s="13">
        <f t="shared" si="35"/>
        <v>2.9370132807503975</v>
      </c>
      <c r="AL13" s="20">
        <f t="shared" si="4"/>
        <v>19.282350104638549</v>
      </c>
      <c r="AM13" s="59">
        <f t="shared" si="5"/>
        <v>288.17123899352742</v>
      </c>
      <c r="AN13" s="59">
        <f ca="1">AVERAGE(OFFSET($AM$3,0,0,'Données projet'!$E$10+1,1))-AVERAGE(OFFSET($H$3,0,0,'Données projet'!$E$10+1,1))</f>
        <v>443.34220761968419</v>
      </c>
      <c r="AO13" s="59">
        <f t="shared" si="36"/>
        <v>546.58234447298014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1.6</v>
      </c>
      <c r="BD13" s="12">
        <f>IF('Données projet'!$A$88&gt;35,BD12+BC13-BL12,IF(A13&lt;'Données projet'!$A$88,$BA$205^A13,IF(A13='Données projet'!$A$88,'Données projet'!$B$88,BD12+BC13-BL12)))</f>
        <v>5.656854249492377</v>
      </c>
      <c r="BE13" s="13">
        <f>BD13*VLOOKUP('Données projet'!$B$11,Paramètres!$A$1:$I$89,3,0)*VLOOKUP('Données projet'!$B$11,Paramètres!$A$1:$I$89,5,0)</f>
        <v>4.8535809460644597</v>
      </c>
      <c r="BF13" s="13">
        <f t="shared" si="37"/>
        <v>1.8610442215994896</v>
      </c>
      <c r="BG13" s="20">
        <f t="shared" si="7"/>
        <v>11.694638833681379</v>
      </c>
      <c r="BH13" s="59">
        <f t="shared" si="8"/>
        <v>280.58352772257024</v>
      </c>
      <c r="BI13" s="59">
        <f ca="1">AVERAGE(OFFSET($BH$3,0,0,'Données projet'!$E$11+1,1))-AVERAGE(OFFSET($H$3,0,0,'Données projet'!$E$11+1,1))</f>
        <v>447.15627913956871</v>
      </c>
      <c r="BJ13" s="59">
        <f t="shared" si="38"/>
        <v>256.77417912163997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67</v>
      </c>
      <c r="BW13" s="12">
        <f>VLOOKUP(A13,'Données projet'!$A$113:$I$133,9,0)</f>
        <v>6.7</v>
      </c>
      <c r="BX13" s="12">
        <f t="array" ref="BX13">INDEX(BW:BW,MIN(IF(ISNUMBER(BW13:BW209),ROW(BW13:BW209),"")))</f>
        <v>6.7</v>
      </c>
      <c r="BY13" s="12">
        <f>IF('Données projet'!$A$114&gt;35,BY12+BX13-CG12,IF(A13&lt;'Données projet'!$A$114,$BV$205^A13,IF(A13='Données projet'!$A$114,'Données projet'!$B$114,BY12+BX13-CG12)))</f>
        <v>67</v>
      </c>
      <c r="BZ13" s="13">
        <f>BY13*VLOOKUP('Données projet'!$B$12,Paramètres!$A$1:$I$89,3,0)*VLOOKUP('Données projet'!$B$12,Paramètres!$A$1:$I$89,5,0)</f>
        <v>63.757199999999997</v>
      </c>
      <c r="CA13" s="13">
        <f t="shared" si="39"/>
        <v>18.114823123429215</v>
      </c>
      <c r="CB13" s="20">
        <f t="shared" si="10"/>
        <v>142.59377360663922</v>
      </c>
      <c r="CC13" s="59">
        <f t="shared" si="11"/>
        <v>411.48266249552807</v>
      </c>
      <c r="CD13" s="59">
        <f ca="1">AVERAGE(OFFSET($CC$3,0,0,'Données projet'!$E$12+1,1))-AVERAGE(OFFSET($H$3,0,0,'Données projet'!$E$12+1,1))</f>
        <v>448.94764480536713</v>
      </c>
      <c r="CE13" s="59">
        <f t="shared" si="40"/>
        <v>469.26760321719695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10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7.5454545454545459</v>
      </c>
      <c r="CT13" s="12">
        <f>IF('Données projet'!$A$140&gt;35,CT12+CS13-DB12,IF(A13&lt;'Données projet'!$A$140,$CQ$205^A13,IF(A13='Données projet'!$A$140,'Données projet'!$B$140,CT12+CS13-DB12)))</f>
        <v>55.541352048391744</v>
      </c>
      <c r="CU13" s="17">
        <f>CT13*VLOOKUP('Données projet'!$B$13,Paramètres!$A$1:$I$89,3,0)*VLOOKUP('Données projet'!$B$13,Paramètres!$A$1:$I$89,5,0)</f>
        <v>33.213728524938269</v>
      </c>
      <c r="CV13" s="13">
        <f t="shared" si="41"/>
        <v>10.180950459021789</v>
      </c>
      <c r="CW13" s="20">
        <f t="shared" si="13"/>
        <v>75.579065897063757</v>
      </c>
      <c r="CX13" s="59">
        <f t="shared" si="14"/>
        <v>344.4679547859526</v>
      </c>
      <c r="CY13" s="59">
        <f ca="1">AVERAGE(OFFSET($CX$3,0,0,'Données projet'!$E$13+1,1))-AVERAGE(OFFSET($H$3,0,0,'Données projet'!$E$13+1,1))</f>
        <v>187.80389738728508</v>
      </c>
      <c r="CZ13" s="59">
        <f t="shared" si="42"/>
        <v>439.28159165815265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115</v>
      </c>
      <c r="DM13" s="12">
        <f>VLOOKUP(A13,'Données projet'!$A$165:$I$185,9,0)</f>
        <v>11.5</v>
      </c>
      <c r="DN13" s="12">
        <f t="array" ref="DN13">INDEX(DM:DM,MIN(IF(ISNUMBER(DM13:DM209),ROW(DM13:DM209),"")))</f>
        <v>11.5</v>
      </c>
      <c r="DO13" s="12">
        <f>IF('Données projet'!$A$166&gt;35,DO12+DN13-DW12,IF(A13&lt;'Données projet'!$A$166,$DL$205^A13,IF(A13='Données projet'!$A$166,'Données projet'!$B$166,DO12+DN13-DW12)))</f>
        <v>115</v>
      </c>
      <c r="DP13" s="17">
        <f>DO13*VLOOKUP('Données projet'!$B$14,Paramètres!$A$1:$I$89,3,0)*VLOOKUP('Données projet'!$B$14,Paramètres!$A$1:$I$89,5,0)</f>
        <v>84.317999999999998</v>
      </c>
      <c r="DQ13" s="13">
        <f t="shared" si="43"/>
        <v>23.189705803157239</v>
      </c>
      <c r="DR13" s="20">
        <f t="shared" si="16"/>
        <v>187.24258760716552</v>
      </c>
      <c r="DS13" s="59">
        <f t="shared" si="17"/>
        <v>456.13147649605435</v>
      </c>
      <c r="DT13" s="59">
        <f ca="1">AVERAGE(OFFSET($DS$3,0,0,'Données projet'!$E$14+1,1))-AVERAGE(OFFSET($H$3,0,0,'Données projet'!$E$14+1,1))</f>
        <v>239.25212250019609</v>
      </c>
      <c r="DU13" s="59">
        <f t="shared" si="44"/>
        <v>213.58492101729695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7.333333333333333</v>
      </c>
      <c r="EJ13" s="12">
        <f>IF('Données projet'!$A$192&gt;35,EJ12+EI13-ER12,IF(A13&lt;'Données projet'!$A$192,$EG$205^A13,IF(A13='Données projet'!$A$192,'Données projet'!$B$192,EJ12+EI13-ER12)))</f>
        <v>22.95770424665556</v>
      </c>
      <c r="EK13" s="17">
        <f>EJ13*VLOOKUP('Données projet'!$B$15,Paramètres!$A$1:$I$89,3,0)*VLOOKUP('Données projet'!$B$15,Paramètres!$A$1:$I$89,5,0)</f>
        <v>13.728707139500026</v>
      </c>
      <c r="EL13" s="13">
        <f t="shared" si="45"/>
        <v>4.6640330093129414</v>
      </c>
      <c r="EM13" s="20">
        <f t="shared" si="19"/>
        <v>32.034022425849251</v>
      </c>
      <c r="EN13" s="59">
        <f t="shared" si="20"/>
        <v>300.92291131473809</v>
      </c>
      <c r="EO13" s="59">
        <f ca="1">AVERAGE(OFFSET($EN$3,0,0,'Données projet'!$E$15+1,1))-AVERAGE(OFFSET($H$3,0,0,'Données projet'!$E$15+1,1))</f>
        <v>504.81063008331739</v>
      </c>
      <c r="EP13" s="59">
        <f t="shared" si="46"/>
        <v>441.82647565372287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3.0666666666666669</v>
      </c>
      <c r="FE13" s="12">
        <f>IF('Données projet'!$A$218&gt;35,FE12+FD13-FM12,IF(A13&lt;'Données projet'!$A$218,$FB$205^A13,IF(A13='Données projet'!$A$218,'Données projet'!$B$218,FE12+FD13-FM12)))</f>
        <v>12.838232045991901</v>
      </c>
      <c r="FF13" s="17">
        <f>FE13*VLOOKUP('Données projet'!$B$16,Paramètres!$A$1:$I$89,3,0)*VLOOKUP('Données projet'!$B$16,Paramètres!$A$1:$I$89,5,0)</f>
        <v>7.343468730307368</v>
      </c>
      <c r="FG13" s="13">
        <f t="shared" si="47"/>
        <v>2.6832578543857961</v>
      </c>
      <c r="FH13" s="20">
        <f t="shared" si="22"/>
        <v>17.463215468340593</v>
      </c>
      <c r="FI13" s="59">
        <f t="shared" si="23"/>
        <v>286.35210435722945</v>
      </c>
      <c r="FJ13" s="59">
        <f ca="1">AVERAGE(OFFSET($FI$3,0,0,'Données projet'!$E$16+1,1))-AVERAGE(OFFSET($H$3,0,0,'Données projet'!$E$16+1,1))</f>
        <v>393.41577134252316</v>
      </c>
      <c r="FK13" s="59">
        <f t="shared" si="48"/>
        <v>255.54039659391475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5.2</v>
      </c>
      <c r="FZ13" s="12">
        <f>IF('Données projet'!$A$244&gt;35,FZ12+FY13-GH12,IF(A13&lt;'Données projet'!$A$244,$FW$205^A13,IF(A13='Données projet'!$A$244,'Données projet'!$B$244,FZ12+FY13-GH12)))</f>
        <v>18.255612210288572</v>
      </c>
      <c r="GA13" s="17">
        <f>FZ13*VLOOKUP('Données projet'!$B$17,Paramètres!$A$1:$I$89,3,0)*VLOOKUP('Données projet'!$B$17,Paramètres!$A$1:$I$89,5,0)</f>
        <v>8.5436265144150525</v>
      </c>
      <c r="GB13" s="13">
        <f t="shared" si="49"/>
        <v>3.0672640273341907</v>
      </c>
      <c r="GC13" s="20">
        <f t="shared" si="25"/>
        <v>20.222301026879929</v>
      </c>
      <c r="GD13" s="59">
        <f t="shared" si="26"/>
        <v>289.11118991576876</v>
      </c>
      <c r="GE13" s="59">
        <f ca="1">AVERAGE(OFFSET($GD$3,0,0,'Données projet'!$E$17+1,1))-AVERAGE(OFFSET($H$3,0,0,'Données projet'!$E$17+1,1))</f>
        <v>488.67934252295686</v>
      </c>
      <c r="GF13" s="59">
        <f t="shared" si="50"/>
        <v>424.50324471331095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2.8</v>
      </c>
      <c r="GU13" s="12">
        <f>IF('Données projet'!$A$270&gt;35,GU12+GT13-HC12,IF(A13&lt;'Données projet'!$A$270,$GR$205^A13,IF(A13='Données projet'!$A$270,'Données projet'!$B$270,GU12+GT13-HC12)))</f>
        <v>12.08276123596054</v>
      </c>
      <c r="GV13" s="17">
        <f>GU13*VLOOKUP('Données projet'!$B$18,Paramètres!$A$1:$I$89,3,0)*VLOOKUP('Données projet'!$B$18,Paramètres!$A$1:$I$89,5,0)</f>
        <v>5.8118081544970197</v>
      </c>
      <c r="GW13" s="13">
        <f t="shared" si="51"/>
        <v>2.1822148308520863</v>
      </c>
      <c r="GX13" s="20">
        <f t="shared" si="28"/>
        <v>13.922923366149695</v>
      </c>
      <c r="GY13" s="59">
        <f t="shared" si="29"/>
        <v>282.81181225503855</v>
      </c>
      <c r="GZ13" s="59">
        <f ca="1">AVERAGE(OFFSET($GY$3,0,0,'Données projet'!$E$18+1,1))-AVERAGE(OFFSET($H$3,0,0,'Données projet'!$E$18+1,1))</f>
        <v>458.80976193248841</v>
      </c>
      <c r="HA13" s="59">
        <f t="shared" si="52"/>
        <v>396.07405370178759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286.94092810276993</v>
      </c>
      <c r="S14" s="59">
        <f ca="1">AVERAGE(OFFSET($R$3,0,0,'Données projet'!$E$9+1,1))-AVERAGE(OFFSET($H$3,0,0,'Données projet'!$E$9+1,1))</f>
        <v>364.3481978218424</v>
      </c>
      <c r="T14" s="59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8.526315789473685</v>
      </c>
      <c r="AI14" s="13">
        <f>IF('Données projet'!$A$62&gt;35,AI13+AH14-AQ13,IF(A14&lt;'Données projet'!$A$62,$AF$205^A14,IF(A14='Données projet'!$A$62,'Données projet'!$B$62,AI13+AH14-AQ13)))</f>
        <v>19.01922880701866</v>
      </c>
      <c r="AJ14" s="13">
        <f>AI14*VLOOKUP('Données projet'!$B$10,Paramètres!$A$1:$I$89,3,0)*VLOOKUP('Données projet'!$B$10,Paramètres!$A$1:$I$89,5,0)</f>
        <v>10.631748903123432</v>
      </c>
      <c r="AK14" s="13">
        <f t="shared" si="35"/>
        <v>3.7210027205323613</v>
      </c>
      <c r="AL14" s="20">
        <f t="shared" si="4"/>
        <v>24.997709077867171</v>
      </c>
      <c r="AM14" s="59">
        <f t="shared" si="5"/>
        <v>295.10882018897831</v>
      </c>
      <c r="AN14" s="59">
        <f ca="1">AVERAGE(OFFSET($AM$3,0,0,'Données projet'!$E$10+1,1))-AVERAGE(OFFSET($H$3,0,0,'Données projet'!$E$10+1,1))</f>
        <v>443.34220761968419</v>
      </c>
      <c r="AO14" s="59">
        <f t="shared" si="36"/>
        <v>546.58234447298014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1.6</v>
      </c>
      <c r="BD14" s="12">
        <f>IF('Données projet'!$A$88&gt;35,BD13+BC14-BL13,IF(A14&lt;'Données projet'!$A$88,$BA$205^A14,IF(A14='Données projet'!$A$88,'Données projet'!$B$88,BD13+BC14-BL13)))</f>
        <v>6.7271713220297125</v>
      </c>
      <c r="BE14" s="13">
        <f>BD14*VLOOKUP('Données projet'!$B$11,Paramètres!$A$1:$I$89,3,0)*VLOOKUP('Données projet'!$B$11,Paramètres!$A$1:$I$89,5,0)</f>
        <v>5.771912994301494</v>
      </c>
      <c r="BF14" s="13">
        <f t="shared" si="37"/>
        <v>2.1689733648366443</v>
      </c>
      <c r="BG14" s="20">
        <f t="shared" si="7"/>
        <v>13.830377075498925</v>
      </c>
      <c r="BH14" s="59">
        <f t="shared" si="8"/>
        <v>283.94148818661006</v>
      </c>
      <c r="BI14" s="59">
        <f ca="1">AVERAGE(OFFSET($BH$3,0,0,'Données projet'!$E$11+1,1))-AVERAGE(OFFSET($H$3,0,0,'Données projet'!$E$11+1,1))</f>
        <v>447.15627913956871</v>
      </c>
      <c r="BJ14" s="59">
        <f t="shared" si="38"/>
        <v>256.77417912163997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12.2</v>
      </c>
      <c r="BY14" s="12">
        <f>IF('Données projet'!$A$114&gt;35,BY13+BX14-CG13,IF(A14&lt;'Données projet'!$A$114,$BV$205^A14,IF(A14='Données projet'!$A$114,'Données projet'!$B$114,BY13+BX14-CG13)))</f>
        <v>69.2</v>
      </c>
      <c r="BZ14" s="13">
        <f>BY14*VLOOKUP('Données projet'!$B$12,Paramètres!$A$1:$I$89,3,0)*VLOOKUP('Données projet'!$B$12,Paramètres!$A$1:$I$89,5,0)</f>
        <v>65.85072000000001</v>
      </c>
      <c r="CA14" s="13">
        <f t="shared" si="39"/>
        <v>18.639409394765782</v>
      </c>
      <c r="CB14" s="20">
        <f t="shared" si="10"/>
        <v>147.15364202921708</v>
      </c>
      <c r="CC14" s="59">
        <f t="shared" si="11"/>
        <v>417.26475314032825</v>
      </c>
      <c r="CD14" s="59">
        <f ca="1">AVERAGE(OFFSET($CC$3,0,0,'Données projet'!$E$12+1,1))-AVERAGE(OFFSET($H$3,0,0,'Données projet'!$E$12+1,1))</f>
        <v>448.94764480536713</v>
      </c>
      <c r="CE14" s="59">
        <f t="shared" si="40"/>
        <v>469.26760321719695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>
        <f>VLOOKUP(A14,'Données projet'!$A$139:$I$159,2,0)</f>
        <v>83</v>
      </c>
      <c r="CR14" s="12">
        <f>VLOOKUP(A14,'Données projet'!$A$139:$I$159,9,0)</f>
        <v>7.5454545454545459</v>
      </c>
      <c r="CS14" s="12">
        <f t="array" ref="CS14">INDEX(CR:CR,MIN(IF(ISNUMBER(CR14:CR210),ROW(CR14:CR210),"")))</f>
        <v>7.5454545454545459</v>
      </c>
      <c r="CT14" s="12">
        <f>IF('Données projet'!$A$140&gt;35,CT13+CS14-DB13,IF(A14&lt;'Données projet'!$A$140,$CQ$205^A14,IF(A14='Données projet'!$A$140,'Données projet'!$B$140,CT13+CS14-DB13)))</f>
        <v>83</v>
      </c>
      <c r="CU14" s="17">
        <f>CT14*VLOOKUP('Données projet'!$B$13,Paramètres!$A$1:$I$89,3,0)*VLOOKUP('Données projet'!$B$13,Paramètres!$A$1:$I$89,5,0)</f>
        <v>49.634</v>
      </c>
      <c r="CV14" s="13">
        <f t="shared" si="41"/>
        <v>14.519198189037462</v>
      </c>
      <c r="CW14" s="20">
        <f t="shared" si="13"/>
        <v>111.73348684590691</v>
      </c>
      <c r="CX14" s="59">
        <f t="shared" si="14"/>
        <v>381.84459795701804</v>
      </c>
      <c r="CY14" s="59">
        <f ca="1">AVERAGE(OFFSET($CX$3,0,0,'Données projet'!$E$13+1,1))-AVERAGE(OFFSET($H$3,0,0,'Données projet'!$E$13+1,1))</f>
        <v>187.80389738728508</v>
      </c>
      <c r="CZ14" s="59">
        <f t="shared" si="42"/>
        <v>439.28159165815265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13.8</v>
      </c>
      <c r="DO14" s="12">
        <f>IF('Données projet'!$A$166&gt;35,DO13+DN14-DW13,IF(A14&lt;'Données projet'!$A$166,$DL$205^A14,IF(A14='Données projet'!$A$166,'Données projet'!$B$166,DO13+DN14-DW13)))</f>
        <v>128.80000000000001</v>
      </c>
      <c r="DP14" s="17">
        <f>DO14*VLOOKUP('Données projet'!$B$14,Paramètres!$A$1:$I$89,3,0)*VLOOKUP('Données projet'!$B$14,Paramètres!$A$1:$I$89,5,0)</f>
        <v>94.436160000000001</v>
      </c>
      <c r="DQ14" s="13">
        <f t="shared" si="43"/>
        <v>25.632105611020013</v>
      </c>
      <c r="DR14" s="20">
        <f t="shared" si="16"/>
        <v>209.11889593919318</v>
      </c>
      <c r="DS14" s="59">
        <f t="shared" si="17"/>
        <v>479.23000705030432</v>
      </c>
      <c r="DT14" s="59">
        <f ca="1">AVERAGE(OFFSET($DS$3,0,0,'Données projet'!$E$14+1,1))-AVERAGE(OFFSET($H$3,0,0,'Données projet'!$E$14+1,1))</f>
        <v>239.25212250019609</v>
      </c>
      <c r="DU14" s="59">
        <f t="shared" si="44"/>
        <v>213.58492101729695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7.333333333333333</v>
      </c>
      <c r="EJ14" s="12">
        <f>IF('Données projet'!$A$192&gt;35,EJ13+EI14-ER13,IF(A14&lt;'Données projet'!$A$192,$EG$205^A14,IF(A14='Données projet'!$A$192,'Données projet'!$B$192,EJ13+EI14-ER13)))</f>
        <v>31.406627418114457</v>
      </c>
      <c r="EK14" s="17">
        <f>EJ14*VLOOKUP('Données projet'!$B$15,Paramètres!$A$1:$I$89,3,0)*VLOOKUP('Données projet'!$B$15,Paramètres!$A$1:$I$89,5,0)</f>
        <v>18.781163196032448</v>
      </c>
      <c r="EL14" s="13">
        <f t="shared" si="45"/>
        <v>6.1519564708734276</v>
      </c>
      <c r="EM14" s="20">
        <f t="shared" si="19"/>
        <v>43.425183419861064</v>
      </c>
      <c r="EN14" s="59">
        <f t="shared" si="20"/>
        <v>313.53629453097221</v>
      </c>
      <c r="EO14" s="59">
        <f ca="1">AVERAGE(OFFSET($EN$3,0,0,'Données projet'!$E$15+1,1))-AVERAGE(OFFSET($H$3,0,0,'Données projet'!$E$15+1,1))</f>
        <v>504.81063008331739</v>
      </c>
      <c r="EP14" s="59">
        <f t="shared" si="46"/>
        <v>441.82647565372287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3.0666666666666669</v>
      </c>
      <c r="FE14" s="12">
        <f>IF('Données projet'!$A$218&gt;35,FE13+FD14-FM13,IF(A14&lt;'Données projet'!$A$218,$FB$205^A14,IF(A14='Données projet'!$A$218,'Données projet'!$B$218,FE13+FD14-FM13)))</f>
        <v>16.571268084122419</v>
      </c>
      <c r="FF14" s="17">
        <f>FE14*VLOOKUP('Données projet'!$B$16,Paramètres!$A$1:$I$89,3,0)*VLOOKUP('Données projet'!$B$16,Paramètres!$A$1:$I$89,5,0)</f>
        <v>9.478765344118024</v>
      </c>
      <c r="FG14" s="13">
        <f t="shared" si="47"/>
        <v>3.3620946117402837</v>
      </c>
      <c r="FH14" s="20">
        <f t="shared" si="22"/>
        <v>22.364497756453218</v>
      </c>
      <c r="FI14" s="59">
        <f t="shared" si="23"/>
        <v>292.47560886756435</v>
      </c>
      <c r="FJ14" s="59">
        <f ca="1">AVERAGE(OFFSET($FI$3,0,0,'Données projet'!$E$16+1,1))-AVERAGE(OFFSET($H$3,0,0,'Données projet'!$E$16+1,1))</f>
        <v>393.41577134252316</v>
      </c>
      <c r="FK14" s="59">
        <f t="shared" si="48"/>
        <v>255.54039659391475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5.2</v>
      </c>
      <c r="FZ14" s="12">
        <f>IF('Données projet'!$A$244&gt;35,FZ13+FY14-GH13,IF(A14&lt;'Données projet'!$A$244,$FW$205^A14,IF(A14='Données projet'!$A$244,'Données projet'!$B$244,FZ13+FY14-GH13)))</f>
        <v>24.408216227150177</v>
      </c>
      <c r="GA14" s="17">
        <f>FZ14*VLOOKUP('Données projet'!$B$17,Paramètres!$A$1:$I$89,3,0)*VLOOKUP('Données projet'!$B$17,Paramètres!$A$1:$I$89,5,0)</f>
        <v>11.423045194306283</v>
      </c>
      <c r="GB14" s="13">
        <f t="shared" si="49"/>
        <v>3.9646800670276767</v>
      </c>
      <c r="GC14" s="20">
        <f t="shared" si="25"/>
        <v>26.800288163489981</v>
      </c>
      <c r="GD14" s="59">
        <f t="shared" si="26"/>
        <v>296.91139927460114</v>
      </c>
      <c r="GE14" s="59">
        <f ca="1">AVERAGE(OFFSET($GD$3,0,0,'Données projet'!$E$17+1,1))-AVERAGE(OFFSET($H$3,0,0,'Données projet'!$E$17+1,1))</f>
        <v>488.67934252295686</v>
      </c>
      <c r="GF14" s="59">
        <f t="shared" si="50"/>
        <v>424.50324471331095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2.8</v>
      </c>
      <c r="GU14" s="12">
        <f>IF('Données projet'!$A$270&gt;35,GU13+GT14-HC13,IF(A14&lt;'Données projet'!$A$270,$GR$205^A14,IF(A14='Données projet'!$A$270,'Données projet'!$B$270,GU13+GT14-HC13)))</f>
        <v>15.501824397673841</v>
      </c>
      <c r="GV14" s="17">
        <f>GU14*VLOOKUP('Données projet'!$B$18,Paramètres!$A$1:$I$89,3,0)*VLOOKUP('Données projet'!$B$18,Paramètres!$A$1:$I$89,5,0)</f>
        <v>7.4563775352811179</v>
      </c>
      <c r="GW14" s="13">
        <f t="shared" si="51"/>
        <v>2.7196793757968254</v>
      </c>
      <c r="GX14" s="20">
        <f t="shared" si="28"/>
        <v>17.723299120127415</v>
      </c>
      <c r="GY14" s="59">
        <f t="shared" si="29"/>
        <v>287.83441023123856</v>
      </c>
      <c r="GZ14" s="59">
        <f ca="1">AVERAGE(OFFSET($GY$3,0,0,'Données projet'!$E$18+1,1))-AVERAGE(OFFSET($H$3,0,0,'Données projet'!$E$18+1,1))</f>
        <v>458.80976193248841</v>
      </c>
      <c r="HA14" s="59">
        <f t="shared" si="52"/>
        <v>396.07405370178759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291.50424573777804</v>
      </c>
      <c r="S15" s="59">
        <f ca="1">AVERAGE(OFFSET($R$3,0,0,'Données projet'!$E$9+1,1))-AVERAGE(OFFSET($H$3,0,0,'Données projet'!$E$9+1,1))</f>
        <v>364.3481978218424</v>
      </c>
      <c r="T15" s="59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8.526315789473685</v>
      </c>
      <c r="AI15" s="13">
        <f>IF('Données projet'!$A$62&gt;35,AI14+AH15-AQ14,IF(A15&lt;'Données projet'!$A$62,$AF$205^A15,IF(A15='Données projet'!$A$62,'Données projet'!$B$62,AI14+AH15-AQ14)))</f>
        <v>24.85897210895007</v>
      </c>
      <c r="AJ15" s="13">
        <f>AI15*VLOOKUP('Données projet'!$B$10,Paramètres!$A$1:$I$89,3,0)*VLOOKUP('Données projet'!$B$10,Paramètres!$A$1:$I$89,5,0)</f>
        <v>13.896165408903089</v>
      </c>
      <c r="AK15" s="13">
        <f t="shared" si="35"/>
        <v>4.7142657940830492</v>
      </c>
      <c r="AL15" s="20">
        <f t="shared" si="4"/>
        <v>32.413167678534187</v>
      </c>
      <c r="AM15" s="59">
        <f t="shared" si="5"/>
        <v>303.74650101186751</v>
      </c>
      <c r="AN15" s="59">
        <f ca="1">AVERAGE(OFFSET($AM$3,0,0,'Données projet'!$E$10+1,1))-AVERAGE(OFFSET($H$3,0,0,'Données projet'!$E$10+1,1))</f>
        <v>443.34220761968419</v>
      </c>
      <c r="AO15" s="59">
        <f t="shared" si="36"/>
        <v>546.58234447298014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1.6</v>
      </c>
      <c r="BD15" s="12">
        <f>IF('Données projet'!$A$88&gt;35,BD14+BC15-BL14,IF(A15&lt;'Données projet'!$A$88,$BA$205^A15,IF(A15='Données projet'!$A$88,'Données projet'!$B$88,BD14+BC15-BL14)))</f>
        <v>7.9999999999999947</v>
      </c>
      <c r="BE15" s="13">
        <f>BD15*VLOOKUP('Données projet'!$B$11,Paramètres!$A$1:$I$89,3,0)*VLOOKUP('Données projet'!$B$11,Paramètres!$A$1:$I$89,5,0)</f>
        <v>6.8639999999999963</v>
      </c>
      <c r="BF15" s="13">
        <f t="shared" si="37"/>
        <v>2.5278525909113112</v>
      </c>
      <c r="BG15" s="20">
        <f t="shared" si="7"/>
        <v>16.357476595837191</v>
      </c>
      <c r="BH15" s="59">
        <f t="shared" si="8"/>
        <v>287.69080992917048</v>
      </c>
      <c r="BI15" s="59">
        <f ca="1">AVERAGE(OFFSET($BH$3,0,0,'Données projet'!$E$11+1,1))-AVERAGE(OFFSET($H$3,0,0,'Données projet'!$E$11+1,1))</f>
        <v>447.15627913956871</v>
      </c>
      <c r="BJ15" s="59">
        <f t="shared" si="38"/>
        <v>256.77417912163997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12.2</v>
      </c>
      <c r="BY15" s="12">
        <f>IF('Données projet'!$A$114&gt;35,BY14+BX15-CG14,IF(A15&lt;'Données projet'!$A$114,$BV$205^A15,IF(A15='Données projet'!$A$114,'Données projet'!$B$114,BY14+BX15-CG14)))</f>
        <v>81.400000000000006</v>
      </c>
      <c r="BZ15" s="13">
        <f>BY15*VLOOKUP('Données projet'!$B$12,Paramètres!$A$1:$I$89,3,0)*VLOOKUP('Données projet'!$B$12,Paramètres!$A$1:$I$89,5,0)</f>
        <v>77.460240000000013</v>
      </c>
      <c r="CA15" s="13">
        <f t="shared" si="39"/>
        <v>21.515038439826668</v>
      </c>
      <c r="CB15" s="20">
        <f t="shared" si="10"/>
        <v>172.3819432826981</v>
      </c>
      <c r="CC15" s="59">
        <f t="shared" si="11"/>
        <v>443.71527661603142</v>
      </c>
      <c r="CD15" s="59">
        <f ca="1">AVERAGE(OFFSET($CC$3,0,0,'Données projet'!$E$12+1,1))-AVERAGE(OFFSET($H$3,0,0,'Données projet'!$E$12+1,1))</f>
        <v>448.94764480536713</v>
      </c>
      <c r="CE15" s="59">
        <f t="shared" si="40"/>
        <v>469.26760321719695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>
        <f>VLOOKUP(A15,'Données projet'!$A$139:$I$159,2,0)</f>
        <v>106</v>
      </c>
      <c r="CR15" s="12">
        <f>VLOOKUP(A15,'Données projet'!$A$139:$I$159,9,0)</f>
        <v>23</v>
      </c>
      <c r="CS15" s="12">
        <f t="array" ref="CS15">INDEX(CR:CR,MIN(IF(ISNUMBER(CR15:CR211),ROW(CR15:CR211),"")))</f>
        <v>23</v>
      </c>
      <c r="CT15" s="12">
        <f>IF('Données projet'!$A$140&gt;35,CT14+CS15-DB14,IF(A15&lt;'Données projet'!$A$140,$CQ$205^A15,IF(A15='Données projet'!$A$140,'Données projet'!$B$140,CT14+CS15-DB14)))</f>
        <v>106</v>
      </c>
      <c r="CU15" s="17">
        <f>CT15*VLOOKUP('Données projet'!$B$13,Paramètres!$A$1:$I$89,3,0)*VLOOKUP('Données projet'!$B$13,Paramètres!$A$1:$I$89,5,0)</f>
        <v>63.388000000000012</v>
      </c>
      <c r="CV15" s="13">
        <f t="shared" si="41"/>
        <v>18.022104085041263</v>
      </c>
      <c r="CW15" s="20">
        <f t="shared" si="13"/>
        <v>141.78926461478019</v>
      </c>
      <c r="CX15" s="59">
        <f t="shared" si="14"/>
        <v>413.12259794811348</v>
      </c>
      <c r="CY15" s="59">
        <f ca="1">AVERAGE(OFFSET($CX$3,0,0,'Données projet'!$E$13+1,1))-AVERAGE(OFFSET($H$3,0,0,'Données projet'!$E$13+1,1))</f>
        <v>187.80389738728508</v>
      </c>
      <c r="CZ15" s="59">
        <f t="shared" si="42"/>
        <v>439.28159165815265</v>
      </c>
      <c r="DA15" s="15">
        <f>IF(ISNA(VLOOKUP(A15,'Données projet'!$A$139:$I$159,3,0)),0,VLOOKUP(A15,'Données projet'!$A$139:$I$159,3,0))</f>
        <v>1</v>
      </c>
      <c r="DB15" s="15">
        <f>IF(ISNA(VLOOKUP(A15,'Données projet'!$A$139:$I$159,4,0)),0,VLOOKUP(A15,'Données projet'!$A$139:$I$159,4,0))</f>
        <v>34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1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23.020547073308105</v>
      </c>
      <c r="DI15" s="22">
        <f t="shared" si="15"/>
        <v>23.020547073308105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13.8</v>
      </c>
      <c r="DO15" s="12">
        <f>IF('Données projet'!$A$166&gt;35,DO14+DN15-DW14,IF(A15&lt;'Données projet'!$A$166,$DL$205^A15,IF(A15='Données projet'!$A$166,'Données projet'!$B$166,DO14+DN15-DW14)))</f>
        <v>142.60000000000002</v>
      </c>
      <c r="DP15" s="17">
        <f>DO15*VLOOKUP('Données projet'!$B$14,Paramètres!$A$1:$I$89,3,0)*VLOOKUP('Données projet'!$B$14,Paramètres!$A$1:$I$89,5,0)</f>
        <v>104.55432000000002</v>
      </c>
      <c r="DQ15" s="13">
        <f t="shared" si="43"/>
        <v>28.044173158356262</v>
      </c>
      <c r="DR15" s="20">
        <f t="shared" si="16"/>
        <v>230.94237558413718</v>
      </c>
      <c r="DS15" s="59">
        <f t="shared" si="17"/>
        <v>502.27570891747052</v>
      </c>
      <c r="DT15" s="59">
        <f ca="1">AVERAGE(OFFSET($DS$3,0,0,'Données projet'!$E$14+1,1))-AVERAGE(OFFSET($H$3,0,0,'Données projet'!$E$14+1,1))</f>
        <v>239.25212250019609</v>
      </c>
      <c r="DU15" s="59">
        <f t="shared" si="44"/>
        <v>213.58492101729695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7.333333333333333</v>
      </c>
      <c r="EJ15" s="12">
        <f>IF('Données projet'!$A$192&gt;35,EJ14+EI15-ER14,IF(A15&lt;'Données projet'!$A$192,$EG$205^A15,IF(A15='Données projet'!$A$192,'Données projet'!$B$192,EJ14+EI15-ER14)))</f>
        <v>42.964933914241549</v>
      </c>
      <c r="EK15" s="17">
        <f>EJ15*VLOOKUP('Données projet'!$B$15,Paramètres!$A$1:$I$89,3,0)*VLOOKUP('Données projet'!$B$15,Paramètres!$A$1:$I$89,5,0)</f>
        <v>25.693030480716448</v>
      </c>
      <c r="EL15" s="13">
        <f t="shared" si="45"/>
        <v>8.1145584398633126</v>
      </c>
      <c r="EM15" s="20">
        <f t="shared" si="19"/>
        <v>58.881550703343073</v>
      </c>
      <c r="EN15" s="59">
        <f t="shared" si="20"/>
        <v>330.21488403667638</v>
      </c>
      <c r="EO15" s="59">
        <f ca="1">AVERAGE(OFFSET($EN$3,0,0,'Données projet'!$E$15+1,1))-AVERAGE(OFFSET($H$3,0,0,'Données projet'!$E$15+1,1))</f>
        <v>504.81063008331739</v>
      </c>
      <c r="EP15" s="59">
        <f t="shared" si="46"/>
        <v>441.82647565372287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3.0666666666666669</v>
      </c>
      <c r="FE15" s="12">
        <f>IF('Données projet'!$A$218&gt;35,FE14+FD15-FM14,IF(A15&lt;'Données projet'!$A$218,$FB$205^A15,IF(A15='Données projet'!$A$218,'Données projet'!$B$218,FE14+FD15-FM14)))</f>
        <v>21.389777418892084</v>
      </c>
      <c r="FF15" s="17">
        <f>FE15*VLOOKUP('Données projet'!$B$16,Paramètres!$A$1:$I$89,3,0)*VLOOKUP('Données projet'!$B$16,Paramètres!$A$1:$I$89,5,0)</f>
        <v>12.234952683606272</v>
      </c>
      <c r="FG15" s="13">
        <f t="shared" si="47"/>
        <v>4.2126701165961888</v>
      </c>
      <c r="FH15" s="20">
        <f t="shared" si="22"/>
        <v>28.64627637701928</v>
      </c>
      <c r="FI15" s="59">
        <f t="shared" si="23"/>
        <v>299.97960971035258</v>
      </c>
      <c r="FJ15" s="59">
        <f ca="1">AVERAGE(OFFSET($FI$3,0,0,'Données projet'!$E$16+1,1))-AVERAGE(OFFSET($H$3,0,0,'Données projet'!$E$16+1,1))</f>
        <v>393.41577134252316</v>
      </c>
      <c r="FK15" s="59">
        <f t="shared" si="48"/>
        <v>255.54039659391475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5.2</v>
      </c>
      <c r="FZ15" s="12">
        <f>IF('Données projet'!$A$244&gt;35,FZ14+FY15-GH14,IF(A15&lt;'Données projet'!$A$244,$FW$205^A15,IF(A15='Données projet'!$A$244,'Données projet'!$B$244,FZ14+FY15-GH14)))</f>
        <v>32.634403739993772</v>
      </c>
      <c r="GA15" s="17">
        <f>FZ15*VLOOKUP('Données projet'!$B$17,Paramètres!$A$1:$I$89,3,0)*VLOOKUP('Données projet'!$B$17,Paramètres!$A$1:$I$89,5,0)</f>
        <v>15.272900950317085</v>
      </c>
      <c r="GB15" s="13">
        <f t="shared" si="49"/>
        <v>5.1246609009880242</v>
      </c>
      <c r="GC15" s="20">
        <f t="shared" si="25"/>
        <v>35.525753557689733</v>
      </c>
      <c r="GD15" s="59">
        <f t="shared" si="26"/>
        <v>306.85908689102303</v>
      </c>
      <c r="GE15" s="59">
        <f ca="1">AVERAGE(OFFSET($GD$3,0,0,'Données projet'!$E$17+1,1))-AVERAGE(OFFSET($H$3,0,0,'Données projet'!$E$17+1,1))</f>
        <v>488.67934252295686</v>
      </c>
      <c r="GF15" s="59">
        <f t="shared" si="50"/>
        <v>424.50324471331095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2.8</v>
      </c>
      <c r="GU15" s="12">
        <f>IF('Données projet'!$A$270&gt;35,GU14+GT15-HC14,IF(A15&lt;'Données projet'!$A$270,$GR$205^A15,IF(A15='Données projet'!$A$270,'Données projet'!$B$270,GU14+GT15-HC14)))</f>
        <v>19.888381054913101</v>
      </c>
      <c r="GV15" s="17">
        <f>GU15*VLOOKUP('Données projet'!$B$18,Paramètres!$A$1:$I$89,3,0)*VLOOKUP('Données projet'!$B$18,Paramètres!$A$1:$I$89,5,0)</f>
        <v>9.5663112874132015</v>
      </c>
      <c r="GW15" s="13">
        <f t="shared" si="51"/>
        <v>3.389517751671796</v>
      </c>
      <c r="GX15" s="20">
        <f t="shared" si="28"/>
        <v>22.564735576406374</v>
      </c>
      <c r="GY15" s="59">
        <f t="shared" si="29"/>
        <v>293.89806890973966</v>
      </c>
      <c r="GZ15" s="59">
        <f ca="1">AVERAGE(OFFSET($GY$3,0,0,'Données projet'!$E$18+1,1))-AVERAGE(OFFSET($H$3,0,0,'Données projet'!$E$18+1,1))</f>
        <v>458.80976193248841</v>
      </c>
      <c r="HA15" s="59">
        <f t="shared" si="52"/>
        <v>396.07405370178759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296.73306974060051</v>
      </c>
      <c r="S16" s="59">
        <f ca="1">AVERAGE(OFFSET($R$3,0,0,'Données projet'!$E$9+1,1))-AVERAGE(OFFSET($H$3,0,0,'Données projet'!$E$9+1,1))</f>
        <v>364.3481978218424</v>
      </c>
      <c r="T16" s="59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8.526315789473685</v>
      </c>
      <c r="AI16" s="13">
        <f>IF('Données projet'!$A$62&gt;35,AI15+AH16-AQ15,IF(A16&lt;'Données projet'!$A$62,$AF$205^A16,IF(A16='Données projet'!$A$62,'Données projet'!$B$62,AI15+AH16-AQ15)))</f>
        <v>32.491774539539094</v>
      </c>
      <c r="AJ16" s="13">
        <f>AI16*VLOOKUP('Données projet'!$B$10,Paramètres!$A$1:$I$89,3,0)*VLOOKUP('Données projet'!$B$10,Paramètres!$A$1:$I$89,5,0)</f>
        <v>18.162901967602355</v>
      </c>
      <c r="AK16" s="13">
        <f t="shared" si="35"/>
        <v>5.9726648020514927</v>
      </c>
      <c r="AL16" s="20">
        <f t="shared" si="4"/>
        <v>42.036112123813787</v>
      </c>
      <c r="AM16" s="59">
        <f t="shared" si="5"/>
        <v>314.59166767936932</v>
      </c>
      <c r="AN16" s="59">
        <f ca="1">AVERAGE(OFFSET($AM$3,0,0,'Données projet'!$E$10+1,1))-AVERAGE(OFFSET($H$3,0,0,'Données projet'!$E$10+1,1))</f>
        <v>443.34220761968419</v>
      </c>
      <c r="AO16" s="59">
        <f t="shared" si="36"/>
        <v>546.58234447298014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1.6</v>
      </c>
      <c r="BD16" s="12">
        <f>IF('Données projet'!$A$88&gt;35,BD15+BC16-BL15,IF(A16&lt;'Données projet'!$A$88,$BA$205^A16,IF(A16='Données projet'!$A$88,'Données projet'!$B$88,BD15+BC16-BL15)))</f>
        <v>9.5136569200217629</v>
      </c>
      <c r="BE16" s="13">
        <f>BD16*VLOOKUP('Données projet'!$B$11,Paramètres!$A$1:$I$89,3,0)*VLOOKUP('Données projet'!$B$11,Paramètres!$A$1:$I$89,5,0)</f>
        <v>8.1627176373786732</v>
      </c>
      <c r="BF16" s="13">
        <f t="shared" si="37"/>
        <v>2.946112121509751</v>
      </c>
      <c r="BG16" s="20">
        <f t="shared" si="7"/>
        <v>19.347878496730672</v>
      </c>
      <c r="BH16" s="59">
        <f t="shared" si="8"/>
        <v>291.90343405228623</v>
      </c>
      <c r="BI16" s="59">
        <f ca="1">AVERAGE(OFFSET($BH$3,0,0,'Données projet'!$E$11+1,1))-AVERAGE(OFFSET($H$3,0,0,'Données projet'!$E$11+1,1))</f>
        <v>447.15627913956871</v>
      </c>
      <c r="BJ16" s="59">
        <f t="shared" si="38"/>
        <v>256.77417912163997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12.2</v>
      </c>
      <c r="BY16" s="12">
        <f>IF('Données projet'!$A$114&gt;35,BY15+BX16-CG15,IF(A16&lt;'Données projet'!$A$114,$BV$205^A16,IF(A16='Données projet'!$A$114,'Données projet'!$B$114,BY15+BX16-CG15)))</f>
        <v>93.600000000000009</v>
      </c>
      <c r="BZ16" s="13">
        <f>BY16*VLOOKUP('Données projet'!$B$12,Paramètres!$A$1:$I$89,3,0)*VLOOKUP('Données projet'!$B$12,Paramètres!$A$1:$I$89,5,0)</f>
        <v>89.069760000000002</v>
      </c>
      <c r="CA16" s="13">
        <f t="shared" si="39"/>
        <v>24.340738024274106</v>
      </c>
      <c r="CB16" s="20">
        <f t="shared" si="10"/>
        <v>197.52328405894409</v>
      </c>
      <c r="CC16" s="59">
        <f t="shared" si="11"/>
        <v>470.07883961449966</v>
      </c>
      <c r="CD16" s="59">
        <f ca="1">AVERAGE(OFFSET($CC$3,0,0,'Données projet'!$E$12+1,1))-AVERAGE(OFFSET($H$3,0,0,'Données projet'!$E$12+1,1))</f>
        <v>448.94764480536713</v>
      </c>
      <c r="CE16" s="59">
        <f t="shared" si="40"/>
        <v>469.26760321719695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>
        <f>VLOOKUP(A16,'Données projet'!$A$139:$I$159,2,0)</f>
        <v>89</v>
      </c>
      <c r="CR16" s="12">
        <f>VLOOKUP(A16,'Données projet'!$A$139:$I$159,9,0)</f>
        <v>17</v>
      </c>
      <c r="CS16" s="12">
        <f t="array" ref="CS16">INDEX(CR:CR,MIN(IF(ISNUMBER(CR16:CR212),ROW(CR16:CR212),"")))</f>
        <v>17</v>
      </c>
      <c r="CT16" s="12">
        <f>IF('Données projet'!$A$140&gt;35,CT15+CS16-DB15,IF(A16&lt;'Données projet'!$A$140,$CQ$205^A16,IF(A16='Données projet'!$A$140,'Données projet'!$B$140,CT15+CS16-DB15)))</f>
        <v>89</v>
      </c>
      <c r="CU16" s="17">
        <f>CT16*VLOOKUP('Données projet'!$B$13,Paramètres!$A$1:$I$89,3,0)*VLOOKUP('Données projet'!$B$13,Paramètres!$A$1:$I$89,5,0)</f>
        <v>53.222000000000008</v>
      </c>
      <c r="CV16" s="13">
        <f t="shared" si="41"/>
        <v>15.442806897867877</v>
      </c>
      <c r="CW16" s="20">
        <f t="shared" si="13"/>
        <v>119.59120534711991</v>
      </c>
      <c r="CX16" s="59">
        <f t="shared" si="14"/>
        <v>392.14676090267545</v>
      </c>
      <c r="CY16" s="59">
        <f ca="1">AVERAGE(OFFSET($CX$3,0,0,'Données projet'!$E$13+1,1))-AVERAGE(OFFSET($H$3,0,0,'Données projet'!$E$13+1,1))</f>
        <v>187.80389738728508</v>
      </c>
      <c r="CZ16" s="59">
        <f t="shared" si="42"/>
        <v>439.28159165815265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16.277984942160291</v>
      </c>
      <c r="DI16" s="22">
        <f t="shared" si="15"/>
        <v>16.277984942160291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13.8</v>
      </c>
      <c r="DO16" s="12">
        <f>IF('Données projet'!$A$166&gt;35,DO15+DN16-DW15,IF(A16&lt;'Données projet'!$A$166,$DL$205^A16,IF(A16='Données projet'!$A$166,'Données projet'!$B$166,DO15+DN16-DW15)))</f>
        <v>156.40000000000003</v>
      </c>
      <c r="DP16" s="17">
        <f>DO16*VLOOKUP('Données projet'!$B$14,Paramètres!$A$1:$I$89,3,0)*VLOOKUP('Données projet'!$B$14,Paramètres!$A$1:$I$89,5,0)</f>
        <v>114.67248000000002</v>
      </c>
      <c r="DQ16" s="13">
        <f t="shared" si="43"/>
        <v>30.42917784146039</v>
      </c>
      <c r="DR16" s="20">
        <f t="shared" si="16"/>
        <v>252.71872074054355</v>
      </c>
      <c r="DS16" s="59">
        <f t="shared" si="17"/>
        <v>525.27427629609906</v>
      </c>
      <c r="DT16" s="59">
        <f ca="1">AVERAGE(OFFSET($DS$3,0,0,'Données projet'!$E$14+1,1))-AVERAGE(OFFSET($H$3,0,0,'Données projet'!$E$14+1,1))</f>
        <v>239.25212250019609</v>
      </c>
      <c r="DU16" s="59">
        <f t="shared" si="44"/>
        <v>213.58492101729695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7.333333333333333</v>
      </c>
      <c r="EJ16" s="12">
        <f>IF('Données projet'!$A$192&gt;35,EJ15+EI16-ER15,IF(A16&lt;'Données projet'!$A$192,$EG$205^A16,IF(A16='Données projet'!$A$192,'Données projet'!$B$192,EJ15+EI16-ER15)))</f>
        <v>58.776942894238665</v>
      </c>
      <c r="EK16" s="17">
        <f>EJ16*VLOOKUP('Données projet'!$B$15,Paramètres!$A$1:$I$89,3,0)*VLOOKUP('Données projet'!$B$15,Paramètres!$A$1:$I$89,5,0)</f>
        <v>35.148611850754726</v>
      </c>
      <c r="EL16" s="13">
        <f t="shared" si="45"/>
        <v>10.703271225293379</v>
      </c>
      <c r="EM16" s="20">
        <f t="shared" si="19"/>
        <v>79.858696357450455</v>
      </c>
      <c r="EN16" s="59">
        <f t="shared" si="20"/>
        <v>352.41425191300601</v>
      </c>
      <c r="EO16" s="59">
        <f ca="1">AVERAGE(OFFSET($EN$3,0,0,'Données projet'!$E$15+1,1))-AVERAGE(OFFSET($H$3,0,0,'Données projet'!$E$15+1,1))</f>
        <v>504.81063008331739</v>
      </c>
      <c r="EP16" s="59">
        <f t="shared" si="46"/>
        <v>441.82647565372287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3.0666666666666669</v>
      </c>
      <c r="FE16" s="12">
        <f>IF('Données projet'!$A$218&gt;35,FE15+FD16-FM15,IF(A16&lt;'Données projet'!$A$218,$FB$205^A16,IF(A16='Données projet'!$A$218,'Données projet'!$B$218,FE15+FD16-FM15)))</f>
        <v>27.609388473300726</v>
      </c>
      <c r="FF16" s="17">
        <f>FE16*VLOOKUP('Données projet'!$B$16,Paramètres!$A$1:$I$89,3,0)*VLOOKUP('Données projet'!$B$16,Paramètres!$A$1:$I$89,5,0)</f>
        <v>15.792570206728016</v>
      </c>
      <c r="FG16" s="13">
        <f t="shared" si="47"/>
        <v>5.2784325132589212</v>
      </c>
      <c r="FH16" s="20">
        <f t="shared" si="22"/>
        <v>36.69866307064391</v>
      </c>
      <c r="FI16" s="59">
        <f t="shared" si="23"/>
        <v>309.25421862619947</v>
      </c>
      <c r="FJ16" s="59">
        <f ca="1">AVERAGE(OFFSET($FI$3,0,0,'Données projet'!$E$16+1,1))-AVERAGE(OFFSET($H$3,0,0,'Données projet'!$E$16+1,1))</f>
        <v>393.41577134252316</v>
      </c>
      <c r="FK16" s="59">
        <f t="shared" si="48"/>
        <v>255.54039659391475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5.2</v>
      </c>
      <c r="FZ16" s="12">
        <f>IF('Données projet'!$A$244&gt;35,FZ15+FY16-GH15,IF(A16&lt;'Données projet'!$A$244,$FW$205^A16,IF(A16='Données projet'!$A$244,'Données projet'!$B$244,FZ15+FY16-GH15)))</f>
        <v>43.633024943472719</v>
      </c>
      <c r="GA16" s="17">
        <f>FZ16*VLOOKUP('Données projet'!$B$17,Paramètres!$A$1:$I$89,3,0)*VLOOKUP('Données projet'!$B$17,Paramètres!$A$1:$I$89,5,0)</f>
        <v>20.420255673545231</v>
      </c>
      <c r="GB16" s="13">
        <f t="shared" si="49"/>
        <v>6.6240273883698597</v>
      </c>
      <c r="GC16" s="20">
        <f t="shared" si="25"/>
        <v>47.102126332835446</v>
      </c>
      <c r="GD16" s="59">
        <f t="shared" si="26"/>
        <v>319.65768188839098</v>
      </c>
      <c r="GE16" s="59">
        <f ca="1">AVERAGE(OFFSET($GD$3,0,0,'Données projet'!$E$17+1,1))-AVERAGE(OFFSET($H$3,0,0,'Données projet'!$E$17+1,1))</f>
        <v>488.67934252295686</v>
      </c>
      <c r="GF16" s="59">
        <f t="shared" si="50"/>
        <v>424.50324471331095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2.8</v>
      </c>
      <c r="GU16" s="12">
        <f>IF('Données projet'!$A$270&gt;35,GU15+GT16-HC15,IF(A16&lt;'Données projet'!$A$270,$GR$205^A16,IF(A16='Données projet'!$A$270,'Données projet'!$B$270,GU15+GT16-HC15)))</f>
        <v>25.51620317959356</v>
      </c>
      <c r="GV16" s="17">
        <f>GU16*VLOOKUP('Données projet'!$B$18,Paramètres!$A$1:$I$89,3,0)*VLOOKUP('Données projet'!$B$18,Paramètres!$A$1:$I$89,5,0)</f>
        <v>12.273293729384502</v>
      </c>
      <c r="GW16" s="13">
        <f t="shared" si="51"/>
        <v>4.2243327250779936</v>
      </c>
      <c r="GX16" s="20">
        <f t="shared" si="28"/>
        <v>28.73336607485551</v>
      </c>
      <c r="GY16" s="59">
        <f t="shared" si="29"/>
        <v>301.28892163041104</v>
      </c>
      <c r="GZ16" s="59">
        <f ca="1">AVERAGE(OFFSET($GY$3,0,0,'Données projet'!$E$18+1,1))-AVERAGE(OFFSET($H$3,0,0,'Données projet'!$E$18+1,1))</f>
        <v>458.80976193248841</v>
      </c>
      <c r="HA16" s="59">
        <f t="shared" si="52"/>
        <v>396.07405370178759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302.76037439017989</v>
      </c>
      <c r="S17" s="59">
        <f ca="1">AVERAGE(OFFSET($R$3,0,0,'Données projet'!$E$9+1,1))-AVERAGE(OFFSET($H$3,0,0,'Données projet'!$E$9+1,1))</f>
        <v>364.3481978218424</v>
      </c>
      <c r="T17" s="59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8.526315789473685</v>
      </c>
      <c r="AI17" s="13">
        <f>IF('Données projet'!$A$62&gt;35,AI16+AH17-AQ16,IF(A17&lt;'Données projet'!$A$62,$AF$205^A17,IF(A17='Données projet'!$A$62,'Données projet'!$B$62,AI16+AH17-AQ16)))</f>
        <v>42.468184448710481</v>
      </c>
      <c r="AJ17" s="13">
        <f>AI17*VLOOKUP('Données projet'!$B$10,Paramètres!$A$1:$I$89,3,0)*VLOOKUP('Données projet'!$B$10,Paramètres!$A$1:$I$89,5,0)</f>
        <v>23.739715106829159</v>
      </c>
      <c r="AK17" s="13">
        <f t="shared" si="35"/>
        <v>7.5669736064602473</v>
      </c>
      <c r="AL17" s="20">
        <f t="shared" si="4"/>
        <v>54.525816175645708</v>
      </c>
      <c r="AM17" s="59">
        <f t="shared" si="5"/>
        <v>328.3035939534235</v>
      </c>
      <c r="AN17" s="59">
        <f ca="1">AVERAGE(OFFSET($AM$3,0,0,'Données projet'!$E$10+1,1))-AVERAGE(OFFSET($H$3,0,0,'Données projet'!$E$10+1,1))</f>
        <v>443.34220761968419</v>
      </c>
      <c r="AO17" s="59">
        <f t="shared" si="36"/>
        <v>546.58234447298014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1.6</v>
      </c>
      <c r="BD17" s="12">
        <f>IF('Données projet'!$A$88&gt;35,BD16+BC17-BL16,IF(A17&lt;'Données projet'!$A$88,$BA$205^A17,IF(A17='Données projet'!$A$88,'Données projet'!$B$88,BD16+BC17-BL16)))</f>
        <v>11.313708498984752</v>
      </c>
      <c r="BE17" s="13">
        <f>BD17*VLOOKUP('Données projet'!$B$11,Paramètres!$A$1:$I$89,3,0)*VLOOKUP('Données projet'!$B$11,Paramètres!$A$1:$I$89,5,0)</f>
        <v>9.7071618921289176</v>
      </c>
      <c r="BF17" s="13">
        <f t="shared" si="37"/>
        <v>3.433577046269785</v>
      </c>
      <c r="BG17" s="20">
        <f t="shared" si="7"/>
        <v>22.886786984377736</v>
      </c>
      <c r="BH17" s="59">
        <f t="shared" si="8"/>
        <v>296.66456476215552</v>
      </c>
      <c r="BI17" s="59">
        <f ca="1">AVERAGE(OFFSET($BH$3,0,0,'Données projet'!$E$11+1,1))-AVERAGE(OFFSET($H$3,0,0,'Données projet'!$E$11+1,1))</f>
        <v>447.15627913956871</v>
      </c>
      <c r="BJ17" s="59">
        <f t="shared" si="38"/>
        <v>256.77417912163997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12.2</v>
      </c>
      <c r="BY17" s="12">
        <f>IF('Données projet'!$A$114&gt;35,BY16+BX17-CG16,IF(A17&lt;'Données projet'!$A$114,$BV$205^A17,IF(A17='Données projet'!$A$114,'Données projet'!$B$114,BY16+BX17-CG16)))</f>
        <v>105.80000000000001</v>
      </c>
      <c r="BZ17" s="13">
        <f>BY17*VLOOKUP('Données projet'!$B$12,Paramètres!$A$1:$I$89,3,0)*VLOOKUP('Données projet'!$B$12,Paramètres!$A$1:$I$89,5,0)</f>
        <v>100.67928000000002</v>
      </c>
      <c r="CA17" s="13">
        <f t="shared" si="39"/>
        <v>27.123762824785597</v>
      </c>
      <c r="CB17" s="20">
        <f t="shared" si="10"/>
        <v>222.5902995865016</v>
      </c>
      <c r="CC17" s="59">
        <f t="shared" si="11"/>
        <v>496.36807736427937</v>
      </c>
      <c r="CD17" s="59">
        <f ca="1">AVERAGE(OFFSET($CC$3,0,0,'Données projet'!$E$12+1,1))-AVERAGE(OFFSET($H$3,0,0,'Données projet'!$E$12+1,1))</f>
        <v>448.94764480536713</v>
      </c>
      <c r="CE17" s="59">
        <f t="shared" si="40"/>
        <v>469.26760321719695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>
        <f>VLOOKUP(A17,'Données projet'!$A$139:$I$159,2,0)</f>
        <v>110</v>
      </c>
      <c r="CR17" s="12">
        <f>VLOOKUP(A17,'Données projet'!$A$139:$I$159,9,0)</f>
        <v>21</v>
      </c>
      <c r="CS17" s="12">
        <f t="array" ref="CS17">INDEX(CR:CR,MIN(IF(ISNUMBER(CR17:CR213),ROW(CR17:CR213),"")))</f>
        <v>21</v>
      </c>
      <c r="CT17" s="12">
        <f>IF('Données projet'!$A$140&gt;35,CT16+CS17-DB16,IF(A17&lt;'Données projet'!$A$140,$CQ$205^A17,IF(A17='Données projet'!$A$140,'Données projet'!$B$140,CT16+CS17-DB16)))</f>
        <v>110</v>
      </c>
      <c r="CU17" s="17">
        <f>CT17*VLOOKUP('Données projet'!$B$13,Paramètres!$A$1:$I$89,3,0)*VLOOKUP('Données projet'!$B$13,Paramètres!$A$1:$I$89,5,0)</f>
        <v>65.78</v>
      </c>
      <c r="CV17" s="13">
        <f t="shared" si="41"/>
        <v>18.621720661480644</v>
      </c>
      <c r="CW17" s="20">
        <f t="shared" si="13"/>
        <v>146.99966348541213</v>
      </c>
      <c r="CX17" s="59">
        <f t="shared" si="14"/>
        <v>420.77744126318987</v>
      </c>
      <c r="CY17" s="59">
        <f ca="1">AVERAGE(OFFSET($CX$3,0,0,'Données projet'!$E$13+1,1))-AVERAGE(OFFSET($H$3,0,0,'Données projet'!$E$13+1,1))</f>
        <v>187.80389738728508</v>
      </c>
      <c r="CZ17" s="59">
        <f t="shared" si="42"/>
        <v>439.28159165815265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11.510273536654053</v>
      </c>
      <c r="DI17" s="22">
        <f t="shared" si="15"/>
        <v>11.510273536654053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13.8</v>
      </c>
      <c r="DO17" s="12">
        <f>IF('Données projet'!$A$166&gt;35,DO16+DN17-DW16,IF(A17&lt;'Données projet'!$A$166,$DL$205^A17,IF(A17='Données projet'!$A$166,'Données projet'!$B$166,DO16+DN17-DW16)))</f>
        <v>170.20000000000005</v>
      </c>
      <c r="DP17" s="17">
        <f>DO17*VLOOKUP('Données projet'!$B$14,Paramètres!$A$1:$I$89,3,0)*VLOOKUP('Données projet'!$B$14,Paramètres!$A$1:$I$89,5,0)</f>
        <v>124.79064000000002</v>
      </c>
      <c r="DQ17" s="13">
        <f t="shared" si="43"/>
        <v>32.789779085419845</v>
      </c>
      <c r="DR17" s="20">
        <f t="shared" si="16"/>
        <v>274.45256324043959</v>
      </c>
      <c r="DS17" s="59">
        <f t="shared" si="17"/>
        <v>548.23034101821736</v>
      </c>
      <c r="DT17" s="59">
        <f ca="1">AVERAGE(OFFSET($DS$3,0,0,'Données projet'!$E$14+1,1))-AVERAGE(OFFSET($H$3,0,0,'Données projet'!$E$14+1,1))</f>
        <v>239.25212250019609</v>
      </c>
      <c r="DU17" s="59">
        <f t="shared" si="44"/>
        <v>213.58492101729695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7.333333333333333</v>
      </c>
      <c r="EJ17" s="12">
        <f>IF('Données projet'!$A$192&gt;35,EJ16+EI17-ER16,IF(A17&lt;'Données projet'!$A$192,$EG$205^A17,IF(A17='Données projet'!$A$192,'Données projet'!$B$192,EJ16+EI17-ER16)))</f>
        <v>80.408107292525273</v>
      </c>
      <c r="EK17" s="17">
        <f>EJ17*VLOOKUP('Données projet'!$B$15,Paramètres!$A$1:$I$89,3,0)*VLOOKUP('Données projet'!$B$15,Paramètres!$A$1:$I$89,5,0)</f>
        <v>48.084048160930124</v>
      </c>
      <c r="EL17" s="13">
        <f t="shared" si="45"/>
        <v>14.11783718993377</v>
      </c>
      <c r="EM17" s="20">
        <f t="shared" si="19"/>
        <v>108.33495031942128</v>
      </c>
      <c r="EN17" s="59">
        <f t="shared" si="20"/>
        <v>382.11272809719907</v>
      </c>
      <c r="EO17" s="59">
        <f ca="1">AVERAGE(OFFSET($EN$3,0,0,'Données projet'!$E$15+1,1))-AVERAGE(OFFSET($H$3,0,0,'Données projet'!$E$15+1,1))</f>
        <v>504.81063008331739</v>
      </c>
      <c r="EP17" s="59">
        <f t="shared" si="46"/>
        <v>441.82647565372287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3.0666666666666669</v>
      </c>
      <c r="FE17" s="12">
        <f>IF('Données projet'!$A$218&gt;35,FE16+FD17-FM16,IF(A17&lt;'Données projet'!$A$218,$FB$205^A17,IF(A17='Données projet'!$A$218,'Données projet'!$B$218,FE16+FD17-FM16)))</f>
        <v>35.637506503287135</v>
      </c>
      <c r="FF17" s="17">
        <f>FE17*VLOOKUP('Données projet'!$B$16,Paramètres!$A$1:$I$89,3,0)*VLOOKUP('Données projet'!$B$16,Paramètres!$A$1:$I$89,5,0)</f>
        <v>20.384653719880241</v>
      </c>
      <c r="FG17" s="13">
        <f t="shared" si="47"/>
        <v>6.6138218815816261</v>
      </c>
      <c r="FH17" s="20">
        <f t="shared" si="22"/>
        <v>47.022345005879409</v>
      </c>
      <c r="FI17" s="59">
        <f t="shared" si="23"/>
        <v>320.80012278365717</v>
      </c>
      <c r="FJ17" s="59">
        <f ca="1">AVERAGE(OFFSET($FI$3,0,0,'Données projet'!$E$16+1,1))-AVERAGE(OFFSET($H$3,0,0,'Données projet'!$E$16+1,1))</f>
        <v>393.41577134252316</v>
      </c>
      <c r="FK17" s="59">
        <f t="shared" si="48"/>
        <v>255.54039659391475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5.2</v>
      </c>
      <c r="FZ17" s="12">
        <f>IF('Données projet'!$A$244&gt;35,FZ16+FY17-GH16,IF(A17&lt;'Données projet'!$A$244,$FW$205^A17,IF(A17='Données projet'!$A$244,'Données projet'!$B$244,FZ16+FY17-GH16)))</f>
        <v>58.338460260713681</v>
      </c>
      <c r="GA17" s="17">
        <f>FZ17*VLOOKUP('Données projet'!$B$17,Paramètres!$A$1:$I$89,3,0)*VLOOKUP('Données projet'!$B$17,Paramètres!$A$1:$I$89,5,0)</f>
        <v>27.302399402014004</v>
      </c>
      <c r="GB17" s="13">
        <f t="shared" si="49"/>
        <v>8.5620765333789173</v>
      </c>
      <c r="GC17" s="20">
        <f t="shared" si="25"/>
        <v>62.463962254142665</v>
      </c>
      <c r="GD17" s="59">
        <f t="shared" si="26"/>
        <v>336.24174003192041</v>
      </c>
      <c r="GE17" s="59">
        <f ca="1">AVERAGE(OFFSET($GD$3,0,0,'Données projet'!$E$17+1,1))-AVERAGE(OFFSET($H$3,0,0,'Données projet'!$E$17+1,1))</f>
        <v>488.67934252295686</v>
      </c>
      <c r="GF17" s="59">
        <f t="shared" si="50"/>
        <v>424.50324471331095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2.8</v>
      </c>
      <c r="GU17" s="12">
        <f>IF('Données projet'!$A$270&gt;35,GU16+GT17-HC16,IF(A17&lt;'Données projet'!$A$270,$GR$205^A17,IF(A17='Données projet'!$A$270,'Données projet'!$B$270,GU16+GT17-HC16)))</f>
        <v>32.736532094021939</v>
      </c>
      <c r="GV17" s="17">
        <f>GU17*VLOOKUP('Données projet'!$B$18,Paramètres!$A$1:$I$89,3,0)*VLOOKUP('Données projet'!$B$18,Paramètres!$A$1:$I$89,5,0)</f>
        <v>15.746271937224552</v>
      </c>
      <c r="GW17" s="13">
        <f t="shared" si="51"/>
        <v>5.2647569004066392</v>
      </c>
      <c r="GX17" s="20">
        <f t="shared" si="28"/>
        <v>36.594208558874321</v>
      </c>
      <c r="GY17" s="59">
        <f t="shared" si="29"/>
        <v>310.37198633665207</v>
      </c>
      <c r="GZ17" s="59">
        <f ca="1">AVERAGE(OFFSET($GY$3,0,0,'Données projet'!$E$18+1,1))-AVERAGE(OFFSET($H$3,0,0,'Données projet'!$E$18+1,1))</f>
        <v>458.80976193248841</v>
      </c>
      <c r="HA17" s="59">
        <f t="shared" si="52"/>
        <v>396.07405370178759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309.74578000827665</v>
      </c>
      <c r="S18" s="59">
        <f ca="1">AVERAGE(OFFSET($R$3,0,0,'Données projet'!$E$9+1,1))-AVERAGE(OFFSET($H$3,0,0,'Données projet'!$E$9+1,1))</f>
        <v>364.3481978218424</v>
      </c>
      <c r="T18" s="59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8.526315789473685</v>
      </c>
      <c r="AI18" s="13">
        <f>IF('Données projet'!$A$62&gt;35,AI17+AH18-AQ17,IF(A18&lt;'Données projet'!$A$62,$AF$205^A18,IF(A18='Données projet'!$A$62,'Données projet'!$B$62,AI17+AH18-AQ17)))</f>
        <v>55.507792846923991</v>
      </c>
      <c r="AJ18" s="13">
        <f>AI18*VLOOKUP('Données projet'!$B$10,Paramètres!$A$1:$I$89,3,0)*VLOOKUP('Données projet'!$B$10,Paramètres!$A$1:$I$89,5,0)</f>
        <v>31.028856201430514</v>
      </c>
      <c r="AK18" s="13">
        <f t="shared" si="35"/>
        <v>9.5868580371693835</v>
      </c>
      <c r="AL18" s="20">
        <f t="shared" si="4"/>
        <v>70.739035632228152</v>
      </c>
      <c r="AM18" s="59">
        <f t="shared" si="5"/>
        <v>345.73903563222814</v>
      </c>
      <c r="AN18" s="59">
        <f ca="1">AVERAGE(OFFSET($AM$3,0,0,'Données projet'!$E$10+1,1))-AVERAGE(OFFSET($H$3,0,0,'Données projet'!$E$10+1,1))</f>
        <v>443.34220761968419</v>
      </c>
      <c r="AO18" s="59">
        <f t="shared" si="36"/>
        <v>546.58234447298014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1.6</v>
      </c>
      <c r="BD18" s="12">
        <f>IF('Données projet'!$A$88&gt;35,BD17+BC18-BL17,IF(A18&lt;'Données projet'!$A$88,$BA$205^A18,IF(A18='Données projet'!$A$88,'Données projet'!$B$88,BD17+BC18-BL17)))</f>
        <v>13.454342644059421</v>
      </c>
      <c r="BE18" s="13">
        <f>BD18*VLOOKUP('Données projet'!$B$11,Paramètres!$A$1:$I$89,3,0)*VLOOKUP('Données projet'!$B$11,Paramètres!$A$1:$I$89,5,0)</f>
        <v>11.543825988602984</v>
      </c>
      <c r="BF18" s="13">
        <f t="shared" si="37"/>
        <v>4.0016981182064377</v>
      </c>
      <c r="BG18" s="20">
        <f t="shared" si="7"/>
        <v>27.075121152693075</v>
      </c>
      <c r="BH18" s="59">
        <f t="shared" si="8"/>
        <v>302.0751211526931</v>
      </c>
      <c r="BI18" s="59">
        <f ca="1">AVERAGE(OFFSET($BH$3,0,0,'Données projet'!$E$11+1,1))-AVERAGE(OFFSET($H$3,0,0,'Données projet'!$E$11+1,1))</f>
        <v>447.15627913956871</v>
      </c>
      <c r="BJ18" s="59">
        <f t="shared" si="38"/>
        <v>256.77417912163997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118</v>
      </c>
      <c r="BW18" s="12">
        <f>VLOOKUP(A18,'Données projet'!$A$113:$I$133,9,0)</f>
        <v>12.2</v>
      </c>
      <c r="BX18" s="12">
        <f t="array" ref="BX18">INDEX(BW:BW,MIN(IF(ISNUMBER(BW18:BW214),ROW(BW18:BW214),"")))</f>
        <v>12.2</v>
      </c>
      <c r="BY18" s="12">
        <f>IF('Données projet'!$A$114&gt;35,BY17+BX18-CG17,IF(A18&lt;'Données projet'!$A$114,$BV$205^A18,IF(A18='Données projet'!$A$114,'Données projet'!$B$114,BY17+BX18-CG17)))</f>
        <v>118.00000000000001</v>
      </c>
      <c r="BZ18" s="13">
        <f>BY18*VLOOKUP('Données projet'!$B$12,Paramètres!$A$1:$I$89,3,0)*VLOOKUP('Données projet'!$B$12,Paramètres!$A$1:$I$89,5,0)</f>
        <v>112.28880000000001</v>
      </c>
      <c r="CA18" s="13">
        <f t="shared" si="39"/>
        <v>29.869595672288149</v>
      </c>
      <c r="CB18" s="20">
        <f t="shared" si="10"/>
        <v>247.59253912923518</v>
      </c>
      <c r="CC18" s="59">
        <f t="shared" si="11"/>
        <v>522.59253912923521</v>
      </c>
      <c r="CD18" s="59">
        <f ca="1">AVERAGE(OFFSET($CC$3,0,0,'Données projet'!$E$12+1,1))-AVERAGE(OFFSET($H$3,0,0,'Données projet'!$E$12+1,1))</f>
        <v>448.94764480536713</v>
      </c>
      <c r="CE18" s="59">
        <f t="shared" si="40"/>
        <v>469.26760321719695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17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131</v>
      </c>
      <c r="CR18" s="12">
        <f>VLOOKUP(A18,'Données projet'!$A$139:$I$159,9,0)</f>
        <v>21</v>
      </c>
      <c r="CS18" s="12">
        <f t="array" ref="CS18">INDEX(CR:CR,MIN(IF(ISNUMBER(CR18:CR214),ROW(CR18:CR214),"")))</f>
        <v>21</v>
      </c>
      <c r="CT18" s="12">
        <f>IF('Données projet'!$A$140&gt;35,CT17+CS18-DB17,IF(A18&lt;'Données projet'!$A$140,$CQ$205^A18,IF(A18='Données projet'!$A$140,'Données projet'!$B$140,CT17+CS18-DB17)))</f>
        <v>131</v>
      </c>
      <c r="CU18" s="17">
        <f>CT18*VLOOKUP('Données projet'!$B$13,Paramètres!$A$1:$I$89,3,0)*VLOOKUP('Données projet'!$B$13,Paramètres!$A$1:$I$89,5,0)</f>
        <v>78.338000000000008</v>
      </c>
      <c r="CV18" s="13">
        <f t="shared" si="41"/>
        <v>21.730321306378922</v>
      </c>
      <c r="CW18" s="20">
        <f t="shared" si="13"/>
        <v>174.28565960860999</v>
      </c>
      <c r="CX18" s="59">
        <f t="shared" si="14"/>
        <v>449.28565960860999</v>
      </c>
      <c r="CY18" s="59">
        <f ca="1">AVERAGE(OFFSET($CX$3,0,0,'Données projet'!$E$13+1,1))-AVERAGE(OFFSET($H$3,0,0,'Données projet'!$E$13+1,1))</f>
        <v>187.80389738728508</v>
      </c>
      <c r="CZ18" s="59">
        <f t="shared" si="42"/>
        <v>439.28159165815265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8.1389924710801456</v>
      </c>
      <c r="DI18" s="22">
        <f t="shared" si="15"/>
        <v>8.1389924710801456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184</v>
      </c>
      <c r="DM18" s="12">
        <f>VLOOKUP(A18,'Données projet'!$A$165:$I$185,9,0)</f>
        <v>13.8</v>
      </c>
      <c r="DN18" s="12">
        <f t="array" ref="DN18">INDEX(DM:DM,MIN(IF(ISNUMBER(DM18:DM214),ROW(DM18:DM214),"")))</f>
        <v>13.8</v>
      </c>
      <c r="DO18" s="12">
        <f>IF('Données projet'!$A$166&gt;35,DO17+DN18-DW17,IF(A18&lt;'Données projet'!$A$166,$DL$205^A18,IF(A18='Données projet'!$A$166,'Données projet'!$B$166,DO17+DN18-DW17)))</f>
        <v>184.00000000000006</v>
      </c>
      <c r="DP18" s="17">
        <f>DO18*VLOOKUP('Données projet'!$B$14,Paramètres!$A$1:$I$89,3,0)*VLOOKUP('Données projet'!$B$14,Paramètres!$A$1:$I$89,5,0)</f>
        <v>134.90880000000004</v>
      </c>
      <c r="DQ18" s="13">
        <f t="shared" si="43"/>
        <v>35.128180500859067</v>
      </c>
      <c r="DR18" s="20">
        <f t="shared" si="16"/>
        <v>296.14774103899623</v>
      </c>
      <c r="DS18" s="59">
        <f t="shared" si="17"/>
        <v>571.14774103899617</v>
      </c>
      <c r="DT18" s="59">
        <f ca="1">AVERAGE(OFFSET($DS$3,0,0,'Données projet'!$E$14+1,1))-AVERAGE(OFFSET($H$3,0,0,'Données projet'!$E$14+1,1))</f>
        <v>239.25212250019609</v>
      </c>
      <c r="DU18" s="59">
        <f t="shared" si="44"/>
        <v>213.58492101729695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110</v>
      </c>
      <c r="EH18" s="12">
        <f>VLOOKUP(A18,'Données projet'!$A$191:$I$211,9,0)</f>
        <v>7.333333333333333</v>
      </c>
      <c r="EI18" s="12">
        <f t="array" ref="EI18">INDEX(EH:EH,MIN(IF(ISNUMBER(EH18:EH214),ROW(EH18:EH214),"")))</f>
        <v>7.333333333333333</v>
      </c>
      <c r="EJ18" s="12">
        <f>IF('Données projet'!$A$192&gt;35,EJ17+EI18-ER17,IF(A18&lt;'Données projet'!$A$192,$EG$205^A18,IF(A18='Données projet'!$A$192,'Données projet'!$B$192,EJ17+EI18-ER17)))</f>
        <v>110</v>
      </c>
      <c r="EK18" s="17">
        <f>EJ18*VLOOKUP('Données projet'!$B$15,Paramètres!$A$1:$I$89,3,0)*VLOOKUP('Données projet'!$B$15,Paramètres!$A$1:$I$89,5,0)</f>
        <v>65.78</v>
      </c>
      <c r="EL18" s="13">
        <f t="shared" si="45"/>
        <v>18.621720661480644</v>
      </c>
      <c r="EM18" s="20">
        <f t="shared" si="19"/>
        <v>146.99966348541213</v>
      </c>
      <c r="EN18" s="59">
        <f t="shared" si="20"/>
        <v>421.99966348541216</v>
      </c>
      <c r="EO18" s="59">
        <f ca="1">AVERAGE(OFFSET($EN$3,0,0,'Données projet'!$E$15+1,1))-AVERAGE(OFFSET($H$3,0,0,'Données projet'!$E$15+1,1))</f>
        <v>504.81063008331739</v>
      </c>
      <c r="EP18" s="59">
        <f t="shared" si="46"/>
        <v>441.82647565372287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14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1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9.4790487948915736</v>
      </c>
      <c r="EY18" s="22">
        <f t="shared" si="21"/>
        <v>9.4790487948915736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46</v>
      </c>
      <c r="FC18" s="12">
        <f>VLOOKUP(A18,'Données projet'!$A$217:$I$237,9,0)</f>
        <v>3.0666666666666669</v>
      </c>
      <c r="FD18" s="12">
        <f t="array" ref="FD18">INDEX(FC:FC,MIN(IF(ISNUMBER(FC18:FC214),ROW(FC18:FC214),"")))</f>
        <v>3.0666666666666669</v>
      </c>
      <c r="FE18" s="12">
        <f>IF('Données projet'!$A$218&gt;35,FE17+FD18-FM17,IF(A18&lt;'Données projet'!$A$218,$FB$205^A18,IF(A18='Données projet'!$A$218,'Données projet'!$B$218,FE17+FD18-FM17)))</f>
        <v>46</v>
      </c>
      <c r="FF18" s="17">
        <f>FE18*VLOOKUP('Données projet'!$B$16,Paramètres!$A$1:$I$89,3,0)*VLOOKUP('Données projet'!$B$16,Paramètres!$A$1:$I$89,5,0)</f>
        <v>26.311999999999998</v>
      </c>
      <c r="FG18" s="13">
        <f t="shared" si="47"/>
        <v>8.2870510840880431</v>
      </c>
      <c r="FH18" s="20">
        <f t="shared" si="22"/>
        <v>60.260013971453333</v>
      </c>
      <c r="FI18" s="59">
        <f t="shared" si="23"/>
        <v>335.2600139714533</v>
      </c>
      <c r="FJ18" s="59">
        <f ca="1">AVERAGE(OFFSET($FI$3,0,0,'Données projet'!$E$16+1,1))-AVERAGE(OFFSET($H$3,0,0,'Données projet'!$E$16+1,1))</f>
        <v>393.41577134252316</v>
      </c>
      <c r="FK18" s="59">
        <f t="shared" si="48"/>
        <v>255.54039659391475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78</v>
      </c>
      <c r="FX18" s="12">
        <f>VLOOKUP(A18,'Données projet'!$A$243:$I$263,9,0)</f>
        <v>5.2</v>
      </c>
      <c r="FY18" s="12">
        <f t="array" ref="FY18">INDEX(FX:FX,MIN(IF(ISNUMBER(FX18:FX214),ROW(FX18:FX214),"")))</f>
        <v>5.2</v>
      </c>
      <c r="FZ18" s="12">
        <f>IF('Données projet'!$A$244&gt;35,FZ17+FY18-GH17,IF(A18&lt;'Données projet'!$A$244,$FW$205^A18,IF(A18='Données projet'!$A$244,'Données projet'!$B$244,FZ17+FY18-GH17)))</f>
        <v>78</v>
      </c>
      <c r="GA18" s="17">
        <f>FZ18*VLOOKUP('Données projet'!$B$17,Paramètres!$A$1:$I$89,3,0)*VLOOKUP('Données projet'!$B$17,Paramètres!$A$1:$I$89,5,0)</f>
        <v>36.503999999999998</v>
      </c>
      <c r="GB18" s="13">
        <f t="shared" si="49"/>
        <v>11.067157525971377</v>
      </c>
      <c r="GC18" s="20">
        <f t="shared" si="25"/>
        <v>82.85309935773347</v>
      </c>
      <c r="GD18" s="59">
        <f t="shared" si="26"/>
        <v>357.85309935773347</v>
      </c>
      <c r="GE18" s="59">
        <f ca="1">AVERAGE(OFFSET($GD$3,0,0,'Données projet'!$E$17+1,1))-AVERAGE(OFFSET($H$3,0,0,'Données projet'!$E$17+1,1))</f>
        <v>488.67934252295686</v>
      </c>
      <c r="GF18" s="59">
        <f t="shared" si="50"/>
        <v>424.50324471331095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42</v>
      </c>
      <c r="GS18" s="12">
        <f>VLOOKUP(A18,'Données projet'!$A$269:$I$289,9,0)</f>
        <v>2.8</v>
      </c>
      <c r="GT18" s="12">
        <f t="array" ref="GT18">INDEX(GS:GS,MIN(IF(ISNUMBER(GS18:GS214),ROW(GS18:GS214),"")))</f>
        <v>2.8</v>
      </c>
      <c r="GU18" s="12">
        <f>IF('Données projet'!$A$270&gt;35,GU17+GT18-HC17,IF(A18&lt;'Données projet'!$A$270,$GR$205^A18,IF(A18='Données projet'!$A$270,'Données projet'!$B$270,GU17+GT18-HC17)))</f>
        <v>42</v>
      </c>
      <c r="GV18" s="17">
        <f>GU18*VLOOKUP('Données projet'!$B$18,Paramètres!$A$1:$I$89,3,0)*VLOOKUP('Données projet'!$B$18,Paramètres!$A$1:$I$89,5,0)</f>
        <v>20.201999999999998</v>
      </c>
      <c r="GW18" s="13">
        <f t="shared" si="51"/>
        <v>6.5614304138099309</v>
      </c>
      <c r="GX18" s="20">
        <f t="shared" si="28"/>
        <v>46.612974637385626</v>
      </c>
      <c r="GY18" s="59">
        <f t="shared" si="29"/>
        <v>321.61297463738561</v>
      </c>
      <c r="GZ18" s="59">
        <f ca="1">AVERAGE(OFFSET($GY$3,0,0,'Données projet'!$E$18+1,1))-AVERAGE(OFFSET($H$3,0,0,'Données projet'!$E$18+1,1))</f>
        <v>458.80976193248841</v>
      </c>
      <c r="HA18" s="59">
        <f t="shared" si="52"/>
        <v>396.07405370178759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317.88090656215792</v>
      </c>
      <c r="S19" s="59">
        <f ca="1">AVERAGE(OFFSET($R$3,0,0,'Données projet'!$E$9+1,1))-AVERAGE(OFFSET($H$3,0,0,'Données projet'!$E$9+1,1))</f>
        <v>364.3481978218424</v>
      </c>
      <c r="T19" s="59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8.526315789473685</v>
      </c>
      <c r="AI19" s="13">
        <f>IF('Données projet'!$A$62&gt;35,AI18+AH19-AQ18,IF(A19&lt;'Données projet'!$A$62,$AF$205^A19,IF(A19='Données projet'!$A$62,'Données projet'!$B$62,AI18+AH19-AQ18)))</f>
        <v>72.551136968384853</v>
      </c>
      <c r="AJ19" s="13">
        <f>AI19*VLOOKUP('Données projet'!$B$10,Paramètres!$A$1:$I$89,3,0)*VLOOKUP('Données projet'!$B$10,Paramètres!$A$1:$I$89,5,0)</f>
        <v>40.55608556532713</v>
      </c>
      <c r="AK19" s="13">
        <f t="shared" si="35"/>
        <v>12.145918805157919</v>
      </c>
      <c r="AL19" s="20">
        <f t="shared" si="4"/>
        <v>91.78932427859479</v>
      </c>
      <c r="AM19" s="59">
        <f t="shared" si="5"/>
        <v>368.01154650081702</v>
      </c>
      <c r="AN19" s="59">
        <f ca="1">AVERAGE(OFFSET($AM$3,0,0,'Données projet'!$E$10+1,1))-AVERAGE(OFFSET($H$3,0,0,'Données projet'!$E$10+1,1))</f>
        <v>443.34220761968419</v>
      </c>
      <c r="AO19" s="59">
        <f t="shared" si="36"/>
        <v>546.58234447298014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1.6</v>
      </c>
      <c r="BD19" s="12">
        <f>IF('Données projet'!$A$88&gt;35,BD18+BC19-BL18,IF(A19&lt;'Données projet'!$A$88,$BA$205^A19,IF(A19='Données projet'!$A$88,'Données projet'!$B$88,BD18+BC19-BL18)))</f>
        <v>15.999999999999986</v>
      </c>
      <c r="BE19" s="13">
        <f>BD19*VLOOKUP('Données projet'!$B$11,Paramètres!$A$1:$I$89,3,0)*VLOOKUP('Données projet'!$B$11,Paramètres!$A$1:$I$89,5,0)</f>
        <v>13.727999999999991</v>
      </c>
      <c r="BF19" s="13">
        <f t="shared" si="37"/>
        <v>4.6638207366437268</v>
      </c>
      <c r="BG19" s="20">
        <f t="shared" si="7"/>
        <v>32.032421116321139</v>
      </c>
      <c r="BH19" s="59">
        <f t="shared" si="8"/>
        <v>308.25464333854336</v>
      </c>
      <c r="BI19" s="59">
        <f ca="1">AVERAGE(OFFSET($BH$3,0,0,'Données projet'!$E$11+1,1))-AVERAGE(OFFSET($H$3,0,0,'Données projet'!$E$11+1,1))</f>
        <v>447.15627913956871</v>
      </c>
      <c r="BJ19" s="59">
        <f t="shared" si="38"/>
        <v>256.77417912163997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11.4</v>
      </c>
      <c r="BY19" s="12">
        <f>IF('Données projet'!$A$114&gt;35,BY18+BX19-CG18,IF(A19&lt;'Données projet'!$A$114,$BV$205^A19,IF(A19='Données projet'!$A$114,'Données projet'!$B$114,BY18+BX19-CG18)))</f>
        <v>112.4</v>
      </c>
      <c r="BZ19" s="13">
        <f>BY19*VLOOKUP('Données projet'!$B$12,Paramètres!$A$1:$I$89,3,0)*VLOOKUP('Données projet'!$B$12,Paramètres!$A$1:$I$89,5,0)</f>
        <v>106.95984000000001</v>
      </c>
      <c r="CA19" s="13">
        <f t="shared" si="39"/>
        <v>28.613534977813039</v>
      </c>
      <c r="CB19" s="20">
        <f t="shared" si="10"/>
        <v>236.12362808635771</v>
      </c>
      <c r="CC19" s="59">
        <f t="shared" si="11"/>
        <v>512.34585030857988</v>
      </c>
      <c r="CD19" s="59">
        <f ca="1">AVERAGE(OFFSET($CC$3,0,0,'Données projet'!$E$12+1,1))-AVERAGE(OFFSET($H$3,0,0,'Données projet'!$E$12+1,1))</f>
        <v>448.94764480536713</v>
      </c>
      <c r="CE19" s="59">
        <f t="shared" si="40"/>
        <v>469.26760321719695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>
        <f>VLOOKUP(A19,'Données projet'!$A$139:$I$159,2,0)</f>
        <v>153</v>
      </c>
      <c r="CR19" s="12">
        <f>VLOOKUP(A19,'Données projet'!$A$139:$I$159,9,0)</f>
        <v>22</v>
      </c>
      <c r="CS19" s="12">
        <f t="array" ref="CS19">INDEX(CR:CR,MIN(IF(ISNUMBER(CR19:CR215),ROW(CR19:CR215),"")))</f>
        <v>22</v>
      </c>
      <c r="CT19" s="12">
        <f>IF('Données projet'!$A$140&gt;35,CT18+CS19-DB18,IF(A19&lt;'Données projet'!$A$140,$CQ$205^A19,IF(A19='Données projet'!$A$140,'Données projet'!$B$140,CT18+CS19-DB18)))</f>
        <v>153</v>
      </c>
      <c r="CU19" s="17">
        <f>CT19*VLOOKUP('Données projet'!$B$13,Paramètres!$A$1:$I$89,3,0)*VLOOKUP('Données projet'!$B$13,Paramètres!$A$1:$I$89,5,0)</f>
        <v>91.494000000000014</v>
      </c>
      <c r="CV19" s="13">
        <f t="shared" si="41"/>
        <v>24.925195840896542</v>
      </c>
      <c r="CW19" s="20">
        <f t="shared" si="13"/>
        <v>202.76343275622813</v>
      </c>
      <c r="CX19" s="59">
        <f t="shared" si="14"/>
        <v>478.98565497845038</v>
      </c>
      <c r="CY19" s="59">
        <f ca="1">AVERAGE(OFFSET($CX$3,0,0,'Données projet'!$E$13+1,1))-AVERAGE(OFFSET($H$3,0,0,'Données projet'!$E$13+1,1))</f>
        <v>187.80389738728508</v>
      </c>
      <c r="CZ19" s="59">
        <f t="shared" si="42"/>
        <v>439.28159165815265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5.7551367683270263</v>
      </c>
      <c r="DI19" s="22">
        <f t="shared" si="15"/>
        <v>5.7551367683270263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13.666666666666666</v>
      </c>
      <c r="DO19" s="12">
        <f>IF('Données projet'!$A$166&gt;35,DO18+DN19-DW18,IF(A19&lt;'Données projet'!$A$166,$DL$205^A19,IF(A19='Données projet'!$A$166,'Données projet'!$B$166,DO18+DN19-DW18)))</f>
        <v>197.66666666666671</v>
      </c>
      <c r="DP19" s="17">
        <f>DO19*VLOOKUP('Données projet'!$B$14,Paramètres!$A$1:$I$89,3,0)*VLOOKUP('Données projet'!$B$14,Paramètres!$A$1:$I$89,5,0)</f>
        <v>144.92920000000004</v>
      </c>
      <c r="DQ19" s="13">
        <f t="shared" si="43"/>
        <v>37.423931852603523</v>
      </c>
      <c r="DR19" s="20">
        <f t="shared" si="16"/>
        <v>317.59837130995112</v>
      </c>
      <c r="DS19" s="59">
        <f t="shared" si="17"/>
        <v>593.82059353217335</v>
      </c>
      <c r="DT19" s="59">
        <f ca="1">AVERAGE(OFFSET($DS$3,0,0,'Données projet'!$E$14+1,1))-AVERAGE(OFFSET($H$3,0,0,'Données projet'!$E$14+1,1))</f>
        <v>239.25212250019609</v>
      </c>
      <c r="DU19" s="59">
        <f t="shared" si="44"/>
        <v>213.58492101729695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21.4</v>
      </c>
      <c r="EJ19" s="12">
        <f>IF('Données projet'!$A$192&gt;35,EJ18+EI19-ER18,IF(A19&lt;'Données projet'!$A$192,$EG$205^A19,IF(A19='Données projet'!$A$192,'Données projet'!$B$192,EJ18+EI19-ER18)))</f>
        <v>117.4</v>
      </c>
      <c r="EK19" s="17">
        <f>EJ19*VLOOKUP('Données projet'!$B$15,Paramètres!$A$1:$I$89,3,0)*VLOOKUP('Données projet'!$B$15,Paramètres!$A$1:$I$89,5,0)</f>
        <v>70.205200000000005</v>
      </c>
      <c r="EL19" s="13">
        <f t="shared" si="45"/>
        <v>19.724407279037784</v>
      </c>
      <c r="EM19" s="20">
        <f t="shared" si="19"/>
        <v>156.62739934432412</v>
      </c>
      <c r="EN19" s="59">
        <f t="shared" si="20"/>
        <v>432.84962156654638</v>
      </c>
      <c r="EO19" s="59">
        <f ca="1">AVERAGE(OFFSET($EN$3,0,0,'Données projet'!$E$15+1,1))-AVERAGE(OFFSET($H$3,0,0,'Données projet'!$E$15+1,1))</f>
        <v>504.81063008331739</v>
      </c>
      <c r="EP19" s="59">
        <f t="shared" si="46"/>
        <v>441.82647565372287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6.7026996820660036</v>
      </c>
      <c r="EY19" s="22">
        <f t="shared" si="21"/>
        <v>6.7026996820660036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10</v>
      </c>
      <c r="FE19" s="12">
        <f>IF('Données projet'!$A$218&gt;35,FE18+FD19-FM18,IF(A19&lt;'Données projet'!$A$218,$FB$205^A19,IF(A19='Données projet'!$A$218,'Données projet'!$B$218,FE18+FD19-FM18)))</f>
        <v>56</v>
      </c>
      <c r="FF19" s="17">
        <f>FE19*VLOOKUP('Données projet'!$B$16,Paramètres!$A$1:$I$89,3,0)*VLOOKUP('Données projet'!$B$16,Paramètres!$A$1:$I$89,5,0)</f>
        <v>32.032000000000004</v>
      </c>
      <c r="FG19" s="13">
        <f t="shared" si="47"/>
        <v>9.860209365455745</v>
      </c>
      <c r="FH19" s="20">
        <f t="shared" si="22"/>
        <v>72.962264644835429</v>
      </c>
      <c r="FI19" s="59">
        <f t="shared" si="23"/>
        <v>349.18448686705767</v>
      </c>
      <c r="FJ19" s="59">
        <f ca="1">AVERAGE(OFFSET($FI$3,0,0,'Données projet'!$E$16+1,1))-AVERAGE(OFFSET($H$3,0,0,'Données projet'!$E$16+1,1))</f>
        <v>393.41577134252316</v>
      </c>
      <c r="FK19" s="59">
        <f t="shared" si="48"/>
        <v>255.54039659391475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24</v>
      </c>
      <c r="FZ19" s="12">
        <f>IF('Données projet'!$A$244&gt;35,FZ18+FY19-GH18,IF(A19&lt;'Données projet'!$A$244,$FW$205^A19,IF(A19='Données projet'!$A$244,'Données projet'!$B$244,FZ18+FY19-GH18)))</f>
        <v>102</v>
      </c>
      <c r="GA19" s="17">
        <f>FZ19*VLOOKUP('Données projet'!$B$17,Paramètres!$A$1:$I$89,3,0)*VLOOKUP('Données projet'!$B$17,Paramètres!$A$1:$I$89,5,0)</f>
        <v>47.735999999999997</v>
      </c>
      <c r="GB19" s="13">
        <f t="shared" si="49"/>
        <v>14.027504361700418</v>
      </c>
      <c r="GC19" s="20">
        <f t="shared" si="25"/>
        <v>107.5714367632949</v>
      </c>
      <c r="GD19" s="59">
        <f t="shared" si="26"/>
        <v>383.79365898551714</v>
      </c>
      <c r="GE19" s="59">
        <f ca="1">AVERAGE(OFFSET($GD$3,0,0,'Données projet'!$E$17+1,1))-AVERAGE(OFFSET($H$3,0,0,'Données projet'!$E$17+1,1))</f>
        <v>488.67934252295686</v>
      </c>
      <c r="GF19" s="59">
        <f t="shared" si="50"/>
        <v>424.50324471331095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22.8</v>
      </c>
      <c r="GU19" s="12">
        <f>IF('Données projet'!$A$270&gt;35,GU18+GT19-HC18,IF(A19&lt;'Données projet'!$A$270,$GR$205^A19,IF(A19='Données projet'!$A$270,'Données projet'!$B$270,GU18+GT19-HC18)))</f>
        <v>64.8</v>
      </c>
      <c r="GV19" s="17">
        <f>GU19*VLOOKUP('Données projet'!$B$18,Paramètres!$A$1:$I$89,3,0)*VLOOKUP('Données projet'!$B$18,Paramètres!$A$1:$I$89,5,0)</f>
        <v>31.168800000000001</v>
      </c>
      <c r="GW19" s="13">
        <f t="shared" si="51"/>
        <v>9.6250529983827189</v>
      </c>
      <c r="GX19" s="20">
        <f t="shared" si="28"/>
        <v>71.049293972183236</v>
      </c>
      <c r="GY19" s="59">
        <f t="shared" si="29"/>
        <v>347.27151619440548</v>
      </c>
      <c r="GZ19" s="59">
        <f ca="1">AVERAGE(OFFSET($GY$3,0,0,'Données projet'!$E$18+1,1))-AVERAGE(OFFSET($H$3,0,0,'Données projet'!$E$18+1,1))</f>
        <v>458.80976193248841</v>
      </c>
      <c r="HA19" s="59">
        <f t="shared" si="52"/>
        <v>396.07405370178759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327.39580549186149</v>
      </c>
      <c r="S20" s="59">
        <f ca="1">AVERAGE(OFFSET($R$3,0,0,'Données projet'!$E$9+1,1))-AVERAGE(OFFSET($H$3,0,0,'Données projet'!$E$9+1,1))</f>
        <v>364.3481978218424</v>
      </c>
      <c r="T20" s="59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8.526315789473685</v>
      </c>
      <c r="AI20" s="13">
        <f>IF('Données projet'!$A$62&gt;35,AI19+AH20-AQ19,IF(A20&lt;'Données projet'!$A$62,$AF$205^A20,IF(A20='Données projet'!$A$62,'Données projet'!$B$62,AI19+AH20-AQ19)))</f>
        <v>94.827540520682575</v>
      </c>
      <c r="AJ20" s="13">
        <f>AI20*VLOOKUP('Données projet'!$B$10,Paramètres!$A$1:$I$89,3,0)*VLOOKUP('Données projet'!$B$10,Paramètres!$A$1:$I$89,5,0)</f>
        <v>53.008595151061563</v>
      </c>
      <c r="AK20" s="13">
        <f t="shared" si="35"/>
        <v>15.388080542084102</v>
      </c>
      <c r="AL20" s="20">
        <f t="shared" si="4"/>
        <v>119.12421016556203</v>
      </c>
      <c r="AM20" s="59">
        <f t="shared" si="5"/>
        <v>396.56865461000649</v>
      </c>
      <c r="AN20" s="59">
        <f ca="1">AVERAGE(OFFSET($AM$3,0,0,'Données projet'!$E$10+1,1))-AVERAGE(OFFSET($H$3,0,0,'Données projet'!$E$10+1,1))</f>
        <v>443.34220761968419</v>
      </c>
      <c r="AO20" s="59">
        <f t="shared" si="36"/>
        <v>546.58234447298014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1.6</v>
      </c>
      <c r="BD20" s="12">
        <f>IF('Données projet'!$A$88&gt;35,BD19+BC20-BL19,IF(A20&lt;'Données projet'!$A$88,$BA$205^A20,IF(A20='Données projet'!$A$88,'Données projet'!$B$88,BD19+BC20-BL19)))</f>
        <v>19.027313840043519</v>
      </c>
      <c r="BE20" s="13">
        <f>BD20*VLOOKUP('Données projet'!$B$11,Paramètres!$A$1:$I$89,3,0)*VLOOKUP('Données projet'!$B$11,Paramètres!$A$1:$I$89,5,0)</f>
        <v>16.325435274757343</v>
      </c>
      <c r="BF20" s="13">
        <f t="shared" si="37"/>
        <v>5.4354984361731269</v>
      </c>
      <c r="BG20" s="20">
        <f t="shared" si="7"/>
        <v>37.90029287987057</v>
      </c>
      <c r="BH20" s="59">
        <f t="shared" si="8"/>
        <v>315.34473732431502</v>
      </c>
      <c r="BI20" s="59">
        <f ca="1">AVERAGE(OFFSET($BH$3,0,0,'Données projet'!$E$11+1,1))-AVERAGE(OFFSET($H$3,0,0,'Données projet'!$E$11+1,1))</f>
        <v>447.15627913956871</v>
      </c>
      <c r="BJ20" s="59">
        <f t="shared" si="38"/>
        <v>256.77417912163997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11.4</v>
      </c>
      <c r="BY20" s="12">
        <f>IF('Données projet'!$A$114&gt;35,BY19+BX20-CG19,IF(A20&lt;'Données projet'!$A$114,$BV$205^A20,IF(A20='Données projet'!$A$114,'Données projet'!$B$114,BY19+BX20-CG19)))</f>
        <v>123.80000000000001</v>
      </c>
      <c r="BZ20" s="13">
        <f>BY20*VLOOKUP('Données projet'!$B$12,Paramètres!$A$1:$I$89,3,0)*VLOOKUP('Données projet'!$B$12,Paramètres!$A$1:$I$89,5,0)</f>
        <v>117.80808</v>
      </c>
      <c r="CA20" s="13">
        <f t="shared" si="39"/>
        <v>31.163222740883366</v>
      </c>
      <c r="CB20" s="20">
        <f t="shared" si="10"/>
        <v>259.4583522737052</v>
      </c>
      <c r="CC20" s="59">
        <f t="shared" si="11"/>
        <v>536.9027967181496</v>
      </c>
      <c r="CD20" s="59">
        <f ca="1">AVERAGE(OFFSET($CC$3,0,0,'Données projet'!$E$12+1,1))-AVERAGE(OFFSET($H$3,0,0,'Données projet'!$E$12+1,1))</f>
        <v>448.94764480536713</v>
      </c>
      <c r="CE20" s="59">
        <f t="shared" si="40"/>
        <v>469.26760321719695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>
        <f>VLOOKUP(A20,'Données projet'!$A$139:$I$159,2,0)</f>
        <v>176</v>
      </c>
      <c r="CR20" s="12">
        <f>VLOOKUP(A20,'Données projet'!$A$139:$I$159,9,0)</f>
        <v>23</v>
      </c>
      <c r="CS20" s="12">
        <f t="array" ref="CS20">INDEX(CR:CR,MIN(IF(ISNUMBER(CR20:CR216),ROW(CR20:CR216),"")))</f>
        <v>23</v>
      </c>
      <c r="CT20" s="12">
        <f>IF('Données projet'!$A$140&gt;35,CT19+CS20-DB19,IF(A20&lt;'Données projet'!$A$140,$CQ$205^A20,IF(A20='Données projet'!$A$140,'Données projet'!$B$140,CT19+CS20-DB19)))</f>
        <v>176</v>
      </c>
      <c r="CU20" s="17">
        <f>CT20*VLOOKUP('Données projet'!$B$13,Paramètres!$A$1:$I$89,3,0)*VLOOKUP('Données projet'!$B$13,Paramètres!$A$1:$I$89,5,0)</f>
        <v>105.24800000000002</v>
      </c>
      <c r="CV20" s="13">
        <f t="shared" si="41"/>
        <v>28.208515027560551</v>
      </c>
      <c r="CW20" s="20">
        <f t="shared" si="13"/>
        <v>232.43676367300131</v>
      </c>
      <c r="CX20" s="59">
        <f t="shared" si="14"/>
        <v>509.88120811744579</v>
      </c>
      <c r="CY20" s="59">
        <f ca="1">AVERAGE(OFFSET($CX$3,0,0,'Données projet'!$E$13+1,1))-AVERAGE(OFFSET($H$3,0,0,'Données projet'!$E$13+1,1))</f>
        <v>187.80389738728508</v>
      </c>
      <c r="CZ20" s="59">
        <f t="shared" si="42"/>
        <v>439.28159165815265</v>
      </c>
      <c r="DA20" s="15">
        <f>IF(ISNA(VLOOKUP(A20,'Données projet'!$A$139:$I$159,3,0)),0,VLOOKUP(A20,'Données projet'!$A$139:$I$159,3,0))</f>
        <v>2</v>
      </c>
      <c r="DB20" s="15">
        <f>IF(ISNA(VLOOKUP(A20,'Données projet'!$A$139:$I$159,4,0)),0,VLOOKUP(A20,'Données projet'!$A$139:$I$159,4,0))</f>
        <v>43</v>
      </c>
      <c r="DC20" s="16">
        <f>IF(ISNA(VLOOKUP(A20,'Données projet'!$A$139:$I$159,5,0)),0%,VLOOKUP(A20,'Données projet'!$A$139:$I$159,5,0)*VLOOKUP('Données projet'!$B$13,Paramètres!$A$1:$I$89,7,0))</f>
        <v>0.1125</v>
      </c>
      <c r="DD20" s="16">
        <f>IF(ISNA(VLOOKUP(A20,'Données projet'!$A$139:$I$159,6,0)),0%,VLOOKUP(A20,'Données projet'!$A$139:$I$159,6,0)*VLOOKUP('Données projet'!$B$13,Paramètres!$A$1:$I$89,7,0))</f>
        <v>0.33750000000000002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3.837518820806888</v>
      </c>
      <c r="DG20" s="21">
        <f>EXP(-LN(2)/25)*DG19+(1-EXP(-LN(2)/25))/(LN(2)/25)*Calculateur!DB20*Calculateur!DD20*VLOOKUP('Données projet'!$B$13,Paramètres!$A$1:$I$89,3,0)*0.475*44/12</f>
        <v>11.467227141000196</v>
      </c>
      <c r="DH20" s="21">
        <f>EXP(-LN(2)/2)*DH19+(1-EXP(-LN(2)/2))/(LN(2)/2)*DB20*DE20*VLOOKUP('Données projet'!$B$13,Paramètres!$A$1:$I$89,3,0)*0.475*44/12</f>
        <v>4.0694962355400728</v>
      </c>
      <c r="DI20" s="22">
        <f t="shared" si="15"/>
        <v>19.374242197347158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13.666666666666666</v>
      </c>
      <c r="DO20" s="12">
        <f>IF('Données projet'!$A$166&gt;35,DO19+DN20-DW19,IF(A20&lt;'Données projet'!$A$166,$DL$205^A20,IF(A20='Données projet'!$A$166,'Données projet'!$B$166,DO19+DN20-DW19)))</f>
        <v>211.33333333333337</v>
      </c>
      <c r="DP20" s="17">
        <f>DO20*VLOOKUP('Données projet'!$B$14,Paramètres!$A$1:$I$89,3,0)*VLOOKUP('Données projet'!$B$14,Paramètres!$A$1:$I$89,5,0)</f>
        <v>154.94960000000003</v>
      </c>
      <c r="DQ20" s="13">
        <f t="shared" si="43"/>
        <v>39.701265909428457</v>
      </c>
      <c r="DR20" s="20">
        <f t="shared" si="16"/>
        <v>339.0169247922546</v>
      </c>
      <c r="DS20" s="59">
        <f t="shared" si="17"/>
        <v>616.46136923669906</v>
      </c>
      <c r="DT20" s="59">
        <f ca="1">AVERAGE(OFFSET($DS$3,0,0,'Données projet'!$E$14+1,1))-AVERAGE(OFFSET($H$3,0,0,'Données projet'!$E$14+1,1))</f>
        <v>239.25212250019609</v>
      </c>
      <c r="DU20" s="59">
        <f t="shared" si="44"/>
        <v>213.58492101729695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21.4</v>
      </c>
      <c r="EJ20" s="12">
        <f>IF('Données projet'!$A$192&gt;35,EJ19+EI20-ER19,IF(A20&lt;'Données projet'!$A$192,$EG$205^A20,IF(A20='Données projet'!$A$192,'Données projet'!$B$192,EJ19+EI20-ER19)))</f>
        <v>138.80000000000001</v>
      </c>
      <c r="EK20" s="17">
        <f>EJ20*VLOOKUP('Données projet'!$B$15,Paramètres!$A$1:$I$89,3,0)*VLOOKUP('Données projet'!$B$15,Paramètres!$A$1:$I$89,5,0)</f>
        <v>83.002400000000009</v>
      </c>
      <c r="EL20" s="13">
        <f t="shared" si="45"/>
        <v>22.869705036637765</v>
      </c>
      <c r="EM20" s="20">
        <f t="shared" si="19"/>
        <v>184.39391627214411</v>
      </c>
      <c r="EN20" s="59">
        <f t="shared" si="20"/>
        <v>461.83836071658857</v>
      </c>
      <c r="EO20" s="59">
        <f ca="1">AVERAGE(OFFSET($EN$3,0,0,'Données projet'!$E$15+1,1))-AVERAGE(OFFSET($H$3,0,0,'Données projet'!$E$15+1,1))</f>
        <v>504.81063008331739</v>
      </c>
      <c r="EP20" s="59">
        <f t="shared" si="46"/>
        <v>441.82647565372287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4.7395243974457877</v>
      </c>
      <c r="EY20" s="22">
        <f t="shared" si="21"/>
        <v>4.7395243974457877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10</v>
      </c>
      <c r="FE20" s="12">
        <f>IF('Données projet'!$A$218&gt;35,FE19+FD20-FM19,IF(A20&lt;'Données projet'!$A$218,$FB$205^A20,IF(A20='Données projet'!$A$218,'Données projet'!$B$218,FE19+FD20-FM19)))</f>
        <v>66</v>
      </c>
      <c r="FF20" s="17">
        <f>FE20*VLOOKUP('Données projet'!$B$16,Paramètres!$A$1:$I$89,3,0)*VLOOKUP('Données projet'!$B$16,Paramètres!$A$1:$I$89,5,0)</f>
        <v>37.752000000000002</v>
      </c>
      <c r="FG20" s="13">
        <f t="shared" si="47"/>
        <v>11.400823371119653</v>
      </c>
      <c r="FH20" s="20">
        <f t="shared" si="22"/>
        <v>85.607834038033388</v>
      </c>
      <c r="FI20" s="59">
        <f t="shared" si="23"/>
        <v>363.05227848247785</v>
      </c>
      <c r="FJ20" s="59">
        <f ca="1">AVERAGE(OFFSET($FI$3,0,0,'Données projet'!$E$16+1,1))-AVERAGE(OFFSET($H$3,0,0,'Données projet'!$E$16+1,1))</f>
        <v>393.41577134252316</v>
      </c>
      <c r="FK20" s="59">
        <f t="shared" si="48"/>
        <v>255.54039659391475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24</v>
      </c>
      <c r="FZ20" s="12">
        <f>IF('Données projet'!$A$244&gt;35,FZ19+FY20-GH19,IF(A20&lt;'Données projet'!$A$244,$FW$205^A20,IF(A20='Données projet'!$A$244,'Données projet'!$B$244,FZ19+FY20-GH19)))</f>
        <v>126</v>
      </c>
      <c r="GA20" s="17">
        <f>FZ20*VLOOKUP('Données projet'!$B$17,Paramètres!$A$1:$I$89,3,0)*VLOOKUP('Données projet'!$B$17,Paramètres!$A$1:$I$89,5,0)</f>
        <v>58.968000000000004</v>
      </c>
      <c r="GB20" s="13">
        <f t="shared" si="49"/>
        <v>16.90708415297112</v>
      </c>
      <c r="GC20" s="20">
        <f t="shared" si="25"/>
        <v>132.14910489975804</v>
      </c>
      <c r="GD20" s="59">
        <f t="shared" si="26"/>
        <v>409.59354934420253</v>
      </c>
      <c r="GE20" s="59">
        <f ca="1">AVERAGE(OFFSET($GD$3,0,0,'Données projet'!$E$17+1,1))-AVERAGE(OFFSET($H$3,0,0,'Données projet'!$E$17+1,1))</f>
        <v>488.67934252295686</v>
      </c>
      <c r="GF20" s="59">
        <f t="shared" si="50"/>
        <v>424.50324471331095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22.8</v>
      </c>
      <c r="GU20" s="12">
        <f>IF('Données projet'!$A$270&gt;35,GU19+GT20-HC19,IF(A20&lt;'Données projet'!$A$270,$GR$205^A20,IF(A20='Données projet'!$A$270,'Données projet'!$B$270,GU19+GT20-HC19)))</f>
        <v>87.6</v>
      </c>
      <c r="GV20" s="17">
        <f>GU20*VLOOKUP('Données projet'!$B$18,Paramètres!$A$1:$I$89,3,0)*VLOOKUP('Données projet'!$B$18,Paramètres!$A$1:$I$89,5,0)</f>
        <v>42.135600000000004</v>
      </c>
      <c r="GW20" s="13">
        <f t="shared" si="51"/>
        <v>12.562963053733792</v>
      </c>
      <c r="GX20" s="20">
        <f t="shared" si="28"/>
        <v>95.266663985253032</v>
      </c>
      <c r="GY20" s="59">
        <f t="shared" si="29"/>
        <v>372.7111084296975</v>
      </c>
      <c r="GZ20" s="59">
        <f ca="1">AVERAGE(OFFSET($GY$3,0,0,'Données projet'!$E$18+1,1))-AVERAGE(OFFSET($H$3,0,0,'Données projet'!$E$18+1,1))</f>
        <v>458.80976193248841</v>
      </c>
      <c r="HA20" s="59">
        <f t="shared" si="52"/>
        <v>396.07405370178759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338.56668739624723</v>
      </c>
      <c r="S21" s="59">
        <f ca="1">AVERAGE(OFFSET($R$3,0,0,'Données projet'!$E$9+1,1))-AVERAGE(OFFSET($H$3,0,0,'Données projet'!$E$9+1,1))</f>
        <v>364.3481978218424</v>
      </c>
      <c r="T21" s="59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8.526315789473685</v>
      </c>
      <c r="AI21" s="13">
        <f>IF('Données projet'!$A$62&gt;35,AI20+AH21-AQ20,IF(A21&lt;'Données projet'!$A$62,$AF$205^A21,IF(A21='Données projet'!$A$62,'Données projet'!$B$62,AI20+AH21-AQ20)))</f>
        <v>123.94378388749713</v>
      </c>
      <c r="AJ21" s="13">
        <f>AI21*VLOOKUP('Données projet'!$B$10,Paramètres!$A$1:$I$89,3,0)*VLOOKUP('Données projet'!$B$10,Paramètres!$A$1:$I$89,5,0)</f>
        <v>69.284575193110896</v>
      </c>
      <c r="AK21" s="13">
        <f t="shared" si="35"/>
        <v>19.495686293334202</v>
      </c>
      <c r="AL21" s="20">
        <f t="shared" si="4"/>
        <v>154.62562208889187</v>
      </c>
      <c r="AM21" s="59">
        <f t="shared" si="5"/>
        <v>433.29228875555856</v>
      </c>
      <c r="AN21" s="59">
        <f ca="1">AVERAGE(OFFSET($AM$3,0,0,'Données projet'!$E$10+1,1))-AVERAGE(OFFSET($H$3,0,0,'Données projet'!$E$10+1,1))</f>
        <v>443.34220761968419</v>
      </c>
      <c r="AO21" s="59">
        <f t="shared" si="36"/>
        <v>546.58234447298014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1.6</v>
      </c>
      <c r="BD21" s="12">
        <f>IF('Données projet'!$A$88&gt;35,BD20+BC21-BL20,IF(A21&lt;'Données projet'!$A$88,$BA$205^A21,IF(A21='Données projet'!$A$88,'Données projet'!$B$88,BD20+BC21-BL20)))</f>
        <v>22.627416997969497</v>
      </c>
      <c r="BE21" s="13">
        <f>BD21*VLOOKUP('Données projet'!$B$11,Paramètres!$A$1:$I$89,3,0)*VLOOKUP('Données projet'!$B$11,Paramètres!$A$1:$I$89,5,0)</f>
        <v>19.414323784257832</v>
      </c>
      <c r="BF21" s="13">
        <f t="shared" si="37"/>
        <v>6.3348582456241713</v>
      </c>
      <c r="BG21" s="20">
        <f t="shared" si="7"/>
        <v>44.846492035377821</v>
      </c>
      <c r="BH21" s="59">
        <f t="shared" si="8"/>
        <v>323.51315870204451</v>
      </c>
      <c r="BI21" s="59">
        <f ca="1">AVERAGE(OFFSET($BH$3,0,0,'Données projet'!$E$11+1,1))-AVERAGE(OFFSET($H$3,0,0,'Données projet'!$E$11+1,1))</f>
        <v>447.15627913956871</v>
      </c>
      <c r="BJ21" s="59">
        <f t="shared" si="38"/>
        <v>256.77417912163997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11.4</v>
      </c>
      <c r="BY21" s="12">
        <f>IF('Données projet'!$A$114&gt;35,BY20+BX21-CG20,IF(A21&lt;'Données projet'!$A$114,$BV$205^A21,IF(A21='Données projet'!$A$114,'Données projet'!$B$114,BY20+BX21-CG20)))</f>
        <v>135.20000000000002</v>
      </c>
      <c r="BZ21" s="13">
        <f>BY21*VLOOKUP('Données projet'!$B$12,Paramètres!$A$1:$I$89,3,0)*VLOOKUP('Données projet'!$B$12,Paramètres!$A$1:$I$89,5,0)</f>
        <v>128.65632000000002</v>
      </c>
      <c r="CA21" s="13">
        <f t="shared" si="39"/>
        <v>33.685686839545582</v>
      </c>
      <c r="CB21" s="20">
        <f t="shared" si="10"/>
        <v>282.74566191220862</v>
      </c>
      <c r="CC21" s="59">
        <f t="shared" si="11"/>
        <v>561.4123285788753</v>
      </c>
      <c r="CD21" s="59">
        <f ca="1">AVERAGE(OFFSET($CC$3,0,0,'Données projet'!$E$12+1,1))-AVERAGE(OFFSET($H$3,0,0,'Données projet'!$E$12+1,1))</f>
        <v>448.94764480536713</v>
      </c>
      <c r="CE21" s="59">
        <f t="shared" si="40"/>
        <v>469.26760321719695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>
        <f>VLOOKUP(A21,'Données projet'!$A$139:$I$159,2,0)</f>
        <v>151</v>
      </c>
      <c r="CR21" s="12">
        <f>VLOOKUP(A21,'Données projet'!$A$139:$I$159,9,0)</f>
        <v>18</v>
      </c>
      <c r="CS21" s="12">
        <f t="array" ref="CS21">INDEX(CR:CR,MIN(IF(ISNUMBER(CR21:CR217),ROW(CR21:CR217),"")))</f>
        <v>18</v>
      </c>
      <c r="CT21" s="12">
        <f>IF('Données projet'!$A$140&gt;35,CT20+CS21-DB20,IF(A21&lt;'Données projet'!$A$140,$CQ$205^A21,IF(A21='Données projet'!$A$140,'Données projet'!$B$140,CT20+CS21-DB20)))</f>
        <v>151</v>
      </c>
      <c r="CU21" s="17">
        <f>CT21*VLOOKUP('Données projet'!$B$13,Paramètres!$A$1:$I$89,3,0)*VLOOKUP('Données projet'!$B$13,Paramètres!$A$1:$I$89,5,0)</f>
        <v>90.298000000000016</v>
      </c>
      <c r="CV21" s="13">
        <f t="shared" si="41"/>
        <v>24.637081585210524</v>
      </c>
      <c r="CW21" s="20">
        <f t="shared" si="13"/>
        <v>200.17860042757502</v>
      </c>
      <c r="CX21" s="59">
        <f t="shared" si="14"/>
        <v>478.84526709424171</v>
      </c>
      <c r="CY21" s="59">
        <f ca="1">AVERAGE(OFFSET($CX$3,0,0,'Données projet'!$E$13+1,1))-AVERAGE(OFFSET($H$3,0,0,'Données projet'!$E$13+1,1))</f>
        <v>187.80389738728508</v>
      </c>
      <c r="CZ21" s="59">
        <f t="shared" si="42"/>
        <v>439.28159165815265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3.7622674173862252</v>
      </c>
      <c r="DG21" s="21">
        <f>EXP(-LN(2)/25)*DG20+(1-EXP(-LN(2)/25))/(LN(2)/25)*Calculateur!DB21*Calculateur!DD21*VLOOKUP('Données projet'!$B$13,Paramètres!$A$1:$I$89,3,0)*0.475*44/12</f>
        <v>11.153655211794279</v>
      </c>
      <c r="DH21" s="21">
        <f>EXP(-LN(2)/2)*DH20+(1-EXP(-LN(2)/2))/(LN(2)/2)*DB21*DE21*VLOOKUP('Données projet'!$B$13,Paramètres!$A$1:$I$89,3,0)*0.475*44/12</f>
        <v>2.8775683841635131</v>
      </c>
      <c r="DI21" s="22">
        <f t="shared" si="15"/>
        <v>17.793491013344017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>
        <f>VLOOKUP(A21,'Données projet'!$A$165:$I$185,2,0)</f>
        <v>225</v>
      </c>
      <c r="DM21" s="12">
        <f>VLOOKUP(A21,'Données projet'!$A$165:$I$185,9,0)</f>
        <v>13.666666666666666</v>
      </c>
      <c r="DN21" s="12">
        <f t="array" ref="DN21">INDEX(DM:DM,MIN(IF(ISNUMBER(DM21:DM217),ROW(DM21:DM217),"")))</f>
        <v>13.666666666666666</v>
      </c>
      <c r="DO21" s="12">
        <f>IF('Données projet'!$A$166&gt;35,DO20+DN21-DW20,IF(A21&lt;'Données projet'!$A$166,$DL$205^A21,IF(A21='Données projet'!$A$166,'Données projet'!$B$166,DO20+DN21-DW20)))</f>
        <v>225.00000000000003</v>
      </c>
      <c r="DP21" s="17">
        <f>DO21*VLOOKUP('Données projet'!$B$14,Paramètres!$A$1:$I$89,3,0)*VLOOKUP('Données projet'!$B$14,Paramètres!$A$1:$I$89,5,0)</f>
        <v>164.97000000000003</v>
      </c>
      <c r="DQ21" s="13">
        <f t="shared" si="43"/>
        <v>41.961509246867301</v>
      </c>
      <c r="DR21" s="20">
        <f t="shared" si="16"/>
        <v>360.40571193829396</v>
      </c>
      <c r="DS21" s="59">
        <f t="shared" si="17"/>
        <v>639.0723786049607</v>
      </c>
      <c r="DT21" s="59">
        <f ca="1">AVERAGE(OFFSET($DS$3,0,0,'Données projet'!$E$14+1,1))-AVERAGE(OFFSET($H$3,0,0,'Données projet'!$E$14+1,1))</f>
        <v>239.25212250019609</v>
      </c>
      <c r="DU21" s="59">
        <f t="shared" si="44"/>
        <v>213.58492101729695</v>
      </c>
      <c r="DV21" s="15">
        <f>IF(ISNA(VLOOKUP(A21,'Données projet'!$A$165:$I$185,3,0)),0,VLOOKUP(A21,'Données projet'!$A$165:$I$185,3,0))</f>
        <v>1</v>
      </c>
      <c r="DW21" s="15">
        <f>IF(ISNA(VLOOKUP(A21,'Données projet'!$A$165:$I$185,4,0)),0,VLOOKUP(A21,'Données projet'!$A$165:$I$185,4,0))</f>
        <v>94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21.4</v>
      </c>
      <c r="EJ21" s="12">
        <f>IF('Données projet'!$A$192&gt;35,EJ20+EI21-ER20,IF(A21&lt;'Données projet'!$A$192,$EG$205^A21,IF(A21='Données projet'!$A$192,'Données projet'!$B$192,EJ20+EI21-ER20)))</f>
        <v>160.20000000000002</v>
      </c>
      <c r="EK21" s="17">
        <f>EJ21*VLOOKUP('Données projet'!$B$15,Paramètres!$A$1:$I$89,3,0)*VLOOKUP('Données projet'!$B$15,Paramètres!$A$1:$I$89,5,0)</f>
        <v>95.799600000000012</v>
      </c>
      <c r="EL21" s="13">
        <f t="shared" si="45"/>
        <v>25.958824745990441</v>
      </c>
      <c r="EM21" s="20">
        <f t="shared" si="19"/>
        <v>212.06258976593335</v>
      </c>
      <c r="EN21" s="59">
        <f t="shared" si="20"/>
        <v>490.72925643260004</v>
      </c>
      <c r="EO21" s="59">
        <f ca="1">AVERAGE(OFFSET($EN$3,0,0,'Données projet'!$E$15+1,1))-AVERAGE(OFFSET($H$3,0,0,'Données projet'!$E$15+1,1))</f>
        <v>504.81063008331739</v>
      </c>
      <c r="EP21" s="59">
        <f t="shared" si="46"/>
        <v>441.82647565372287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3.3513498410330023</v>
      </c>
      <c r="EY21" s="22">
        <f t="shared" si="21"/>
        <v>3.3513498410330023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10</v>
      </c>
      <c r="FE21" s="12">
        <f>IF('Données projet'!$A$218&gt;35,FE20+FD21-FM20,IF(A21&lt;'Données projet'!$A$218,$FB$205^A21,IF(A21='Données projet'!$A$218,'Données projet'!$B$218,FE20+FD21-FM20)))</f>
        <v>76</v>
      </c>
      <c r="FF21" s="17">
        <f>FE21*VLOOKUP('Données projet'!$B$16,Paramètres!$A$1:$I$89,3,0)*VLOOKUP('Données projet'!$B$16,Paramètres!$A$1:$I$89,5,0)</f>
        <v>43.472000000000001</v>
      </c>
      <c r="FG21" s="13">
        <f t="shared" si="47"/>
        <v>12.914395607689235</v>
      </c>
      <c r="FH21" s="20">
        <f t="shared" si="22"/>
        <v>98.206305683392088</v>
      </c>
      <c r="FI21" s="59">
        <f t="shared" si="23"/>
        <v>376.87297235005877</v>
      </c>
      <c r="FJ21" s="59">
        <f ca="1">AVERAGE(OFFSET($FI$3,0,0,'Données projet'!$E$16+1,1))-AVERAGE(OFFSET($H$3,0,0,'Données projet'!$E$16+1,1))</f>
        <v>393.41577134252316</v>
      </c>
      <c r="FK21" s="59">
        <f t="shared" si="48"/>
        <v>255.54039659391475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24</v>
      </c>
      <c r="FZ21" s="12">
        <f>IF('Données projet'!$A$244&gt;35,FZ20+FY21-GH20,IF(A21&lt;'Données projet'!$A$244,$FW$205^A21,IF(A21='Données projet'!$A$244,'Données projet'!$B$244,FZ20+FY21-GH20)))</f>
        <v>150</v>
      </c>
      <c r="GA21" s="17">
        <f>FZ21*VLOOKUP('Données projet'!$B$17,Paramètres!$A$1:$I$89,3,0)*VLOOKUP('Données projet'!$B$17,Paramètres!$A$1:$I$89,5,0)</f>
        <v>70.2</v>
      </c>
      <c r="GB21" s="13">
        <f t="shared" si="49"/>
        <v>19.723116370112194</v>
      </c>
      <c r="GC21" s="20">
        <f t="shared" si="25"/>
        <v>156.61609434461207</v>
      </c>
      <c r="GD21" s="59">
        <f t="shared" si="26"/>
        <v>435.28276101127875</v>
      </c>
      <c r="GE21" s="59">
        <f ca="1">AVERAGE(OFFSET($GD$3,0,0,'Données projet'!$E$17+1,1))-AVERAGE(OFFSET($H$3,0,0,'Données projet'!$E$17+1,1))</f>
        <v>488.67934252295686</v>
      </c>
      <c r="GF21" s="59">
        <f t="shared" si="50"/>
        <v>424.50324471331095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22.8</v>
      </c>
      <c r="GU21" s="12">
        <f>IF('Données projet'!$A$270&gt;35,GU20+GT21-HC20,IF(A21&lt;'Données projet'!$A$270,$GR$205^A21,IF(A21='Données projet'!$A$270,'Données projet'!$B$270,GU20+GT21-HC20)))</f>
        <v>110.39999999999999</v>
      </c>
      <c r="GV21" s="17">
        <f>GU21*VLOOKUP('Données projet'!$B$18,Paramètres!$A$1:$I$89,3,0)*VLOOKUP('Données projet'!$B$18,Paramètres!$A$1:$I$89,5,0)</f>
        <v>53.102400000000003</v>
      </c>
      <c r="GW21" s="13">
        <f t="shared" si="51"/>
        <v>15.41213936913597</v>
      </c>
      <c r="GX21" s="20">
        <f t="shared" si="28"/>
        <v>119.32948940124516</v>
      </c>
      <c r="GY21" s="59">
        <f t="shared" si="29"/>
        <v>397.99615606791184</v>
      </c>
      <c r="GZ21" s="59">
        <f ca="1">AVERAGE(OFFSET($GY$3,0,0,'Données projet'!$E$18+1,1))-AVERAGE(OFFSET($H$3,0,0,'Données projet'!$E$18+1,1))</f>
        <v>458.80976193248841</v>
      </c>
      <c r="HA21" s="59">
        <f t="shared" si="52"/>
        <v>396.07405370178759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351.72520722798015</v>
      </c>
      <c r="S22" s="59">
        <f ca="1">AVERAGE(OFFSET($R$3,0,0,'Données projet'!$E$9+1,1))-AVERAGE(OFFSET($H$3,0,0,'Données projet'!$E$9+1,1))</f>
        <v>364.3481978218424</v>
      </c>
      <c r="T22" s="59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162</v>
      </c>
      <c r="AG22" s="12">
        <f>VLOOKUP(A22,'Données projet'!$A$61:$I$81,9,0)</f>
        <v>8.526315789473685</v>
      </c>
      <c r="AH22" s="12">
        <f t="array" ref="AH22">INDEX(AG:AG,MIN(IF(ISNUMBER(AG22:AG218),ROW(AG22:AG218),"")))</f>
        <v>8.526315789473685</v>
      </c>
      <c r="AI22" s="13">
        <f>IF('Données projet'!$A$62&gt;35,AI21+AH22-AQ21,IF(A22&lt;'Données projet'!$A$62,$AF$205^A22,IF(A22='Données projet'!$A$62,'Données projet'!$B$62,AI21+AH22-AQ21)))</f>
        <v>162</v>
      </c>
      <c r="AJ22" s="13">
        <f>AI22*VLOOKUP('Données projet'!$B$10,Paramètres!$A$1:$I$89,3,0)*VLOOKUP('Données projet'!$B$10,Paramètres!$A$1:$I$89,5,0)</f>
        <v>90.557999999999993</v>
      </c>
      <c r="AK22" s="13">
        <f t="shared" si="35"/>
        <v>24.699752708509138</v>
      </c>
      <c r="AL22" s="20">
        <f t="shared" si="4"/>
        <v>200.74058596732007</v>
      </c>
      <c r="AM22" s="59">
        <f t="shared" si="5"/>
        <v>480.62947485620896</v>
      </c>
      <c r="AN22" s="59">
        <f ca="1">AVERAGE(OFFSET($AM$3,0,0,'Données projet'!$E$10+1,1))-AVERAGE(OFFSET($H$3,0,0,'Données projet'!$E$10+1,1))</f>
        <v>443.34220761968419</v>
      </c>
      <c r="AO22" s="59">
        <f t="shared" si="36"/>
        <v>546.58234447298014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1.6</v>
      </c>
      <c r="BD22" s="12">
        <f>IF('Données projet'!$A$88&gt;35,BD21+BC22-BL21,IF(A22&lt;'Données projet'!$A$88,$BA$205^A22,IF(A22='Données projet'!$A$88,'Données projet'!$B$88,BD21+BC22-BL21)))</f>
        <v>26.908685288118836</v>
      </c>
      <c r="BE22" s="13">
        <f>BD22*VLOOKUP('Données projet'!$B$11,Paramètres!$A$1:$I$89,3,0)*VLOOKUP('Données projet'!$B$11,Paramètres!$A$1:$I$89,5,0)</f>
        <v>23.087651977205965</v>
      </c>
      <c r="BF22" s="13">
        <f t="shared" si="37"/>
        <v>7.3830264994807839</v>
      </c>
      <c r="BG22" s="20">
        <f t="shared" si="7"/>
        <v>53.069765013562751</v>
      </c>
      <c r="BH22" s="59">
        <f t="shared" si="8"/>
        <v>332.9586539024516</v>
      </c>
      <c r="BI22" s="59">
        <f ca="1">AVERAGE(OFFSET($BH$3,0,0,'Données projet'!$E$11+1,1))-AVERAGE(OFFSET($H$3,0,0,'Données projet'!$E$11+1,1))</f>
        <v>447.15627913956871</v>
      </c>
      <c r="BJ22" s="59">
        <f t="shared" si="38"/>
        <v>256.77417912163997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11.4</v>
      </c>
      <c r="BY22" s="12">
        <f>IF('Données projet'!$A$114&gt;35,BY21+BX22-CG21,IF(A22&lt;'Données projet'!$A$114,$BV$205^A22,IF(A22='Données projet'!$A$114,'Données projet'!$B$114,BY21+BX22-CG21)))</f>
        <v>146.60000000000002</v>
      </c>
      <c r="BZ22" s="13">
        <f>BY22*VLOOKUP('Données projet'!$B$12,Paramètres!$A$1:$I$89,3,0)*VLOOKUP('Données projet'!$B$12,Paramètres!$A$1:$I$89,5,0)</f>
        <v>139.50456000000003</v>
      </c>
      <c r="CA22" s="13">
        <f t="shared" si="39"/>
        <v>36.183483741074348</v>
      </c>
      <c r="CB22" s="20">
        <f t="shared" si="10"/>
        <v>305.99000951570451</v>
      </c>
      <c r="CC22" s="59">
        <f t="shared" si="11"/>
        <v>585.87889840459343</v>
      </c>
      <c r="CD22" s="59">
        <f ca="1">AVERAGE(OFFSET($CC$3,0,0,'Données projet'!$E$12+1,1))-AVERAGE(OFFSET($H$3,0,0,'Données projet'!$E$12+1,1))</f>
        <v>448.94764480536713</v>
      </c>
      <c r="CE22" s="59">
        <f t="shared" si="40"/>
        <v>469.26760321719695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>
        <f>VLOOKUP(A22,'Données projet'!$A$139:$I$159,2,0)</f>
        <v>171</v>
      </c>
      <c r="CR22" s="12">
        <f>VLOOKUP(A22,'Données projet'!$A$139:$I$159,9,0)</f>
        <v>20</v>
      </c>
      <c r="CS22" s="12">
        <f t="array" ref="CS22">INDEX(CR:CR,MIN(IF(ISNUMBER(CR22:CR218),ROW(CR22:CR218),"")))</f>
        <v>20</v>
      </c>
      <c r="CT22" s="12">
        <f>IF('Données projet'!$A$140&gt;35,CT21+CS22-DB21,IF(A22&lt;'Données projet'!$A$140,$CQ$205^A22,IF(A22='Données projet'!$A$140,'Données projet'!$B$140,CT21+CS22-DB21)))</f>
        <v>171</v>
      </c>
      <c r="CU22" s="17">
        <f>CT22*VLOOKUP('Données projet'!$B$13,Paramètres!$A$1:$I$89,3,0)*VLOOKUP('Données projet'!$B$13,Paramètres!$A$1:$I$89,5,0)</f>
        <v>102.258</v>
      </c>
      <c r="CV22" s="13">
        <f t="shared" si="41"/>
        <v>27.499233847895859</v>
      </c>
      <c r="CW22" s="20">
        <f t="shared" si="13"/>
        <v>225.99384895175194</v>
      </c>
      <c r="CX22" s="59">
        <f t="shared" si="14"/>
        <v>505.8827378406408</v>
      </c>
      <c r="CY22" s="59">
        <f ca="1">AVERAGE(OFFSET($CX$3,0,0,'Données projet'!$E$13+1,1))-AVERAGE(OFFSET($H$3,0,0,'Données projet'!$E$13+1,1))</f>
        <v>187.80389738728508</v>
      </c>
      <c r="CZ22" s="59">
        <f t="shared" si="42"/>
        <v>439.28159165815265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3.6884916480878176</v>
      </c>
      <c r="DG22" s="21">
        <f>EXP(-LN(2)/25)*DG21+(1-EXP(-LN(2)/25))/(LN(2)/25)*Calculateur!DB22*Calculateur!DD22*VLOOKUP('Données projet'!$B$13,Paramètres!$A$1:$I$89,3,0)*0.475*44/12</f>
        <v>10.848657923482529</v>
      </c>
      <c r="DH22" s="21">
        <f>EXP(-LN(2)/2)*DH21+(1-EXP(-LN(2)/2))/(LN(2)/2)*DB22*DE22*VLOOKUP('Données projet'!$B$13,Paramètres!$A$1:$I$89,3,0)*0.475*44/12</f>
        <v>2.0347481177700364</v>
      </c>
      <c r="DI22" s="22">
        <f t="shared" si="15"/>
        <v>16.571897689340382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</v>
      </c>
      <c r="DO22" s="12">
        <f>IF('Données projet'!$A$166&gt;35,DO21+DN22-DW21,IF(A22&lt;'Données projet'!$A$166,$DL$205^A22,IF(A22='Données projet'!$A$166,'Données projet'!$B$166,DO21+DN22-DW21)))</f>
        <v>136.00000000000003</v>
      </c>
      <c r="DP22" s="17">
        <f>DO22*VLOOKUP('Données projet'!$B$14,Paramètres!$A$1:$I$89,3,0)*VLOOKUP('Données projet'!$B$14,Paramètres!$A$1:$I$89,5,0)</f>
        <v>99.71520000000001</v>
      </c>
      <c r="DQ22" s="13">
        <f t="shared" si="43"/>
        <v>26.894136617382181</v>
      </c>
      <c r="DR22" s="20">
        <f t="shared" si="16"/>
        <v>220.51126127527394</v>
      </c>
      <c r="DS22" s="59">
        <f t="shared" si="17"/>
        <v>500.40015016416282</v>
      </c>
      <c r="DT22" s="59">
        <f ca="1">AVERAGE(OFFSET($DS$3,0,0,'Données projet'!$E$14+1,1))-AVERAGE(OFFSET($H$3,0,0,'Données projet'!$E$14+1,1))</f>
        <v>239.25212250019609</v>
      </c>
      <c r="DU22" s="59">
        <f t="shared" si="44"/>
        <v>213.58492101729695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21.4</v>
      </c>
      <c r="EJ22" s="12">
        <f>IF('Données projet'!$A$192&gt;35,EJ21+EI22-ER21,IF(A22&lt;'Données projet'!$A$192,$EG$205^A22,IF(A22='Données projet'!$A$192,'Données projet'!$B$192,EJ21+EI22-ER21)))</f>
        <v>181.60000000000002</v>
      </c>
      <c r="EK22" s="17">
        <f>EJ22*VLOOKUP('Données projet'!$B$15,Paramètres!$A$1:$I$89,3,0)*VLOOKUP('Données projet'!$B$15,Paramètres!$A$1:$I$89,5,0)</f>
        <v>108.59680000000003</v>
      </c>
      <c r="EL22" s="13">
        <f t="shared" si="45"/>
        <v>29.000133087134955</v>
      </c>
      <c r="EM22" s="20">
        <f t="shared" si="19"/>
        <v>239.64799179342674</v>
      </c>
      <c r="EN22" s="59">
        <f t="shared" si="20"/>
        <v>519.53688068231554</v>
      </c>
      <c r="EO22" s="59">
        <f ca="1">AVERAGE(OFFSET($EN$3,0,0,'Données projet'!$E$15+1,1))-AVERAGE(OFFSET($H$3,0,0,'Données projet'!$E$15+1,1))</f>
        <v>504.81063008331739</v>
      </c>
      <c r="EP22" s="59">
        <f t="shared" si="46"/>
        <v>441.82647565372287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2.3697621987228943</v>
      </c>
      <c r="EY22" s="22">
        <f t="shared" si="21"/>
        <v>2.3697621987228943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10</v>
      </c>
      <c r="FE22" s="12">
        <f>IF('Données projet'!$A$218&gt;35,FE21+FD22-FM21,IF(A22&lt;'Données projet'!$A$218,$FB$205^A22,IF(A22='Données projet'!$A$218,'Données projet'!$B$218,FE21+FD22-FM21)))</f>
        <v>86</v>
      </c>
      <c r="FF22" s="17">
        <f>FE22*VLOOKUP('Données projet'!$B$16,Paramètres!$A$1:$I$89,3,0)*VLOOKUP('Données projet'!$B$16,Paramètres!$A$1:$I$89,5,0)</f>
        <v>49.192000000000007</v>
      </c>
      <c r="FG22" s="13">
        <f t="shared" si="47"/>
        <v>14.404892693343825</v>
      </c>
      <c r="FH22" s="20">
        <f t="shared" si="22"/>
        <v>110.76458810757384</v>
      </c>
      <c r="FI22" s="59">
        <f t="shared" si="23"/>
        <v>390.6534769964627</v>
      </c>
      <c r="FJ22" s="59">
        <f ca="1">AVERAGE(OFFSET($FI$3,0,0,'Données projet'!$E$16+1,1))-AVERAGE(OFFSET($H$3,0,0,'Données projet'!$E$16+1,1))</f>
        <v>393.41577134252316</v>
      </c>
      <c r="FK22" s="59">
        <f t="shared" si="48"/>
        <v>255.54039659391475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24</v>
      </c>
      <c r="FZ22" s="12">
        <f>IF('Données projet'!$A$244&gt;35,FZ21+FY22-GH21,IF(A22&lt;'Données projet'!$A$244,$FW$205^A22,IF(A22='Données projet'!$A$244,'Données projet'!$B$244,FZ21+FY22-GH21)))</f>
        <v>174</v>
      </c>
      <c r="GA22" s="17">
        <f>FZ22*VLOOKUP('Données projet'!$B$17,Paramètres!$A$1:$I$89,3,0)*VLOOKUP('Données projet'!$B$17,Paramètres!$A$1:$I$89,5,0)</f>
        <v>81.432000000000002</v>
      </c>
      <c r="GB22" s="13">
        <f t="shared" si="49"/>
        <v>22.486953220240881</v>
      </c>
      <c r="GC22" s="20">
        <f t="shared" si="25"/>
        <v>180.99217685858619</v>
      </c>
      <c r="GD22" s="59">
        <f t="shared" si="26"/>
        <v>460.88106574747508</v>
      </c>
      <c r="GE22" s="59">
        <f ca="1">AVERAGE(OFFSET($GD$3,0,0,'Données projet'!$E$17+1,1))-AVERAGE(OFFSET($H$3,0,0,'Données projet'!$E$17+1,1))</f>
        <v>488.67934252295686</v>
      </c>
      <c r="GF22" s="59">
        <f t="shared" si="50"/>
        <v>424.50324471331095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22.8</v>
      </c>
      <c r="GU22" s="12">
        <f>IF('Données projet'!$A$270&gt;35,GU21+GT22-HC21,IF(A22&lt;'Données projet'!$A$270,$GR$205^A22,IF(A22='Données projet'!$A$270,'Données projet'!$B$270,GU21+GT22-HC21)))</f>
        <v>133.19999999999999</v>
      </c>
      <c r="GV22" s="17">
        <f>GU22*VLOOKUP('Données projet'!$B$18,Paramètres!$A$1:$I$89,3,0)*VLOOKUP('Données projet'!$B$18,Paramètres!$A$1:$I$89,5,0)</f>
        <v>64.069199999999995</v>
      </c>
      <c r="GW22" s="13">
        <f t="shared" si="51"/>
        <v>18.193128517714101</v>
      </c>
      <c r="GX22" s="20">
        <f t="shared" si="28"/>
        <v>143.27355550168537</v>
      </c>
      <c r="GY22" s="59">
        <f t="shared" si="29"/>
        <v>423.16244439057425</v>
      </c>
      <c r="GZ22" s="59">
        <f ca="1">AVERAGE(OFFSET($GY$3,0,0,'Données projet'!$E$18+1,1))-AVERAGE(OFFSET($H$3,0,0,'Données projet'!$E$18+1,1))</f>
        <v>458.80976193248841</v>
      </c>
      <c r="HA22" s="59">
        <f t="shared" si="52"/>
        <v>396.07405370178759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367.26962158162712</v>
      </c>
      <c r="S23" s="59">
        <f ca="1">AVERAGE(OFFSET($R$3,0,0,'Données projet'!$E$9+1,1))-AVERAGE(OFFSET($H$3,0,0,'Données projet'!$E$9+1,1))</f>
        <v>364.3481978218424</v>
      </c>
      <c r="T23" s="59">
        <f t="shared" si="34"/>
        <v>231.36959598460686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28.833333333333332</v>
      </c>
      <c r="AI23" s="13">
        <f>IF('Données projet'!$A$62&gt;35,AI22+AH23-AQ22,IF(A23&lt;'Données projet'!$A$62,$AF$205^A23,IF(A23='Données projet'!$A$62,'Données projet'!$B$62,AI22+AH23-AQ22)))</f>
        <v>190.83333333333334</v>
      </c>
      <c r="AJ23" s="13">
        <f>AI23*VLOOKUP('Données projet'!$B$10,Paramètres!$A$1:$I$89,3,0)*VLOOKUP('Données projet'!$B$10,Paramètres!$A$1:$I$89,5,0)</f>
        <v>106.67583333333334</v>
      </c>
      <c r="AK23" s="13">
        <f t="shared" si="35"/>
        <v>28.546391754319739</v>
      </c>
      <c r="AL23" s="20">
        <f t="shared" si="4"/>
        <v>235.51204202766243</v>
      </c>
      <c r="AM23" s="59">
        <f t="shared" si="5"/>
        <v>516.62315313877355</v>
      </c>
      <c r="AN23" s="59">
        <f ca="1">AVERAGE(OFFSET($AM$3,0,0,'Données projet'!$E$10+1,1))-AVERAGE(OFFSET($H$3,0,0,'Données projet'!$E$10+1,1))</f>
        <v>443.34220761968419</v>
      </c>
      <c r="AO23" s="59">
        <f t="shared" si="36"/>
        <v>546.58234447298014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32</v>
      </c>
      <c r="BB23" s="12">
        <f>VLOOKUP(A23,'Données projet'!$A$87:$I$107,9,0)</f>
        <v>1.6</v>
      </c>
      <c r="BC23" s="12">
        <f t="array" ref="BC23">INDEX(BB:BB,MIN(IF(ISNUMBER(BB23:BB219),ROW(BB23:BB219),"")))</f>
        <v>1.6</v>
      </c>
      <c r="BD23" s="12">
        <f>IF('Données projet'!$A$88&gt;35,BD22+BC23-BL22,IF(A23&lt;'Données projet'!$A$88,$BA$205^A23,IF(A23='Données projet'!$A$88,'Données projet'!$B$88,BD22+BC23-BL22)))</f>
        <v>32</v>
      </c>
      <c r="BE23" s="13">
        <f>BD23*VLOOKUP('Données projet'!$B$11,Paramètres!$A$1:$I$89,3,0)*VLOOKUP('Données projet'!$B$11,Paramètres!$A$1:$I$89,5,0)</f>
        <v>27.456000000000003</v>
      </c>
      <c r="BF23" s="13">
        <f t="shared" si="37"/>
        <v>8.604625104229898</v>
      </c>
      <c r="BG23" s="20">
        <f t="shared" si="7"/>
        <v>62.805588723200408</v>
      </c>
      <c r="BH23" s="59">
        <f t="shared" si="8"/>
        <v>343.91669983431154</v>
      </c>
      <c r="BI23" s="59">
        <f ca="1">AVERAGE(OFFSET($BH$3,0,0,'Données projet'!$E$11+1,1))-AVERAGE(OFFSET($H$3,0,0,'Données projet'!$E$11+1,1))</f>
        <v>447.15627913956871</v>
      </c>
      <c r="BJ23" s="59">
        <f t="shared" si="38"/>
        <v>256.77417912163997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158</v>
      </c>
      <c r="BW23" s="12">
        <f>VLOOKUP(A23,'Données projet'!$A$113:$I$133,9,0)</f>
        <v>11.4</v>
      </c>
      <c r="BX23" s="12">
        <f t="array" ref="BX23">INDEX(BW:BW,MIN(IF(ISNUMBER(BW23:BW219),ROW(BW23:BW219),"")))</f>
        <v>11.4</v>
      </c>
      <c r="BY23" s="12">
        <f>IF('Données projet'!$A$114&gt;35,BY22+BX23-CG22,IF(A23&lt;'Données projet'!$A$114,$BV$205^A23,IF(A23='Données projet'!$A$114,'Données projet'!$B$114,BY22+BX23-CG22)))</f>
        <v>158.00000000000003</v>
      </c>
      <c r="BZ23" s="13">
        <f>BY23*VLOOKUP('Données projet'!$B$12,Paramètres!$A$1:$I$89,3,0)*VLOOKUP('Données projet'!$B$12,Paramètres!$A$1:$I$89,5,0)</f>
        <v>150.35280000000003</v>
      </c>
      <c r="CA23" s="13">
        <f t="shared" si="39"/>
        <v>38.658749721546236</v>
      </c>
      <c r="CB23" s="20">
        <f t="shared" si="10"/>
        <v>329.1951157650264</v>
      </c>
      <c r="CC23" s="59">
        <f t="shared" si="11"/>
        <v>610.30622687613754</v>
      </c>
      <c r="CD23" s="59">
        <f ca="1">AVERAGE(OFFSET($CC$3,0,0,'Données projet'!$E$12+1,1))-AVERAGE(OFFSET($H$3,0,0,'Données projet'!$E$12+1,1))</f>
        <v>448.94764480536713</v>
      </c>
      <c r="CE23" s="59">
        <f t="shared" si="40"/>
        <v>469.26760321719695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22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192</v>
      </c>
      <c r="CR23" s="12">
        <f>VLOOKUP(A23,'Données projet'!$A$139:$I$159,9,0)</f>
        <v>21</v>
      </c>
      <c r="CS23" s="12">
        <f t="array" ref="CS23">INDEX(CR:CR,MIN(IF(ISNUMBER(CR23:CR219),ROW(CR23:CR219),"")))</f>
        <v>21</v>
      </c>
      <c r="CT23" s="12">
        <f>IF('Données projet'!$A$140&gt;35,CT22+CS23-DB22,IF(A23&lt;'Données projet'!$A$140,$CQ$205^A23,IF(A23='Données projet'!$A$140,'Données projet'!$B$140,CT22+CS23-DB22)))</f>
        <v>192</v>
      </c>
      <c r="CU23" s="17">
        <f>CT23*VLOOKUP('Données projet'!$B$13,Paramètres!$A$1:$I$89,3,0)*VLOOKUP('Données projet'!$B$13,Paramètres!$A$1:$I$89,5,0)</f>
        <v>114.81600000000002</v>
      </c>
      <c r="CV23" s="13">
        <f t="shared" si="41"/>
        <v>30.462826482209831</v>
      </c>
      <c r="CW23" s="20">
        <f t="shared" si="13"/>
        <v>253.02728945651543</v>
      </c>
      <c r="CX23" s="59">
        <f t="shared" si="14"/>
        <v>534.1384005676266</v>
      </c>
      <c r="CY23" s="59">
        <f ca="1">AVERAGE(OFFSET($CX$3,0,0,'Données projet'!$E$13+1,1))-AVERAGE(OFFSET($H$3,0,0,'Données projet'!$E$13+1,1))</f>
        <v>187.80389738728508</v>
      </c>
      <c r="CZ23" s="59">
        <f t="shared" si="42"/>
        <v>439.28159165815265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3.6161625766265759</v>
      </c>
      <c r="DG23" s="21">
        <f>EXP(-LN(2)/25)*DG22+(1-EXP(-LN(2)/25))/(LN(2)/25)*Calculateur!DB23*Calculateur!DD23*VLOOKUP('Données projet'!$B$13,Paramètres!$A$1:$I$89,3,0)*0.475*44/12</f>
        <v>10.552000802058775</v>
      </c>
      <c r="DH23" s="21">
        <f>EXP(-LN(2)/2)*DH22+(1-EXP(-LN(2)/2))/(LN(2)/2)*DB23*DE23*VLOOKUP('Données projet'!$B$13,Paramètres!$A$1:$I$89,3,0)*0.475*44/12</f>
        <v>1.4387841920817566</v>
      </c>
      <c r="DI23" s="22">
        <f t="shared" si="15"/>
        <v>15.606947570767106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5</v>
      </c>
      <c r="DO23" s="12">
        <f>IF('Données projet'!$A$166&gt;35,DO22+DN23-DW22,IF(A23&lt;'Données projet'!$A$166,$DL$205^A23,IF(A23='Données projet'!$A$166,'Données projet'!$B$166,DO22+DN23-DW22)))</f>
        <v>141.00000000000003</v>
      </c>
      <c r="DP23" s="17">
        <f>DO23*VLOOKUP('Données projet'!$B$14,Paramètres!$A$1:$I$89,3,0)*VLOOKUP('Données projet'!$B$14,Paramètres!$A$1:$I$89,5,0)</f>
        <v>103.38120000000002</v>
      </c>
      <c r="DQ23" s="13">
        <f t="shared" si="43"/>
        <v>27.765956260923325</v>
      </c>
      <c r="DR23" s="20">
        <f t="shared" si="16"/>
        <v>228.41463048777482</v>
      </c>
      <c r="DS23" s="59">
        <f t="shared" si="17"/>
        <v>509.52574159888593</v>
      </c>
      <c r="DT23" s="59">
        <f ca="1">AVERAGE(OFFSET($DS$3,0,0,'Données projet'!$E$14+1,1))-AVERAGE(OFFSET($H$3,0,0,'Données projet'!$E$14+1,1))</f>
        <v>239.25212250019609</v>
      </c>
      <c r="DU23" s="59">
        <f t="shared" si="44"/>
        <v>213.58492101729695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203</v>
      </c>
      <c r="EH23" s="12">
        <f>VLOOKUP(A23,'Données projet'!$A$191:$I$211,9,0)</f>
        <v>21.4</v>
      </c>
      <c r="EI23" s="12">
        <f t="array" ref="EI23">INDEX(EH:EH,MIN(IF(ISNUMBER(EH23:EH219),ROW(EH23:EH219),"")))</f>
        <v>21.4</v>
      </c>
      <c r="EJ23" s="12">
        <f>IF('Données projet'!$A$192&gt;35,EJ22+EI23-ER22,IF(A23&lt;'Données projet'!$A$192,$EG$205^A23,IF(A23='Données projet'!$A$192,'Données projet'!$B$192,EJ22+EI23-ER22)))</f>
        <v>203.00000000000003</v>
      </c>
      <c r="EK23" s="17">
        <f>EJ23*VLOOKUP('Données projet'!$B$15,Paramètres!$A$1:$I$89,3,0)*VLOOKUP('Données projet'!$B$15,Paramètres!$A$1:$I$89,5,0)</f>
        <v>121.39400000000003</v>
      </c>
      <c r="EL23" s="13">
        <f t="shared" si="45"/>
        <v>31.999908030972463</v>
      </c>
      <c r="EM23" s="20">
        <f t="shared" si="19"/>
        <v>267.16105648727711</v>
      </c>
      <c r="EN23" s="59">
        <f t="shared" si="20"/>
        <v>548.27216759838825</v>
      </c>
      <c r="EO23" s="59">
        <f ca="1">AVERAGE(OFFSET($EN$3,0,0,'Données projet'!$E$15+1,1))-AVERAGE(OFFSET($H$3,0,0,'Données projet'!$E$15+1,1))</f>
        <v>504.81063008331739</v>
      </c>
      <c r="EP23" s="59">
        <f t="shared" si="46"/>
        <v>441.82647565372287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63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0.45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22.401094880093407</v>
      </c>
      <c r="EX23" s="21">
        <f>EXP(-LN(2)/2)*EX22+(1-EXP(-LN(2)/2))/(LN(2)/2)*ER23*EU23*VLOOKUP('Données projet'!$B$15,Paramètres!$A$1:$I$89,3,0)*0.475*44/12</f>
        <v>1.6756749205165016</v>
      </c>
      <c r="EY23" s="22">
        <f t="shared" si="21"/>
        <v>24.07676980060991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96</v>
      </c>
      <c r="FC23" s="12">
        <f>VLOOKUP(A23,'Données projet'!$A$217:$I$237,9,0)</f>
        <v>10</v>
      </c>
      <c r="FD23" s="12">
        <f t="array" ref="FD23">INDEX(FC:FC,MIN(IF(ISNUMBER(FC23:FC219),ROW(FC23:FC219),"")))</f>
        <v>10</v>
      </c>
      <c r="FE23" s="12">
        <f>IF('Données projet'!$A$218&gt;35,FE22+FD23-FM22,IF(A23&lt;'Données projet'!$A$218,$FB$205^A23,IF(A23='Données projet'!$A$218,'Données projet'!$B$218,FE22+FD23-FM22)))</f>
        <v>96</v>
      </c>
      <c r="FF23" s="17">
        <f>FE23*VLOOKUP('Données projet'!$B$16,Paramètres!$A$1:$I$89,3,0)*VLOOKUP('Données projet'!$B$16,Paramètres!$A$1:$I$89,5,0)</f>
        <v>54.912000000000006</v>
      </c>
      <c r="FG23" s="13">
        <f t="shared" si="47"/>
        <v>15.875304254859749</v>
      </c>
      <c r="FH23" s="20">
        <f t="shared" si="22"/>
        <v>123.28788824388072</v>
      </c>
      <c r="FI23" s="59">
        <f t="shared" si="23"/>
        <v>404.39899935499187</v>
      </c>
      <c r="FJ23" s="59">
        <f ca="1">AVERAGE(OFFSET($FI$3,0,0,'Données projet'!$E$16+1,1))-AVERAGE(OFFSET($H$3,0,0,'Données projet'!$E$16+1,1))</f>
        <v>393.41577134252316</v>
      </c>
      <c r="FK23" s="59">
        <f t="shared" si="48"/>
        <v>255.54039659391475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18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1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11.657463735332492</v>
      </c>
      <c r="FT23" s="22">
        <f t="shared" si="24"/>
        <v>11.657463735332492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198</v>
      </c>
      <c r="FX23" s="12">
        <f>VLOOKUP(A23,'Données projet'!$A$243:$I$263,9,0)</f>
        <v>24</v>
      </c>
      <c r="FY23" s="12">
        <f t="array" ref="FY23">INDEX(FX:FX,MIN(IF(ISNUMBER(FX23:FX219),ROW(FX23:FX219),"")))</f>
        <v>24</v>
      </c>
      <c r="FZ23" s="12">
        <f>IF('Données projet'!$A$244&gt;35,FZ22+FY23-GH22,IF(A23&lt;'Données projet'!$A$244,$FW$205^A23,IF(A23='Données projet'!$A$244,'Données projet'!$B$244,FZ22+FY23-GH22)))</f>
        <v>198</v>
      </c>
      <c r="GA23" s="17">
        <f>FZ23*VLOOKUP('Données projet'!$B$17,Paramètres!$A$1:$I$89,3,0)*VLOOKUP('Données projet'!$B$17,Paramètres!$A$1:$I$89,5,0)</f>
        <v>92.664000000000001</v>
      </c>
      <c r="GB23" s="13">
        <f t="shared" si="49"/>
        <v>25.206622814445748</v>
      </c>
      <c r="GC23" s="20">
        <f t="shared" si="25"/>
        <v>205.29133473515969</v>
      </c>
      <c r="GD23" s="59">
        <f t="shared" si="26"/>
        <v>486.40244584627084</v>
      </c>
      <c r="GE23" s="59">
        <f ca="1">AVERAGE(OFFSET($GD$3,0,0,'Données projet'!$E$17+1,1))-AVERAGE(OFFSET($H$3,0,0,'Données projet'!$E$17+1,1))</f>
        <v>488.67934252295686</v>
      </c>
      <c r="GF23" s="59">
        <f t="shared" si="50"/>
        <v>424.50324471331095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49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1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25.964351046876914</v>
      </c>
      <c r="GO23" s="21">
        <f t="shared" si="27"/>
        <v>25.964351046876914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156</v>
      </c>
      <c r="GS23" s="12">
        <f>VLOOKUP(A23,'Données projet'!$A$269:$I$289,9,0)</f>
        <v>22.8</v>
      </c>
      <c r="GT23" s="12">
        <f t="array" ref="GT23">INDEX(GS:GS,MIN(IF(ISNUMBER(GS23:GS219),ROW(GS23:GS219),"")))</f>
        <v>22.8</v>
      </c>
      <c r="GU23" s="12">
        <f>IF('Données projet'!$A$270&gt;35,GU22+GT23-HC22,IF(A23&lt;'Données projet'!$A$270,$GR$205^A23,IF(A23='Données projet'!$A$270,'Données projet'!$B$270,GU22+GT23-HC22)))</f>
        <v>156</v>
      </c>
      <c r="GV23" s="17">
        <f>GU23*VLOOKUP('Données projet'!$B$18,Paramètres!$A$1:$I$89,3,0)*VLOOKUP('Données projet'!$B$18,Paramètres!$A$1:$I$89,5,0)</f>
        <v>75.036000000000001</v>
      </c>
      <c r="GW23" s="13">
        <f t="shared" si="51"/>
        <v>20.918972521981534</v>
      </c>
      <c r="GX23" s="20">
        <f t="shared" si="28"/>
        <v>167.12157714245117</v>
      </c>
      <c r="GY23" s="59">
        <f t="shared" si="29"/>
        <v>448.23268825356229</v>
      </c>
      <c r="GZ23" s="59">
        <f ca="1">AVERAGE(OFFSET($GY$3,0,0,'Données projet'!$E$18+1,1))-AVERAGE(OFFSET($H$3,0,0,'Données projet'!$E$18+1,1))</f>
        <v>458.80976193248841</v>
      </c>
      <c r="HA23" s="59">
        <f t="shared" si="52"/>
        <v>396.07405370178759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22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1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11.981282172425063</v>
      </c>
      <c r="HJ23" s="22">
        <f t="shared" si="30"/>
        <v>11.981282172425063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43.068480000000001</v>
      </c>
      <c r="P24" s="13">
        <f t="shared" si="33"/>
        <v>12.808416415102187</v>
      </c>
      <c r="Q24" s="20">
        <f t="shared" si="2"/>
        <v>97.318927922969635</v>
      </c>
      <c r="R24" s="59">
        <f t="shared" si="0"/>
        <v>379.65226125630295</v>
      </c>
      <c r="S24" s="59">
        <f ca="1">AVERAGE(OFFSET($R$3,0,0,'Données projet'!$E$9+1,1))-AVERAGE(OFFSET($H$3,0,0,'Données projet'!$E$9+1,1))</f>
        <v>364.3481978218424</v>
      </c>
      <c r="T24" s="59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28.833333333333332</v>
      </c>
      <c r="AI24" s="13">
        <f>IF('Données projet'!$A$62&gt;35,AI23+AH24-AQ23,IF(A24&lt;'Données projet'!$A$62,$AF$205^A24,IF(A24='Données projet'!$A$62,'Données projet'!$B$62,AI23+AH24-AQ23)))</f>
        <v>219.66666666666669</v>
      </c>
      <c r="AJ24" s="13">
        <f>AI24*VLOOKUP('Données projet'!$B$10,Paramètres!$A$1:$I$89,3,0)*VLOOKUP('Données projet'!$B$10,Paramètres!$A$1:$I$89,5,0)</f>
        <v>122.79366666666668</v>
      </c>
      <c r="AK24" s="13">
        <f t="shared" si="35"/>
        <v>32.32570088253398</v>
      </c>
      <c r="AL24" s="20">
        <f t="shared" si="4"/>
        <v>270.16623181485778</v>
      </c>
      <c r="AM24" s="59">
        <f t="shared" si="5"/>
        <v>552.4995651481911</v>
      </c>
      <c r="AN24" s="59">
        <f ca="1">AVERAGE(OFFSET($AM$3,0,0,'Données projet'!$E$10+1,1))-AVERAGE(OFFSET($H$3,0,0,'Données projet'!$E$10+1,1))</f>
        <v>443.34220761968419</v>
      </c>
      <c r="AO24" s="59">
        <f t="shared" si="36"/>
        <v>546.58234447298014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8.8000000000000007</v>
      </c>
      <c r="BD24" s="12">
        <f>IF('Données projet'!$A$88&gt;35,BD23+BC24-BL23,IF(A24&lt;'Données projet'!$A$88,$BA$205^A24,IF(A24='Données projet'!$A$88,'Données projet'!$B$88,BD23+BC24-BL23)))</f>
        <v>40.799999999999997</v>
      </c>
      <c r="BE24" s="13">
        <f>BD24*VLOOKUP('Données projet'!$B$11,Paramètres!$A$1:$I$89,3,0)*VLOOKUP('Données projet'!$B$11,Paramètres!$A$1:$I$89,5,0)</f>
        <v>35.006400000000006</v>
      </c>
      <c r="BF24" s="13">
        <f t="shared" si="37"/>
        <v>10.664997365847841</v>
      </c>
      <c r="BG24" s="20">
        <f t="shared" si="7"/>
        <v>79.544350412184983</v>
      </c>
      <c r="BH24" s="59">
        <f t="shared" si="8"/>
        <v>361.87768374551831</v>
      </c>
      <c r="BI24" s="59">
        <f ca="1">AVERAGE(OFFSET($BH$3,0,0,'Données projet'!$E$11+1,1))-AVERAGE(OFFSET($H$3,0,0,'Données projet'!$E$11+1,1))</f>
        <v>447.15627913956871</v>
      </c>
      <c r="BJ24" s="59">
        <f t="shared" si="38"/>
        <v>256.77417912163997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10.4</v>
      </c>
      <c r="BY24" s="12">
        <f>IF('Données projet'!$A$114&gt;35,BY23+BX24-CG23,IF(A24&lt;'Données projet'!$A$114,$BV$205^A24,IF(A24='Données projet'!$A$114,'Données projet'!$B$114,BY23+BX24-CG23)))</f>
        <v>146.40000000000003</v>
      </c>
      <c r="BZ24" s="13">
        <f>BY24*VLOOKUP('Données projet'!$B$12,Paramètres!$A$1:$I$89,3,0)*VLOOKUP('Données projet'!$B$12,Paramètres!$A$1:$I$89,5,0)</f>
        <v>139.31424000000004</v>
      </c>
      <c r="CA24" s="13">
        <f t="shared" si="39"/>
        <v>36.139862641388611</v>
      </c>
      <c r="CB24" s="20">
        <f t="shared" si="10"/>
        <v>305.58256210041856</v>
      </c>
      <c r="CC24" s="59">
        <f t="shared" si="11"/>
        <v>587.91589543375187</v>
      </c>
      <c r="CD24" s="59">
        <f ca="1">AVERAGE(OFFSET($CC$3,0,0,'Données projet'!$E$12+1,1))-AVERAGE(OFFSET($H$3,0,0,'Données projet'!$E$12+1,1))</f>
        <v>448.94764480536713</v>
      </c>
      <c r="CE24" s="59">
        <f t="shared" si="40"/>
        <v>469.26760321719695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>
        <f>VLOOKUP(A24,'Données projet'!$A$139:$I$159,2,0)</f>
        <v>212</v>
      </c>
      <c r="CR24" s="12">
        <f>VLOOKUP(A24,'Données projet'!$A$139:$I$159,9,0)</f>
        <v>20</v>
      </c>
      <c r="CS24" s="12">
        <f t="array" ref="CS24">INDEX(CR:CR,MIN(IF(ISNUMBER(CR24:CR220),ROW(CR24:CR220),"")))</f>
        <v>20</v>
      </c>
      <c r="CT24" s="12">
        <f>IF('Données projet'!$A$140&gt;35,CT23+CS24-DB23,IF(A24&lt;'Données projet'!$A$140,$CQ$205^A24,IF(A24='Données projet'!$A$140,'Données projet'!$B$140,CT23+CS24-DB23)))</f>
        <v>212</v>
      </c>
      <c r="CU24" s="17">
        <f>CT24*VLOOKUP('Données projet'!$B$13,Paramètres!$A$1:$I$89,3,0)*VLOOKUP('Données projet'!$B$13,Paramètres!$A$1:$I$89,5,0)</f>
        <v>126.77600000000002</v>
      </c>
      <c r="CV24" s="13">
        <f t="shared" si="41"/>
        <v>33.250302273150254</v>
      </c>
      <c r="CW24" s="20">
        <f t="shared" si="13"/>
        <v>278.7124764590701</v>
      </c>
      <c r="CX24" s="59">
        <f t="shared" si="14"/>
        <v>561.04580979240336</v>
      </c>
      <c r="CY24" s="59">
        <f ca="1">AVERAGE(OFFSET($CX$3,0,0,'Données projet'!$E$13+1,1))-AVERAGE(OFFSET($H$3,0,0,'Données projet'!$E$13+1,1))</f>
        <v>187.80389738728508</v>
      </c>
      <c r="CZ24" s="59">
        <f t="shared" si="42"/>
        <v>439.28159165815265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3.5452518341403114</v>
      </c>
      <c r="DG24" s="21">
        <f>EXP(-LN(2)/25)*DG23+(1-EXP(-LN(2)/25))/(LN(2)/25)*Calculateur!DB24*Calculateur!DD24*VLOOKUP('Données projet'!$B$13,Paramètres!$A$1:$I$89,3,0)*0.475*44/12</f>
        <v>10.263455785220872</v>
      </c>
      <c r="DH24" s="21">
        <f>EXP(-LN(2)/2)*DH23+(1-EXP(-LN(2)/2))/(LN(2)/2)*DB24*DE24*VLOOKUP('Données projet'!$B$13,Paramètres!$A$1:$I$89,3,0)*0.475*44/12</f>
        <v>1.0173740588850182</v>
      </c>
      <c r="DI24" s="22">
        <f t="shared" si="15"/>
        <v>14.826081678246201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</v>
      </c>
      <c r="DO24" s="12">
        <f>IF('Données projet'!$A$166&gt;35,DO23+DN24-DW23,IF(A24&lt;'Données projet'!$A$166,$DL$205^A24,IF(A24='Données projet'!$A$166,'Données projet'!$B$166,DO23+DN24-DW23)))</f>
        <v>146.00000000000003</v>
      </c>
      <c r="DP24" s="17">
        <f>DO24*VLOOKUP('Données projet'!$B$14,Paramètres!$A$1:$I$89,3,0)*VLOOKUP('Données projet'!$B$14,Paramètres!$A$1:$I$89,5,0)</f>
        <v>107.0472</v>
      </c>
      <c r="DQ24" s="13">
        <f t="shared" si="43"/>
        <v>28.634183951187907</v>
      </c>
      <c r="DR24" s="20">
        <f t="shared" si="16"/>
        <v>236.3117437149856</v>
      </c>
      <c r="DS24" s="59">
        <f t="shared" si="17"/>
        <v>518.64507704831885</v>
      </c>
      <c r="DT24" s="59">
        <f ca="1">AVERAGE(OFFSET($DS$3,0,0,'Données projet'!$E$14+1,1))-AVERAGE(OFFSET($H$3,0,0,'Données projet'!$E$14+1,1))</f>
        <v>239.25212250019609</v>
      </c>
      <c r="DU24" s="59">
        <f t="shared" si="44"/>
        <v>213.58492101729695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22.8</v>
      </c>
      <c r="EJ24" s="12">
        <f>IF('Données projet'!$A$192&gt;35,EJ23+EI24-ER23,IF(A24&lt;'Données projet'!$A$192,$EG$205^A24,IF(A24='Données projet'!$A$192,'Données projet'!$B$192,EJ23+EI24-ER23)))</f>
        <v>162.80000000000004</v>
      </c>
      <c r="EK24" s="17">
        <f>EJ24*VLOOKUP('Données projet'!$B$15,Paramètres!$A$1:$I$89,3,0)*VLOOKUP('Données projet'!$B$15,Paramètres!$A$1:$I$89,5,0)</f>
        <v>97.354400000000027</v>
      </c>
      <c r="EL24" s="13">
        <f t="shared" si="45"/>
        <v>26.330739676620471</v>
      </c>
      <c r="EM24" s="20">
        <f t="shared" si="19"/>
        <v>215.41828493678068</v>
      </c>
      <c r="EN24" s="59">
        <f t="shared" si="20"/>
        <v>497.75161827011402</v>
      </c>
      <c r="EO24" s="59">
        <f ca="1">AVERAGE(OFFSET($EN$3,0,0,'Données projet'!$E$15+1,1))-AVERAGE(OFFSET($H$3,0,0,'Données projet'!$E$15+1,1))</f>
        <v>504.81063008331739</v>
      </c>
      <c r="EP24" s="59">
        <f t="shared" si="46"/>
        <v>441.82647565372287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21.78853576257487</v>
      </c>
      <c r="EX24" s="21">
        <f>EXP(-LN(2)/2)*EX23+(1-EXP(-LN(2)/2))/(LN(2)/2)*ER24*EU24*VLOOKUP('Données projet'!$B$15,Paramètres!$A$1:$I$89,3,0)*0.475*44/12</f>
        <v>1.1848810993614474</v>
      </c>
      <c r="EY24" s="22">
        <f t="shared" si="21"/>
        <v>22.973416861936318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12.8</v>
      </c>
      <c r="FE24" s="12">
        <f>IF('Données projet'!$A$218&gt;35,FE23+FD24-FM23,IF(A24&lt;'Données projet'!$A$218,$FB$205^A24,IF(A24='Données projet'!$A$218,'Données projet'!$B$218,FE23+FD24-FM23)))</f>
        <v>90.8</v>
      </c>
      <c r="FF24" s="17">
        <f>FE24*VLOOKUP('Données projet'!$B$16,Paramètres!$A$1:$I$89,3,0)*VLOOKUP('Données projet'!$B$16,Paramètres!$A$1:$I$89,5,0)</f>
        <v>51.937599999999996</v>
      </c>
      <c r="FG24" s="13">
        <f t="shared" si="47"/>
        <v>15.113040691038833</v>
      </c>
      <c r="FH24" s="20">
        <f t="shared" si="22"/>
        <v>116.77986587022598</v>
      </c>
      <c r="FI24" s="59">
        <f t="shared" si="23"/>
        <v>399.1131992035593</v>
      </c>
      <c r="FJ24" s="59">
        <f ca="1">AVERAGE(OFFSET($FI$3,0,0,'Données projet'!$E$16+1,1))-AVERAGE(OFFSET($H$3,0,0,'Données projet'!$E$16+1,1))</f>
        <v>393.41577134252316</v>
      </c>
      <c r="FK24" s="59">
        <f t="shared" si="48"/>
        <v>255.54039659391475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8.2430716586898658</v>
      </c>
      <c r="FT24" s="22">
        <f t="shared" si="24"/>
        <v>8.2430716586898658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29.8</v>
      </c>
      <c r="FZ24" s="12">
        <f>IF('Données projet'!$A$244&gt;35,FZ23+FY24-GH23,IF(A24&lt;'Données projet'!$A$244,$FW$205^A24,IF(A24='Données projet'!$A$244,'Données projet'!$B$244,FZ23+FY24-GH23)))</f>
        <v>178.8</v>
      </c>
      <c r="GA24" s="17">
        <f>FZ24*VLOOKUP('Données projet'!$B$17,Paramètres!$A$1:$I$89,3,0)*VLOOKUP('Données projet'!$B$17,Paramètres!$A$1:$I$89,5,0)</f>
        <v>83.678399999999996</v>
      </c>
      <c r="GB24" s="13">
        <f t="shared" si="49"/>
        <v>23.034205464980609</v>
      </c>
      <c r="GC24" s="20">
        <f t="shared" si="25"/>
        <v>185.85778785150788</v>
      </c>
      <c r="GD24" s="59">
        <f t="shared" si="26"/>
        <v>468.19112118484122</v>
      </c>
      <c r="GE24" s="59">
        <f ca="1">AVERAGE(OFFSET($GD$3,0,0,'Données projet'!$E$17+1,1))-AVERAGE(OFFSET($H$3,0,0,'Données projet'!$E$17+1,1))</f>
        <v>488.67934252295686</v>
      </c>
      <c r="GF24" s="59">
        <f t="shared" si="50"/>
        <v>424.50324471331095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18.359568694354699</v>
      </c>
      <c r="GO24" s="21">
        <f t="shared" si="27"/>
        <v>18.359568694354699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27</v>
      </c>
      <c r="GU24" s="12">
        <f>IF('Données projet'!$A$270&gt;35,GU23+GT24-HC23,IF(A24&lt;'Données projet'!$A$270,$GR$205^A24,IF(A24='Données projet'!$A$270,'Données projet'!$B$270,GU23+GT24-HC23)))</f>
        <v>161</v>
      </c>
      <c r="GV24" s="17">
        <f>GU24*VLOOKUP('Données projet'!$B$18,Paramètres!$A$1:$I$89,3,0)*VLOOKUP('Données projet'!$B$18,Paramètres!$A$1:$I$89,5,0)</f>
        <v>77.441000000000003</v>
      </c>
      <c r="GW24" s="13">
        <f t="shared" si="51"/>
        <v>21.51031639243222</v>
      </c>
      <c r="GX24" s="20">
        <f t="shared" si="28"/>
        <v>172.3402093834861</v>
      </c>
      <c r="GY24" s="59">
        <f t="shared" si="29"/>
        <v>454.67354271681938</v>
      </c>
      <c r="GZ24" s="59">
        <f ca="1">AVERAGE(OFFSET($GY$3,0,0,'Données projet'!$E$18+1,1))-AVERAGE(OFFSET($H$3,0,0,'Données projet'!$E$18+1,1))</f>
        <v>458.80976193248841</v>
      </c>
      <c r="HA24" s="59">
        <f t="shared" si="52"/>
        <v>396.07405370178759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8.4720458714312521</v>
      </c>
      <c r="HJ24" s="22">
        <f t="shared" si="30"/>
        <v>8.4720458714312521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48.135359999999999</v>
      </c>
      <c r="P25" s="13">
        <f t="shared" si="33"/>
        <v>14.131148275361113</v>
      </c>
      <c r="Q25" s="20">
        <f t="shared" si="2"/>
        <v>108.4475019129206</v>
      </c>
      <c r="R25" s="59">
        <f t="shared" si="0"/>
        <v>392.00305746847613</v>
      </c>
      <c r="S25" s="59">
        <f ca="1">AVERAGE(OFFSET($R$3,0,0,'Données projet'!$E$9+1,1))-AVERAGE(OFFSET($H$3,0,0,'Données projet'!$E$9+1,1))</f>
        <v>364.3481978218424</v>
      </c>
      <c r="T25" s="59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28.833333333333332</v>
      </c>
      <c r="AI25" s="13">
        <f>IF('Données projet'!$A$62&gt;35,AI24+AH25-AQ24,IF(A25&lt;'Données projet'!$A$62,$AF$205^A25,IF(A25='Données projet'!$A$62,'Données projet'!$B$62,AI24+AH25-AQ24)))</f>
        <v>248.50000000000003</v>
      </c>
      <c r="AJ25" s="13">
        <f>AI25*VLOOKUP('Données projet'!$B$10,Paramètres!$A$1:$I$89,3,0)*VLOOKUP('Données projet'!$B$10,Paramètres!$A$1:$I$89,5,0)</f>
        <v>138.91150000000002</v>
      </c>
      <c r="AK25" s="13">
        <f t="shared" si="35"/>
        <v>36.047532265727178</v>
      </c>
      <c r="AL25" s="20">
        <f t="shared" si="4"/>
        <v>304.72031452947482</v>
      </c>
      <c r="AM25" s="59">
        <f t="shared" si="5"/>
        <v>588.27587008503042</v>
      </c>
      <c r="AN25" s="59">
        <f ca="1">AVERAGE(OFFSET($AM$3,0,0,'Données projet'!$E$10+1,1))-AVERAGE(OFFSET($H$3,0,0,'Données projet'!$E$10+1,1))</f>
        <v>443.34220761968419</v>
      </c>
      <c r="AO25" s="59">
        <f t="shared" si="36"/>
        <v>546.58234447298014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8.8000000000000007</v>
      </c>
      <c r="BD25" s="12">
        <f>IF('Données projet'!$A$88&gt;35,BD24+BC25-BL24,IF(A25&lt;'Données projet'!$A$88,$BA$205^A25,IF(A25='Données projet'!$A$88,'Données projet'!$B$88,BD24+BC25-BL24)))</f>
        <v>49.599999999999994</v>
      </c>
      <c r="BE25" s="13">
        <f>BD25*VLOOKUP('Données projet'!$B$11,Paramètres!$A$1:$I$89,3,0)*VLOOKUP('Données projet'!$B$11,Paramètres!$A$1:$I$89,5,0)</f>
        <v>42.556799999999996</v>
      </c>
      <c r="BF25" s="13">
        <f t="shared" si="37"/>
        <v>12.673863978067095</v>
      </c>
      <c r="BG25" s="20">
        <f t="shared" si="7"/>
        <v>96.193406428466844</v>
      </c>
      <c r="BH25" s="59">
        <f t="shared" si="8"/>
        <v>379.7489619840224</v>
      </c>
      <c r="BI25" s="59">
        <f ca="1">AVERAGE(OFFSET($BH$3,0,0,'Données projet'!$E$11+1,1))-AVERAGE(OFFSET($H$3,0,0,'Données projet'!$E$11+1,1))</f>
        <v>447.15627913956871</v>
      </c>
      <c r="BJ25" s="59">
        <f t="shared" si="38"/>
        <v>256.77417912163997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10.4</v>
      </c>
      <c r="BY25" s="12">
        <f>IF('Données projet'!$A$114&gt;35,BY24+BX25-CG24,IF(A25&lt;'Données projet'!$A$114,$BV$205^A25,IF(A25='Données projet'!$A$114,'Données projet'!$B$114,BY24+BX25-CG24)))</f>
        <v>156.80000000000004</v>
      </c>
      <c r="BZ25" s="13">
        <f>BY25*VLOOKUP('Données projet'!$B$12,Paramètres!$A$1:$I$89,3,0)*VLOOKUP('Données projet'!$B$12,Paramètres!$A$1:$I$89,5,0)</f>
        <v>149.21088000000003</v>
      </c>
      <c r="CA25" s="13">
        <f t="shared" si="39"/>
        <v>38.399200254302222</v>
      </c>
      <c r="CB25" s="20">
        <f t="shared" si="10"/>
        <v>326.75422310957646</v>
      </c>
      <c r="CC25" s="59">
        <f t="shared" si="11"/>
        <v>610.30977866513194</v>
      </c>
      <c r="CD25" s="59">
        <f ca="1">AVERAGE(OFFSET($CC$3,0,0,'Données projet'!$E$12+1,1))-AVERAGE(OFFSET($H$3,0,0,'Données projet'!$E$12+1,1))</f>
        <v>448.94764480536713</v>
      </c>
      <c r="CE25" s="59">
        <f t="shared" si="40"/>
        <v>469.26760321719695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>
        <f>VLOOKUP(A25,'Données projet'!$A$139:$I$159,2,0)</f>
        <v>232</v>
      </c>
      <c r="CR25" s="12">
        <f>VLOOKUP(A25,'Données projet'!$A$139:$I$159,9,0)</f>
        <v>20</v>
      </c>
      <c r="CS25" s="12">
        <f t="array" ref="CS25">INDEX(CR:CR,MIN(IF(ISNUMBER(CR25:CR221),ROW(CR25:CR221),"")))</f>
        <v>20</v>
      </c>
      <c r="CT25" s="12">
        <f>IF('Données projet'!$A$140&gt;35,CT24+CS25-DB24,IF(A25&lt;'Données projet'!$A$140,$CQ$205^A25,IF(A25='Données projet'!$A$140,'Données projet'!$B$140,CT24+CS25-DB24)))</f>
        <v>232</v>
      </c>
      <c r="CU25" s="17">
        <f>CT25*VLOOKUP('Données projet'!$B$13,Paramètres!$A$1:$I$89,3,0)*VLOOKUP('Données projet'!$B$13,Paramètres!$A$1:$I$89,5,0)</f>
        <v>138.73599999999999</v>
      </c>
      <c r="CV25" s="13">
        <f t="shared" si="41"/>
        <v>36.007288175538044</v>
      </c>
      <c r="CW25" s="20">
        <f t="shared" si="13"/>
        <v>304.34456023906205</v>
      </c>
      <c r="CX25" s="59">
        <f t="shared" si="14"/>
        <v>587.90011579461759</v>
      </c>
      <c r="CY25" s="59">
        <f ca="1">AVERAGE(OFFSET($CX$3,0,0,'Données projet'!$E$13+1,1))-AVERAGE(OFFSET($H$3,0,0,'Données projet'!$E$13+1,1))</f>
        <v>187.80389738728508</v>
      </c>
      <c r="CZ25" s="59">
        <f t="shared" si="42"/>
        <v>439.28159165815265</v>
      </c>
      <c r="DA25" s="15">
        <f>IF(ISNA(VLOOKUP(A25,'Données projet'!$A$139:$I$159,3,0)),0,VLOOKUP(A25,'Données projet'!$A$139:$I$159,3,0))</f>
        <v>3</v>
      </c>
      <c r="DB25" s="15">
        <f>IF(ISNA(VLOOKUP(A25,'Données projet'!$A$139:$I$159,4,0)),0,VLOOKUP(A25,'Données projet'!$A$139:$I$159,4,0))</f>
        <v>56</v>
      </c>
      <c r="DC25" s="16">
        <f>IF(ISNA(VLOOKUP(A25,'Données projet'!$A$139:$I$159,5,0)),0%,VLOOKUP(A25,'Données projet'!$A$139:$I$159,5,0)*VLOOKUP('Données projet'!$B$13,Paramètres!$A$1:$I$89,7,0))</f>
        <v>0.27</v>
      </c>
      <c r="DD25" s="16">
        <f>IF(ISNA(VLOOKUP(A25,'Données projet'!$A$139:$I$159,6,0)),0%,VLOOKUP(A25,'Données projet'!$A$139:$I$159,6,0)*VLOOKUP('Données projet'!$B$13,Paramètres!$A$1:$I$89,7,0))</f>
        <v>0.18000000000000002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15.47020903867794</v>
      </c>
      <c r="DG25" s="21">
        <f>EXP(-LN(2)/25)*DG24+(1-EXP(-LN(2)/25))/(LN(2)/25)*Calculateur!DB25*Calculateur!DD25*VLOOKUP('Données projet'!$B$13,Paramètres!$A$1:$I$89,3,0)*0.475*44/12</f>
        <v>17.947634782186647</v>
      </c>
      <c r="DH25" s="21">
        <f>EXP(-LN(2)/2)*DH24+(1-EXP(-LN(2)/2))/(LN(2)/2)*DB25*DE25*VLOOKUP('Données projet'!$B$13,Paramètres!$A$1:$I$89,3,0)*0.475*44/12</f>
        <v>0.71939209604087828</v>
      </c>
      <c r="DI25" s="22">
        <f t="shared" si="15"/>
        <v>34.137235916905468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>
        <f>VLOOKUP(A25,'Données projet'!$A$165:$I$185,2,0)</f>
        <v>151</v>
      </c>
      <c r="DM25" s="12">
        <f>VLOOKUP(A25,'Données projet'!$A$165:$I$185,9,0)</f>
        <v>5</v>
      </c>
      <c r="DN25" s="12">
        <f t="array" ref="DN25">INDEX(DM:DM,MIN(IF(ISNUMBER(DM25:DM221),ROW(DM25:DM221),"")))</f>
        <v>5</v>
      </c>
      <c r="DO25" s="12">
        <f>IF('Données projet'!$A$166&gt;35,DO24+DN25-DW24,IF(A25&lt;'Données projet'!$A$166,$DL$205^A25,IF(A25='Données projet'!$A$166,'Données projet'!$B$166,DO24+DN25-DW24)))</f>
        <v>151.00000000000003</v>
      </c>
      <c r="DP25" s="17">
        <f>DO25*VLOOKUP('Données projet'!$B$14,Paramètres!$A$1:$I$89,3,0)*VLOOKUP('Données projet'!$B$14,Paramètres!$A$1:$I$89,5,0)</f>
        <v>110.71320000000003</v>
      </c>
      <c r="DQ25" s="13">
        <f t="shared" si="43"/>
        <v>29.498956799987518</v>
      </c>
      <c r="DR25" s="20">
        <f t="shared" si="16"/>
        <v>244.20283975997833</v>
      </c>
      <c r="DS25" s="59">
        <f t="shared" si="17"/>
        <v>527.7583953155339</v>
      </c>
      <c r="DT25" s="59">
        <f ca="1">AVERAGE(OFFSET($DS$3,0,0,'Données projet'!$E$14+1,1))-AVERAGE(OFFSET($H$3,0,0,'Données projet'!$E$14+1,1))</f>
        <v>239.25212250019609</v>
      </c>
      <c r="DU25" s="59">
        <f t="shared" si="44"/>
        <v>213.58492101729695</v>
      </c>
      <c r="DV25" s="15">
        <f>IF(ISNA(VLOOKUP(A25,'Données projet'!$A$165:$I$185,3,0)),0,VLOOKUP(A25,'Données projet'!$A$165:$I$185,3,0))</f>
        <v>2</v>
      </c>
      <c r="DW25" s="15">
        <f>IF(ISNA(VLOOKUP(A25,'Données projet'!$A$165:$I$185,4,0)),0,VLOOKUP(A25,'Données projet'!$A$165:$I$185,4,0))</f>
        <v>54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22.8</v>
      </c>
      <c r="EJ25" s="12">
        <f>IF('Données projet'!$A$192&gt;35,EJ24+EI25-ER24,IF(A25&lt;'Données projet'!$A$192,$EG$205^A25,IF(A25='Données projet'!$A$192,'Données projet'!$B$192,EJ24+EI25-ER24)))</f>
        <v>185.60000000000005</v>
      </c>
      <c r="EK25" s="17">
        <f>EJ25*VLOOKUP('Données projet'!$B$15,Paramètres!$A$1:$I$89,3,0)*VLOOKUP('Données projet'!$B$15,Paramètres!$A$1:$I$89,5,0)</f>
        <v>110.98880000000004</v>
      </c>
      <c r="EL25" s="13">
        <f t="shared" si="45"/>
        <v>29.56383208945169</v>
      </c>
      <c r="EM25" s="20">
        <f t="shared" si="19"/>
        <v>244.79583422246174</v>
      </c>
      <c r="EN25" s="59">
        <f t="shared" si="20"/>
        <v>528.35138977801728</v>
      </c>
      <c r="EO25" s="59">
        <f ca="1">AVERAGE(OFFSET($EN$3,0,0,'Données projet'!$E$15+1,1))-AVERAGE(OFFSET($H$3,0,0,'Données projet'!$E$15+1,1))</f>
        <v>504.81063008331739</v>
      </c>
      <c r="EP25" s="59">
        <f t="shared" si="46"/>
        <v>441.82647565372287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21.192727106337962</v>
      </c>
      <c r="EX25" s="21">
        <f>EXP(-LN(2)/2)*EX24+(1-EXP(-LN(2)/2))/(LN(2)/2)*ER25*EU25*VLOOKUP('Données projet'!$B$15,Paramètres!$A$1:$I$89,3,0)*0.475*44/12</f>
        <v>0.8378374602582509</v>
      </c>
      <c r="EY25" s="22">
        <f t="shared" si="21"/>
        <v>22.030564566596212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12.8</v>
      </c>
      <c r="FE25" s="12">
        <f>IF('Données projet'!$A$218&gt;35,FE24+FD25-FM24,IF(A25&lt;'Données projet'!$A$218,$FB$205^A25,IF(A25='Données projet'!$A$218,'Données projet'!$B$218,FE24+FD25-FM24)))</f>
        <v>103.6</v>
      </c>
      <c r="FF25" s="17">
        <f>FE25*VLOOKUP('Données projet'!$B$16,Paramètres!$A$1:$I$89,3,0)*VLOOKUP('Données projet'!$B$16,Paramètres!$A$1:$I$89,5,0)</f>
        <v>59.2592</v>
      </c>
      <c r="FG25" s="13">
        <f t="shared" si="47"/>
        <v>16.980836319980909</v>
      </c>
      <c r="FH25" s="20">
        <f t="shared" si="22"/>
        <v>132.78472992396672</v>
      </c>
      <c r="FI25" s="59">
        <f t="shared" si="23"/>
        <v>416.34028547952227</v>
      </c>
      <c r="FJ25" s="59">
        <f ca="1">AVERAGE(OFFSET($FI$3,0,0,'Données projet'!$E$16+1,1))-AVERAGE(OFFSET($H$3,0,0,'Données projet'!$E$16+1,1))</f>
        <v>393.41577134252316</v>
      </c>
      <c r="FK25" s="59">
        <f t="shared" si="48"/>
        <v>255.54039659391475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5.8287318676662467</v>
      </c>
      <c r="FT25" s="22">
        <f t="shared" si="24"/>
        <v>5.8287318676662467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29.8</v>
      </c>
      <c r="FZ25" s="12">
        <f>IF('Données projet'!$A$244&gt;35,FZ24+FY25-GH24,IF(A25&lt;'Données projet'!$A$244,$FW$205^A25,IF(A25='Données projet'!$A$244,'Données projet'!$B$244,FZ24+FY25-GH24)))</f>
        <v>208.60000000000002</v>
      </c>
      <c r="GA25" s="17">
        <f>FZ25*VLOOKUP('Données projet'!$B$17,Paramètres!$A$1:$I$89,3,0)*VLOOKUP('Données projet'!$B$17,Paramètres!$A$1:$I$89,5,0)</f>
        <v>97.624800000000008</v>
      </c>
      <c r="GB25" s="13">
        <f t="shared" si="49"/>
        <v>26.395349675372152</v>
      </c>
      <c r="GC25" s="20">
        <f t="shared" si="25"/>
        <v>216.00176068460652</v>
      </c>
      <c r="GD25" s="59">
        <f t="shared" si="26"/>
        <v>499.55731624016209</v>
      </c>
      <c r="GE25" s="59">
        <f ca="1">AVERAGE(OFFSET($GD$3,0,0,'Données projet'!$E$17+1,1))-AVERAGE(OFFSET($H$3,0,0,'Données projet'!$E$17+1,1))</f>
        <v>488.67934252295686</v>
      </c>
      <c r="GF25" s="59">
        <f t="shared" si="50"/>
        <v>424.50324471331095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12.982175523438457</v>
      </c>
      <c r="GO25" s="21">
        <f t="shared" si="27"/>
        <v>12.982175523438457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27</v>
      </c>
      <c r="GU25" s="12">
        <f>IF('Données projet'!$A$270&gt;35,GU24+GT25-HC24,IF(A25&lt;'Données projet'!$A$270,$GR$205^A25,IF(A25='Données projet'!$A$270,'Données projet'!$B$270,GU24+GT25-HC24)))</f>
        <v>188</v>
      </c>
      <c r="GV25" s="17">
        <f>GU25*VLOOKUP('Données projet'!$B$18,Paramètres!$A$1:$I$89,3,0)*VLOOKUP('Données projet'!$B$18,Paramètres!$A$1:$I$89,5,0)</f>
        <v>90.428000000000011</v>
      </c>
      <c r="GW25" s="13">
        <f t="shared" si="51"/>
        <v>24.668419768668851</v>
      </c>
      <c r="GX25" s="20">
        <f t="shared" si="28"/>
        <v>200.45959776376492</v>
      </c>
      <c r="GY25" s="59">
        <f t="shared" si="29"/>
        <v>484.01515331932046</v>
      </c>
      <c r="GZ25" s="59">
        <f ca="1">AVERAGE(OFFSET($GY$3,0,0,'Données projet'!$E$18+1,1))-AVERAGE(OFFSET($H$3,0,0,'Données projet'!$E$18+1,1))</f>
        <v>458.80976193248841</v>
      </c>
      <c r="HA25" s="59">
        <f t="shared" si="52"/>
        <v>396.07405370178759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5.9906410862125323</v>
      </c>
      <c r="HJ25" s="22">
        <f t="shared" si="30"/>
        <v>5.9906410862125323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53.202240000000003</v>
      </c>
      <c r="P26" s="13">
        <f t="shared" si="33"/>
        <v>15.437740642425908</v>
      </c>
      <c r="Q26" s="20">
        <f t="shared" si="2"/>
        <v>119.54796628555846</v>
      </c>
      <c r="R26" s="59">
        <f t="shared" si="0"/>
        <v>404.32574406333623</v>
      </c>
      <c r="S26" s="59">
        <f ca="1">AVERAGE(OFFSET($R$3,0,0,'Données projet'!$E$9+1,1))-AVERAGE(OFFSET($H$3,0,0,'Données projet'!$E$9+1,1))</f>
        <v>364.3481978218424</v>
      </c>
      <c r="T26" s="59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28.833333333333332</v>
      </c>
      <c r="AI26" s="13">
        <f>IF('Données projet'!$A$62&gt;35,AI25+AH26-AQ25,IF(A26&lt;'Données projet'!$A$62,$AF$205^A26,IF(A26='Données projet'!$A$62,'Données projet'!$B$62,AI25+AH26-AQ25)))</f>
        <v>277.33333333333337</v>
      </c>
      <c r="AJ26" s="13">
        <f>AI26*VLOOKUP('Données projet'!$B$10,Paramètres!$A$1:$I$89,3,0)*VLOOKUP('Données projet'!$B$10,Paramètres!$A$1:$I$89,5,0)</f>
        <v>155.02933333333334</v>
      </c>
      <c r="AK26" s="13">
        <f t="shared" si="35"/>
        <v>39.719316712120367</v>
      </c>
      <c r="AL26" s="20">
        <f t="shared" si="4"/>
        <v>339.1872321624985</v>
      </c>
      <c r="AM26" s="59">
        <f t="shared" si="5"/>
        <v>623.96500994027633</v>
      </c>
      <c r="AN26" s="59">
        <f ca="1">AVERAGE(OFFSET($AM$3,0,0,'Données projet'!$E$10+1,1))-AVERAGE(OFFSET($H$3,0,0,'Données projet'!$E$10+1,1))</f>
        <v>443.34220761968419</v>
      </c>
      <c r="AO26" s="59">
        <f t="shared" si="36"/>
        <v>546.58234447298014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8.8000000000000007</v>
      </c>
      <c r="BD26" s="12">
        <f>IF('Données projet'!$A$88&gt;35,BD25+BC26-BL25,IF(A26&lt;'Données projet'!$A$88,$BA$205^A26,IF(A26='Données projet'!$A$88,'Données projet'!$B$88,BD25+BC26-BL25)))</f>
        <v>58.399999999999991</v>
      </c>
      <c r="BE26" s="13">
        <f>BD26*VLOOKUP('Données projet'!$B$11,Paramètres!$A$1:$I$89,3,0)*VLOOKUP('Données projet'!$B$11,Paramètres!$A$1:$I$89,5,0)</f>
        <v>50.107199999999999</v>
      </c>
      <c r="BF26" s="13">
        <f t="shared" si="37"/>
        <v>14.641441079141797</v>
      </c>
      <c r="BG26" s="20">
        <f t="shared" si="7"/>
        <v>112.77054987950528</v>
      </c>
      <c r="BH26" s="59">
        <f t="shared" si="8"/>
        <v>397.54832765728304</v>
      </c>
      <c r="BI26" s="59">
        <f ca="1">AVERAGE(OFFSET($BH$3,0,0,'Données projet'!$E$11+1,1))-AVERAGE(OFFSET($H$3,0,0,'Données projet'!$E$11+1,1))</f>
        <v>447.15627913956871</v>
      </c>
      <c r="BJ26" s="59">
        <f t="shared" si="38"/>
        <v>256.77417912163997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10.4</v>
      </c>
      <c r="BY26" s="12">
        <f>IF('Données projet'!$A$114&gt;35,BY25+BX26-CG25,IF(A26&lt;'Données projet'!$A$114,$BV$205^A26,IF(A26='Données projet'!$A$114,'Données projet'!$B$114,BY25+BX26-CG25)))</f>
        <v>167.20000000000005</v>
      </c>
      <c r="BZ26" s="13">
        <f>BY26*VLOOKUP('Données projet'!$B$12,Paramètres!$A$1:$I$89,3,0)*VLOOKUP('Données projet'!$B$12,Paramètres!$A$1:$I$89,5,0)</f>
        <v>159.10752000000002</v>
      </c>
      <c r="CA26" s="13">
        <f t="shared" si="39"/>
        <v>40.64114856504164</v>
      </c>
      <c r="CB26" s="20">
        <f t="shared" si="10"/>
        <v>347.89559775078084</v>
      </c>
      <c r="CC26" s="59">
        <f t="shared" si="11"/>
        <v>632.67337552855861</v>
      </c>
      <c r="CD26" s="59">
        <f ca="1">AVERAGE(OFFSET($CC$3,0,0,'Données projet'!$E$12+1,1))-AVERAGE(OFFSET($H$3,0,0,'Données projet'!$E$12+1,1))</f>
        <v>448.94764480536713</v>
      </c>
      <c r="CE26" s="59">
        <f t="shared" si="40"/>
        <v>469.26760321719695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>
        <f>VLOOKUP(A26,'Données projet'!$A$139:$I$159,2,0)</f>
        <v>192</v>
      </c>
      <c r="CR26" s="12">
        <f>VLOOKUP(A26,'Données projet'!$A$139:$I$159,9,0)</f>
        <v>16</v>
      </c>
      <c r="CS26" s="12">
        <f t="array" ref="CS26">INDEX(CR:CR,MIN(IF(ISNUMBER(CR26:CR222),ROW(CR26:CR222),"")))</f>
        <v>16</v>
      </c>
      <c r="CT26" s="12">
        <f>IF('Données projet'!$A$140&gt;35,CT25+CS26-DB25,IF(A26&lt;'Données projet'!$A$140,$CQ$205^A26,IF(A26='Données projet'!$A$140,'Données projet'!$B$140,CT25+CS26-DB25)))</f>
        <v>192</v>
      </c>
      <c r="CU26" s="17">
        <f>CT26*VLOOKUP('Données projet'!$B$13,Paramètres!$A$1:$I$89,3,0)*VLOOKUP('Données projet'!$B$13,Paramètres!$A$1:$I$89,5,0)</f>
        <v>114.81600000000002</v>
      </c>
      <c r="CV26" s="13">
        <f t="shared" si="41"/>
        <v>30.462826482209831</v>
      </c>
      <c r="CW26" s="20">
        <f t="shared" si="13"/>
        <v>253.02728945651543</v>
      </c>
      <c r="CX26" s="59">
        <f t="shared" si="14"/>
        <v>537.80506723429323</v>
      </c>
      <c r="CY26" s="59">
        <f ca="1">AVERAGE(OFFSET($CX$3,0,0,'Données projet'!$E$13+1,1))-AVERAGE(OFFSET($H$3,0,0,'Données projet'!$E$13+1,1))</f>
        <v>187.80389738728508</v>
      </c>
      <c r="CZ26" s="59">
        <f t="shared" si="42"/>
        <v>439.28159165815265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15.166847675325261</v>
      </c>
      <c r="DG26" s="21">
        <f>EXP(-LN(2)/25)*DG25+(1-EXP(-LN(2)/25))/(LN(2)/25)*Calculateur!DB26*Calculateur!DD26*VLOOKUP('Données projet'!$B$13,Paramètres!$A$1:$I$89,3,0)*0.475*44/12</f>
        <v>17.456855765242661</v>
      </c>
      <c r="DH26" s="21">
        <f>EXP(-LN(2)/2)*DH25+(1-EXP(-LN(2)/2))/(LN(2)/2)*DB26*DE26*VLOOKUP('Données projet'!$B$13,Paramètres!$A$1:$I$89,3,0)*0.475*44/12</f>
        <v>0.5086870294425091</v>
      </c>
      <c r="DI26" s="22">
        <f t="shared" si="15"/>
        <v>33.132390470010435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6.6</v>
      </c>
      <c r="DO26" s="12">
        <f>IF('Données projet'!$A$166&gt;35,DO25+DN26-DW25,IF(A26&lt;'Données projet'!$A$166,$DL$205^A26,IF(A26='Données projet'!$A$166,'Données projet'!$B$166,DO25+DN26-DW25)))</f>
        <v>103.60000000000002</v>
      </c>
      <c r="DP26" s="17">
        <f>DO26*VLOOKUP('Données projet'!$B$14,Paramètres!$A$1:$I$89,3,0)*VLOOKUP('Données projet'!$B$14,Paramètres!$A$1:$I$89,5,0)</f>
        <v>75.959520000000012</v>
      </c>
      <c r="DQ26" s="13">
        <f t="shared" si="43"/>
        <v>21.146305742114752</v>
      </c>
      <c r="DR26" s="20">
        <f t="shared" si="16"/>
        <v>169.1259798341832</v>
      </c>
      <c r="DS26" s="59">
        <f t="shared" si="17"/>
        <v>453.90375761196094</v>
      </c>
      <c r="DT26" s="59">
        <f ca="1">AVERAGE(OFFSET($DS$3,0,0,'Données projet'!$E$14+1,1))-AVERAGE(OFFSET($H$3,0,0,'Données projet'!$E$14+1,1))</f>
        <v>239.25212250019609</v>
      </c>
      <c r="DU26" s="59">
        <f t="shared" si="44"/>
        <v>213.58492101729695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22.8</v>
      </c>
      <c r="EJ26" s="12">
        <f>IF('Données projet'!$A$192&gt;35,EJ25+EI26-ER25,IF(A26&lt;'Données projet'!$A$192,$EG$205^A26,IF(A26='Données projet'!$A$192,'Données projet'!$B$192,EJ25+EI26-ER25)))</f>
        <v>208.40000000000006</v>
      </c>
      <c r="EK26" s="17">
        <f>EJ26*VLOOKUP('Données projet'!$B$15,Paramètres!$A$1:$I$89,3,0)*VLOOKUP('Données projet'!$B$15,Paramètres!$A$1:$I$89,5,0)</f>
        <v>124.62320000000004</v>
      </c>
      <c r="EL26" s="13">
        <f t="shared" si="45"/>
        <v>32.750900958675722</v>
      </c>
      <c r="EM26" s="20">
        <f t="shared" si="19"/>
        <v>274.09322583636032</v>
      </c>
      <c r="EN26" s="59">
        <f t="shared" si="20"/>
        <v>558.87100361413809</v>
      </c>
      <c r="EO26" s="59">
        <f ca="1">AVERAGE(OFFSET($EN$3,0,0,'Données projet'!$E$15+1,1))-AVERAGE(OFFSET($H$3,0,0,'Données projet'!$E$15+1,1))</f>
        <v>504.81063008331739</v>
      </c>
      <c r="EP26" s="59">
        <f t="shared" si="46"/>
        <v>441.82647565372287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20.613210869138069</v>
      </c>
      <c r="EX26" s="21">
        <f>EXP(-LN(2)/2)*EX25+(1-EXP(-LN(2)/2))/(LN(2)/2)*ER26*EU26*VLOOKUP('Données projet'!$B$15,Paramètres!$A$1:$I$89,3,0)*0.475*44/12</f>
        <v>0.59244054968072379</v>
      </c>
      <c r="EY26" s="22">
        <f t="shared" si="21"/>
        <v>21.205651418818793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12.8</v>
      </c>
      <c r="FE26" s="12">
        <f>IF('Données projet'!$A$218&gt;35,FE25+FD26-FM25,IF(A26&lt;'Données projet'!$A$218,$FB$205^A26,IF(A26='Données projet'!$A$218,'Données projet'!$B$218,FE25+FD26-FM25)))</f>
        <v>116.39999999999999</v>
      </c>
      <c r="FF26" s="17">
        <f>FE26*VLOOKUP('Données projet'!$B$16,Paramètres!$A$1:$I$89,3,0)*VLOOKUP('Données projet'!$B$16,Paramètres!$A$1:$I$89,5,0)</f>
        <v>66.580799999999996</v>
      </c>
      <c r="FG26" s="13">
        <f t="shared" si="47"/>
        <v>18.821890795575435</v>
      </c>
      <c r="FH26" s="20">
        <f t="shared" si="22"/>
        <v>148.74301980229387</v>
      </c>
      <c r="FI26" s="59">
        <f t="shared" si="23"/>
        <v>433.52079758007164</v>
      </c>
      <c r="FJ26" s="59">
        <f ca="1">AVERAGE(OFFSET($FI$3,0,0,'Données projet'!$E$16+1,1))-AVERAGE(OFFSET($H$3,0,0,'Données projet'!$E$16+1,1))</f>
        <v>393.41577134252316</v>
      </c>
      <c r="FK26" s="59">
        <f t="shared" si="48"/>
        <v>255.54039659391475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4.1215358293449338</v>
      </c>
      <c r="FT26" s="22">
        <f t="shared" si="24"/>
        <v>4.1215358293449338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29.8</v>
      </c>
      <c r="FZ26" s="12">
        <f>IF('Données projet'!$A$244&gt;35,FZ25+FY26-GH25,IF(A26&lt;'Données projet'!$A$244,$FW$205^A26,IF(A26='Données projet'!$A$244,'Données projet'!$B$244,FZ25+FY26-GH25)))</f>
        <v>238.40000000000003</v>
      </c>
      <c r="GA26" s="17">
        <f>FZ26*VLOOKUP('Données projet'!$B$17,Paramètres!$A$1:$I$89,3,0)*VLOOKUP('Données projet'!$B$17,Paramètres!$A$1:$I$89,5,0)</f>
        <v>111.57120000000002</v>
      </c>
      <c r="GB26" s="13">
        <f t="shared" si="49"/>
        <v>29.700865431716629</v>
      </c>
      <c r="GC26" s="20">
        <f t="shared" si="25"/>
        <v>246.04884729357317</v>
      </c>
      <c r="GD26" s="59">
        <f t="shared" si="26"/>
        <v>530.82662507135092</v>
      </c>
      <c r="GE26" s="59">
        <f ca="1">AVERAGE(OFFSET($GD$3,0,0,'Données projet'!$E$17+1,1))-AVERAGE(OFFSET($H$3,0,0,'Données projet'!$E$17+1,1))</f>
        <v>488.67934252295686</v>
      </c>
      <c r="GF26" s="59">
        <f t="shared" si="50"/>
        <v>424.50324471331095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9.1797843471773497</v>
      </c>
      <c r="GO26" s="21">
        <f t="shared" si="27"/>
        <v>9.1797843471773497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27</v>
      </c>
      <c r="GU26" s="12">
        <f>IF('Données projet'!$A$270&gt;35,GU25+GT26-HC25,IF(A26&lt;'Données projet'!$A$270,$GR$205^A26,IF(A26='Données projet'!$A$270,'Données projet'!$B$270,GU25+GT26-HC25)))</f>
        <v>215</v>
      </c>
      <c r="GV26" s="17">
        <f>GU26*VLOOKUP('Données projet'!$B$18,Paramètres!$A$1:$I$89,3,0)*VLOOKUP('Données projet'!$B$18,Paramètres!$A$1:$I$89,5,0)</f>
        <v>103.41500000000001</v>
      </c>
      <c r="GW26" s="13">
        <f t="shared" si="51"/>
        <v>27.773977384564439</v>
      </c>
      <c r="GX26" s="20">
        <f t="shared" si="28"/>
        <v>228.48746894478305</v>
      </c>
      <c r="GY26" s="59">
        <f t="shared" si="29"/>
        <v>513.26524672256085</v>
      </c>
      <c r="GZ26" s="59">
        <f ca="1">AVERAGE(OFFSET($GY$3,0,0,'Données projet'!$E$18+1,1))-AVERAGE(OFFSET($H$3,0,0,'Données projet'!$E$18+1,1))</f>
        <v>458.80976193248841</v>
      </c>
      <c r="HA26" s="59">
        <f t="shared" si="52"/>
        <v>396.07405370178759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4.2360229357156269</v>
      </c>
      <c r="HJ26" s="22">
        <f t="shared" si="30"/>
        <v>4.2360229357156269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58.269120000000008</v>
      </c>
      <c r="P27" s="13">
        <f t="shared" si="33"/>
        <v>16.729905486873804</v>
      </c>
      <c r="Q27" s="20">
        <f t="shared" si="2"/>
        <v>130.62330272297189</v>
      </c>
      <c r="R27" s="59">
        <f t="shared" si="0"/>
        <v>416.62330272297186</v>
      </c>
      <c r="S27" s="59">
        <f ca="1">AVERAGE(OFFSET($R$3,0,0,'Données projet'!$E$9+1,1))-AVERAGE(OFFSET($H$3,0,0,'Données projet'!$E$9+1,1))</f>
        <v>364.3481978218424</v>
      </c>
      <c r="T27" s="59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28.833333333333332</v>
      </c>
      <c r="AI27" s="13">
        <f>IF('Données projet'!$A$62&gt;35,AI26+AH27-AQ26,IF(A27&lt;'Données projet'!$A$62,$AF$205^A27,IF(A27='Données projet'!$A$62,'Données projet'!$B$62,AI26+AH27-AQ26)))</f>
        <v>306.16666666666669</v>
      </c>
      <c r="AJ27" s="13">
        <f>AI27*VLOOKUP('Données projet'!$B$10,Paramètres!$A$1:$I$89,3,0)*VLOOKUP('Données projet'!$B$10,Paramètres!$A$1:$I$89,5,0)</f>
        <v>171.14716666666669</v>
      </c>
      <c r="AK27" s="13">
        <f t="shared" si="35"/>
        <v>43.346850105371793</v>
      </c>
      <c r="AL27" s="20">
        <f t="shared" si="4"/>
        <v>373.57707921130037</v>
      </c>
      <c r="AM27" s="59">
        <f t="shared" si="5"/>
        <v>659.57707921130032</v>
      </c>
      <c r="AN27" s="59">
        <f ca="1">AVERAGE(OFFSET($AM$3,0,0,'Données projet'!$E$10+1,1))-AVERAGE(OFFSET($H$3,0,0,'Données projet'!$E$10+1,1))</f>
        <v>443.34220761968419</v>
      </c>
      <c r="AO27" s="59">
        <f t="shared" si="36"/>
        <v>546.58234447298014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8.8000000000000007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57.657599999999995</v>
      </c>
      <c r="BF27" s="13">
        <f t="shared" si="37"/>
        <v>16.574671209026025</v>
      </c>
      <c r="BG27" s="20">
        <f t="shared" si="7"/>
        <v>129.28787235572034</v>
      </c>
      <c r="BH27" s="59">
        <f t="shared" si="8"/>
        <v>415.28787235572031</v>
      </c>
      <c r="BI27" s="59">
        <f ca="1">AVERAGE(OFFSET($BH$3,0,0,'Données projet'!$E$11+1,1))-AVERAGE(OFFSET($H$3,0,0,'Données projet'!$E$11+1,1))</f>
        <v>447.15627913956871</v>
      </c>
      <c r="BJ27" s="59">
        <f t="shared" si="38"/>
        <v>256.77417912163997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10.4</v>
      </c>
      <c r="BY27" s="12">
        <f>IF('Données projet'!$A$114&gt;35,BY26+BX27-CG26,IF(A27&lt;'Données projet'!$A$114,$BV$205^A27,IF(A27='Données projet'!$A$114,'Données projet'!$B$114,BY26+BX27-CG26)))</f>
        <v>177.60000000000005</v>
      </c>
      <c r="BZ27" s="13">
        <f>BY27*VLOOKUP('Données projet'!$B$12,Paramètres!$A$1:$I$89,3,0)*VLOOKUP('Données projet'!$B$12,Paramètres!$A$1:$I$89,5,0)</f>
        <v>169.00416000000004</v>
      </c>
      <c r="CA27" s="13">
        <f t="shared" si="39"/>
        <v>42.866912347244458</v>
      </c>
      <c r="CB27" s="20">
        <f t="shared" si="10"/>
        <v>369.00878433811749</v>
      </c>
      <c r="CC27" s="59">
        <f t="shared" si="11"/>
        <v>655.00878433811749</v>
      </c>
      <c r="CD27" s="59">
        <f ca="1">AVERAGE(OFFSET($CC$3,0,0,'Données projet'!$E$12+1,1))-AVERAGE(OFFSET($H$3,0,0,'Données projet'!$E$12+1,1))</f>
        <v>448.94764480536713</v>
      </c>
      <c r="CE27" s="59">
        <f t="shared" si="40"/>
        <v>469.26760321719695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209</v>
      </c>
      <c r="CR27" s="12">
        <f>VLOOKUP(A27,'Données projet'!$A$139:$I$159,9,0)</f>
        <v>17</v>
      </c>
      <c r="CS27" s="12">
        <f t="array" ref="CS27">INDEX(CR:CR,MIN(IF(ISNUMBER(CR27:CR223),ROW(CR27:CR223),"")))</f>
        <v>17</v>
      </c>
      <c r="CT27" s="12">
        <f>IF('Données projet'!$A$140&gt;35,CT26+CS27-DB26,IF(A27&lt;'Données projet'!$A$140,$CQ$205^A27,IF(A27='Données projet'!$A$140,'Données projet'!$B$140,CT26+CS27-DB26)))</f>
        <v>209</v>
      </c>
      <c r="CU27" s="17">
        <f>CT27*VLOOKUP('Données projet'!$B$13,Paramètres!$A$1:$I$89,3,0)*VLOOKUP('Données projet'!$B$13,Paramètres!$A$1:$I$89,5,0)</f>
        <v>124.982</v>
      </c>
      <c r="CV27" s="13">
        <f t="shared" si="41"/>
        <v>32.834203796212122</v>
      </c>
      <c r="CW27" s="20">
        <f t="shared" si="13"/>
        <v>274.86322161173604</v>
      </c>
      <c r="CX27" s="59">
        <f t="shared" si="14"/>
        <v>560.86322161173598</v>
      </c>
      <c r="CY27" s="59">
        <f ca="1">AVERAGE(OFFSET($CX$3,0,0,'Données projet'!$E$13+1,1))-AVERAGE(OFFSET($H$3,0,0,'Données projet'!$E$13+1,1))</f>
        <v>187.80389738728508</v>
      </c>
      <c r="CZ27" s="59">
        <f t="shared" si="42"/>
        <v>439.28159165815265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14.869435043275768</v>
      </c>
      <c r="DG27" s="21">
        <f>EXP(-LN(2)/25)*DG26+(1-EXP(-LN(2)/25))/(LN(2)/25)*Calculateur!DB27*Calculateur!DD27*VLOOKUP('Données projet'!$B$13,Paramètres!$A$1:$I$89,3,0)*0.475*44/12</f>
        <v>16.979497126325953</v>
      </c>
      <c r="DH27" s="21">
        <f>EXP(-LN(2)/2)*DH26+(1-EXP(-LN(2)/2))/(LN(2)/2)*DB27*DE27*VLOOKUP('Données projet'!$B$13,Paramètres!$A$1:$I$89,3,0)*0.475*44/12</f>
        <v>0.35969604802043914</v>
      </c>
      <c r="DI27" s="22">
        <f t="shared" si="15"/>
        <v>32.208628217622163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6.6</v>
      </c>
      <c r="DO27" s="12">
        <f>IF('Données projet'!$A$166&gt;35,DO26+DN27-DW26,IF(A27&lt;'Données projet'!$A$166,$DL$205^A27,IF(A27='Données projet'!$A$166,'Données projet'!$B$166,DO26+DN27-DW26)))</f>
        <v>110.20000000000002</v>
      </c>
      <c r="DP27" s="17">
        <f>DO27*VLOOKUP('Données projet'!$B$14,Paramètres!$A$1:$I$89,3,0)*VLOOKUP('Données projet'!$B$14,Paramètres!$A$1:$I$89,5,0)</f>
        <v>80.798640000000006</v>
      </c>
      <c r="DQ27" s="13">
        <f t="shared" si="43"/>
        <v>22.332342724937131</v>
      </c>
      <c r="DR27" s="20">
        <f t="shared" si="16"/>
        <v>179.61979491259885</v>
      </c>
      <c r="DS27" s="59">
        <f t="shared" si="17"/>
        <v>465.61979491259888</v>
      </c>
      <c r="DT27" s="59">
        <f ca="1">AVERAGE(OFFSET($DS$3,0,0,'Données projet'!$E$14+1,1))-AVERAGE(OFFSET($H$3,0,0,'Données projet'!$E$14+1,1))</f>
        <v>239.25212250019609</v>
      </c>
      <c r="DU27" s="59">
        <f t="shared" si="44"/>
        <v>213.58492101729695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22.8</v>
      </c>
      <c r="EJ27" s="12">
        <f>IF('Données projet'!$A$192&gt;35,EJ26+EI27-ER26,IF(A27&lt;'Données projet'!$A$192,$EG$205^A27,IF(A27='Données projet'!$A$192,'Données projet'!$B$192,EJ26+EI27-ER26)))</f>
        <v>231.20000000000007</v>
      </c>
      <c r="EK27" s="17">
        <f>EJ27*VLOOKUP('Données projet'!$B$15,Paramètres!$A$1:$I$89,3,0)*VLOOKUP('Données projet'!$B$15,Paramètres!$A$1:$I$89,5,0)</f>
        <v>138.25760000000005</v>
      </c>
      <c r="EL27" s="13">
        <f t="shared" si="45"/>
        <v>35.897555647294986</v>
      </c>
      <c r="EM27" s="20">
        <f t="shared" si="19"/>
        <v>303.32022941903887</v>
      </c>
      <c r="EN27" s="59">
        <f t="shared" si="20"/>
        <v>589.32022941903892</v>
      </c>
      <c r="EO27" s="59">
        <f ca="1">AVERAGE(OFFSET($EN$3,0,0,'Données projet'!$E$15+1,1))-AVERAGE(OFFSET($H$3,0,0,'Données projet'!$E$15+1,1))</f>
        <v>504.81063008331739</v>
      </c>
      <c r="EP27" s="59">
        <f t="shared" si="46"/>
        <v>441.82647565372287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20.04954153391984</v>
      </c>
      <c r="EX27" s="21">
        <f>EXP(-LN(2)/2)*EX26+(1-EXP(-LN(2)/2))/(LN(2)/2)*ER27*EU27*VLOOKUP('Données projet'!$B$15,Paramètres!$A$1:$I$89,3,0)*0.475*44/12</f>
        <v>0.41891873012912551</v>
      </c>
      <c r="EY27" s="22">
        <f t="shared" si="21"/>
        <v>20.468460264048964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12.8</v>
      </c>
      <c r="FE27" s="12">
        <f>IF('Données projet'!$A$218&gt;35,FE26+FD27-FM26,IF(A27&lt;'Données projet'!$A$218,$FB$205^A27,IF(A27='Données projet'!$A$218,'Données projet'!$B$218,FE26+FD27-FM26)))</f>
        <v>129.19999999999999</v>
      </c>
      <c r="FF27" s="17">
        <f>FE27*VLOOKUP('Données projet'!$B$16,Paramètres!$A$1:$I$89,3,0)*VLOOKUP('Données projet'!$B$16,Paramètres!$A$1:$I$89,5,0)</f>
        <v>73.902399999999986</v>
      </c>
      <c r="FG27" s="13">
        <f t="shared" si="47"/>
        <v>20.639480080340533</v>
      </c>
      <c r="FH27" s="20">
        <f t="shared" si="22"/>
        <v>164.66044113992641</v>
      </c>
      <c r="FI27" s="59">
        <f t="shared" si="23"/>
        <v>450.66044113992643</v>
      </c>
      <c r="FJ27" s="59">
        <f ca="1">AVERAGE(OFFSET($FI$3,0,0,'Données projet'!$E$16+1,1))-AVERAGE(OFFSET($H$3,0,0,'Données projet'!$E$16+1,1))</f>
        <v>393.41577134252316</v>
      </c>
      <c r="FK27" s="59">
        <f t="shared" si="48"/>
        <v>255.54039659391475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2.9143659338331238</v>
      </c>
      <c r="FT27" s="22">
        <f t="shared" si="24"/>
        <v>2.9143659338331238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29.8</v>
      </c>
      <c r="FZ27" s="12">
        <f>IF('Données projet'!$A$244&gt;35,FZ26+FY27-GH26,IF(A27&lt;'Données projet'!$A$244,$FW$205^A27,IF(A27='Données projet'!$A$244,'Données projet'!$B$244,FZ26+FY27-GH26)))</f>
        <v>268.20000000000005</v>
      </c>
      <c r="GA27" s="17">
        <f>FZ27*VLOOKUP('Données projet'!$B$17,Paramètres!$A$1:$I$89,3,0)*VLOOKUP('Données projet'!$B$17,Paramètres!$A$1:$I$89,5,0)</f>
        <v>125.51760000000002</v>
      </c>
      <c r="GB27" s="13">
        <f t="shared" si="49"/>
        <v>32.95850265342969</v>
      </c>
      <c r="GC27" s="20">
        <f t="shared" si="25"/>
        <v>276.01254545472335</v>
      </c>
      <c r="GD27" s="59">
        <f t="shared" si="26"/>
        <v>562.01254545472329</v>
      </c>
      <c r="GE27" s="59">
        <f ca="1">AVERAGE(OFFSET($GD$3,0,0,'Données projet'!$E$17+1,1))-AVERAGE(OFFSET($H$3,0,0,'Données projet'!$E$17+1,1))</f>
        <v>488.67934252295686</v>
      </c>
      <c r="GF27" s="59">
        <f t="shared" si="50"/>
        <v>424.50324471331095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6.4910877617192284</v>
      </c>
      <c r="GO27" s="21">
        <f t="shared" si="27"/>
        <v>6.4910877617192284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27</v>
      </c>
      <c r="GU27" s="12">
        <f>IF('Données projet'!$A$270&gt;35,GU26+GT27-HC26,IF(A27&lt;'Données projet'!$A$270,$GR$205^A27,IF(A27='Données projet'!$A$270,'Données projet'!$B$270,GU26+GT27-HC26)))</f>
        <v>242</v>
      </c>
      <c r="GV27" s="17">
        <f>GU27*VLOOKUP('Données projet'!$B$18,Paramètres!$A$1:$I$89,3,0)*VLOOKUP('Données projet'!$B$18,Paramètres!$A$1:$I$89,5,0)</f>
        <v>116.40199999999999</v>
      </c>
      <c r="GW27" s="13">
        <f t="shared" si="51"/>
        <v>30.834343892000643</v>
      </c>
      <c r="GX27" s="20">
        <f t="shared" si="28"/>
        <v>256.43663227856774</v>
      </c>
      <c r="GY27" s="59">
        <f t="shared" si="29"/>
        <v>542.43663227856769</v>
      </c>
      <c r="GZ27" s="59">
        <f ca="1">AVERAGE(OFFSET($GY$3,0,0,'Données projet'!$E$18+1,1))-AVERAGE(OFFSET($H$3,0,0,'Données projet'!$E$18+1,1))</f>
        <v>458.80976193248841</v>
      </c>
      <c r="HA27" s="59">
        <f t="shared" si="52"/>
        <v>396.07405370178759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2.9953205431062666</v>
      </c>
      <c r="HJ27" s="22">
        <f t="shared" si="30"/>
        <v>2.9953205431062666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364.3481978218424</v>
      </c>
      <c r="T28" s="59">
        <f t="shared" si="34"/>
        <v>231.36959598460686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335</v>
      </c>
      <c r="AG28" s="12">
        <f>VLOOKUP(A28,'Données projet'!$A$61:$I$81,9,0)</f>
        <v>28.833333333333332</v>
      </c>
      <c r="AH28" s="12">
        <f t="array" ref="AH28">INDEX(AG:AG,MIN(IF(ISNUMBER(AG28:AG224),ROW(AG28:AG224),"")))</f>
        <v>28.833333333333332</v>
      </c>
      <c r="AI28" s="13">
        <f>IF('Données projet'!$A$62&gt;35,AI27+AH28-AQ27,IF(A28&lt;'Données projet'!$A$62,$AF$205^A28,IF(A28='Données projet'!$A$62,'Données projet'!$B$62,AI27+AH28-AQ27)))</f>
        <v>335</v>
      </c>
      <c r="AJ28" s="13">
        <f>AI28*VLOOKUP('Données projet'!$B$10,Paramètres!$A$1:$I$89,3,0)*VLOOKUP('Données projet'!$B$10,Paramètres!$A$1:$I$89,5,0)</f>
        <v>187.26500000000001</v>
      </c>
      <c r="AK28" s="13">
        <f t="shared" si="35"/>
        <v>46.934773872544483</v>
      </c>
      <c r="AL28" s="20">
        <f t="shared" si="4"/>
        <v>407.89793949468162</v>
      </c>
      <c r="AM28" s="59">
        <f t="shared" si="5"/>
        <v>695.12016171690379</v>
      </c>
      <c r="AN28" s="59">
        <f ca="1">AVERAGE(OFFSET($AM$3,0,0,'Données projet'!$E$10+1,1))-AVERAGE(OFFSET($H$3,0,0,'Données projet'!$E$10+1,1))</f>
        <v>443.34220761968419</v>
      </c>
      <c r="AO28" s="59">
        <f t="shared" si="36"/>
        <v>546.58234447298014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1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34.177564133133899</v>
      </c>
      <c r="AX28" s="21">
        <f t="shared" si="6"/>
        <v>34.177564133133899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76</v>
      </c>
      <c r="BB28" s="12">
        <f>VLOOKUP(A28,'Données projet'!$A$87:$I$107,9,0)</f>
        <v>8.8000000000000007</v>
      </c>
      <c r="BC28" s="12">
        <f t="array" ref="BC28">INDEX(BB:BB,MIN(IF(ISNUMBER(BB28:BB224),ROW(BB28:BB224),"")))</f>
        <v>8.8000000000000007</v>
      </c>
      <c r="BD28" s="12">
        <f>IF('Données projet'!$A$88&gt;35,BD27+BC28-BL27,IF(A28&lt;'Données projet'!$A$88,$BA$205^A28,IF(A28='Données projet'!$A$88,'Données projet'!$B$88,BD27+BC28-BL27)))</f>
        <v>75.999999999999986</v>
      </c>
      <c r="BE28" s="13">
        <f>BD28*VLOOKUP('Données projet'!$B$11,Paramètres!$A$1:$I$89,3,0)*VLOOKUP('Données projet'!$B$11,Paramètres!$A$1:$I$89,5,0)</f>
        <v>65.207999999999998</v>
      </c>
      <c r="BF28" s="13">
        <f t="shared" si="37"/>
        <v>18.478568429485204</v>
      </c>
      <c r="BG28" s="20">
        <f t="shared" si="7"/>
        <v>145.75410668135339</v>
      </c>
      <c r="BH28" s="59">
        <f t="shared" si="8"/>
        <v>432.97632890357562</v>
      </c>
      <c r="BI28" s="59">
        <f ca="1">AVERAGE(OFFSET($BH$3,0,0,'Données projet'!$E$11+1,1))-AVERAGE(OFFSET($H$3,0,0,'Données projet'!$E$11+1,1))</f>
        <v>447.15627913956871</v>
      </c>
      <c r="BJ28" s="59">
        <f t="shared" si="38"/>
        <v>256.77417912163997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188</v>
      </c>
      <c r="BW28" s="12">
        <f>VLOOKUP(A28,'Données projet'!$A$113:$I$133,9,0)</f>
        <v>10.4</v>
      </c>
      <c r="BX28" s="12">
        <f t="array" ref="BX28">INDEX(BW:BW,MIN(IF(ISNUMBER(BW28:BW224),ROW(BW28:BW224),"")))</f>
        <v>10.4</v>
      </c>
      <c r="BY28" s="12">
        <f>IF('Données projet'!$A$114&gt;35,BY27+BX28-CG27,IF(A28&lt;'Données projet'!$A$114,$BV$205^A28,IF(A28='Données projet'!$A$114,'Données projet'!$B$114,BY27+BX28-CG27)))</f>
        <v>188.00000000000006</v>
      </c>
      <c r="BZ28" s="13">
        <f>BY28*VLOOKUP('Données projet'!$B$12,Paramètres!$A$1:$I$89,3,0)*VLOOKUP('Données projet'!$B$12,Paramètres!$A$1:$I$89,5,0)</f>
        <v>178.90080000000006</v>
      </c>
      <c r="CA28" s="13">
        <f t="shared" si="39"/>
        <v>45.077547304318657</v>
      </c>
      <c r="CB28" s="20">
        <f t="shared" si="10"/>
        <v>390.09562155502181</v>
      </c>
      <c r="CC28" s="59">
        <f t="shared" si="11"/>
        <v>677.31784377724398</v>
      </c>
      <c r="CD28" s="59">
        <f ca="1">AVERAGE(OFFSET($CC$3,0,0,'Données projet'!$E$12+1,1))-AVERAGE(OFFSET($H$3,0,0,'Données projet'!$E$12+1,1))</f>
        <v>448.94764480536713</v>
      </c>
      <c r="CE28" s="59">
        <f t="shared" si="40"/>
        <v>469.26760321719695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26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226</v>
      </c>
      <c r="CR28" s="12">
        <f>VLOOKUP(A28,'Données projet'!$A$139:$I$159,9,0)</f>
        <v>17</v>
      </c>
      <c r="CS28" s="12">
        <f t="array" ref="CS28">INDEX(CR:CR,MIN(IF(ISNUMBER(CR28:CR224),ROW(CR28:CR224),"")))</f>
        <v>17</v>
      </c>
      <c r="CT28" s="12">
        <f>IF('Données projet'!$A$140&gt;35,CT27+CS28-DB27,IF(A28&lt;'Données projet'!$A$140,$CQ$205^A28,IF(A28='Données projet'!$A$140,'Données projet'!$B$140,CT27+CS28-DB27)))</f>
        <v>226</v>
      </c>
      <c r="CU28" s="17">
        <f>CT28*VLOOKUP('Données projet'!$B$13,Paramètres!$A$1:$I$89,3,0)*VLOOKUP('Données projet'!$B$13,Paramètres!$A$1:$I$89,5,0)</f>
        <v>135.14800000000002</v>
      </c>
      <c r="CV28" s="13">
        <f t="shared" si="41"/>
        <v>35.183208974998173</v>
      </c>
      <c r="CW28" s="20">
        <f t="shared" si="13"/>
        <v>296.66018896478852</v>
      </c>
      <c r="CX28" s="59">
        <f t="shared" si="14"/>
        <v>583.8824111870108</v>
      </c>
      <c r="CY28" s="59">
        <f ca="1">AVERAGE(OFFSET($CX$3,0,0,'Données projet'!$E$13+1,1))-AVERAGE(OFFSET($H$3,0,0,'Données projet'!$E$13+1,1))</f>
        <v>187.80389738728508</v>
      </c>
      <c r="CZ28" s="59">
        <f t="shared" si="42"/>
        <v>439.28159165815265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14.577854491536971</v>
      </c>
      <c r="DG28" s="21">
        <f>EXP(-LN(2)/25)*DG27+(1-EXP(-LN(2)/25))/(LN(2)/25)*Calculateur!DB28*Calculateur!DD28*VLOOKUP('Données projet'!$B$13,Paramètres!$A$1:$I$89,3,0)*0.475*44/12</f>
        <v>16.515191884493621</v>
      </c>
      <c r="DH28" s="21">
        <f>EXP(-LN(2)/2)*DH27+(1-EXP(-LN(2)/2))/(LN(2)/2)*DB28*DE28*VLOOKUP('Données projet'!$B$13,Paramètres!$A$1:$I$89,3,0)*0.475*44/12</f>
        <v>0.25434351472125455</v>
      </c>
      <c r="DI28" s="22">
        <f t="shared" si="15"/>
        <v>31.347389890751849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6.6</v>
      </c>
      <c r="DO28" s="12">
        <f>IF('Données projet'!$A$166&gt;35,DO27+DN28-DW27,IF(A28&lt;'Données projet'!$A$166,$DL$205^A28,IF(A28='Données projet'!$A$166,'Données projet'!$B$166,DO27+DN28-DW27)))</f>
        <v>116.80000000000001</v>
      </c>
      <c r="DP28" s="17">
        <f>DO28*VLOOKUP('Données projet'!$B$14,Paramètres!$A$1:$I$89,3,0)*VLOOKUP('Données projet'!$B$14,Paramètres!$A$1:$I$89,5,0)</f>
        <v>85.63776</v>
      </c>
      <c r="DQ28" s="13">
        <f t="shared" si="43"/>
        <v>23.510135010014299</v>
      </c>
      <c r="DR28" s="20">
        <f t="shared" si="16"/>
        <v>190.09925047577488</v>
      </c>
      <c r="DS28" s="59">
        <f t="shared" si="17"/>
        <v>477.32147269799714</v>
      </c>
      <c r="DT28" s="59">
        <f ca="1">AVERAGE(OFFSET($DS$3,0,0,'Données projet'!$E$14+1,1))-AVERAGE(OFFSET($H$3,0,0,'Données projet'!$E$14+1,1))</f>
        <v>239.25212250019609</v>
      </c>
      <c r="DU28" s="59">
        <f t="shared" si="44"/>
        <v>213.58492101729695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254</v>
      </c>
      <c r="EH28" s="12">
        <f>VLOOKUP(A28,'Données projet'!$A$191:$I$211,9,0)</f>
        <v>22.8</v>
      </c>
      <c r="EI28" s="12">
        <f t="array" ref="EI28">INDEX(EH:EH,MIN(IF(ISNUMBER(EH28:EH224),ROW(EH28:EH224),"")))</f>
        <v>22.8</v>
      </c>
      <c r="EJ28" s="12">
        <f>IF('Données projet'!$A$192&gt;35,EJ27+EI28-ER27,IF(A28&lt;'Données projet'!$A$192,$EG$205^A28,IF(A28='Données projet'!$A$192,'Données projet'!$B$192,EJ27+EI28-ER27)))</f>
        <v>254.00000000000009</v>
      </c>
      <c r="EK28" s="17">
        <f>EJ28*VLOOKUP('Données projet'!$B$15,Paramètres!$A$1:$I$89,3,0)*VLOOKUP('Données projet'!$B$15,Paramètres!$A$1:$I$89,5,0)</f>
        <v>151.89200000000005</v>
      </c>
      <c r="EL28" s="13">
        <f t="shared" si="45"/>
        <v>39.008235247069457</v>
      </c>
      <c r="EM28" s="20">
        <f t="shared" si="19"/>
        <v>332.48457638864602</v>
      </c>
      <c r="EN28" s="59">
        <f t="shared" si="20"/>
        <v>619.70679861086819</v>
      </c>
      <c r="EO28" s="59">
        <f ca="1">AVERAGE(OFFSET($EN$3,0,0,'Données projet'!$E$15+1,1))-AVERAGE(OFFSET($H$3,0,0,'Données projet'!$E$15+1,1))</f>
        <v>504.81063008331739</v>
      </c>
      <c r="EP28" s="59">
        <f t="shared" si="46"/>
        <v>441.82647565372287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63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0.45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41.902380646408645</v>
      </c>
      <c r="EX28" s="21">
        <f>EXP(-LN(2)/2)*EX27+(1-EXP(-LN(2)/2))/(LN(2)/2)*ER28*EU28*VLOOKUP('Données projet'!$B$15,Paramètres!$A$1:$I$89,3,0)*0.475*44/12</f>
        <v>0.2962202748403619</v>
      </c>
      <c r="EY28" s="22">
        <f t="shared" si="21"/>
        <v>42.198600921249003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142</v>
      </c>
      <c r="FC28" s="12">
        <f>VLOOKUP(A28,'Données projet'!$A$217:$I$237,9,0)</f>
        <v>12.8</v>
      </c>
      <c r="FD28" s="12">
        <f t="array" ref="FD28">INDEX(FC:FC,MIN(IF(ISNUMBER(FC28:FC224),ROW(FC28:FC224),"")))</f>
        <v>12.8</v>
      </c>
      <c r="FE28" s="12">
        <f>IF('Données projet'!$A$218&gt;35,FE27+FD28-FM27,IF(A28&lt;'Données projet'!$A$218,$FB$205^A28,IF(A28='Données projet'!$A$218,'Données projet'!$B$218,FE27+FD28-FM27)))</f>
        <v>142</v>
      </c>
      <c r="FF28" s="17">
        <f>FE28*VLOOKUP('Données projet'!$B$16,Paramètres!$A$1:$I$89,3,0)*VLOOKUP('Données projet'!$B$16,Paramètres!$A$1:$I$89,5,0)</f>
        <v>81.224000000000004</v>
      </c>
      <c r="FG28" s="13">
        <f t="shared" si="47"/>
        <v>22.436193505163597</v>
      </c>
      <c r="FH28" s="20">
        <f t="shared" si="22"/>
        <v>180.54150368815991</v>
      </c>
      <c r="FI28" s="59">
        <f t="shared" si="23"/>
        <v>467.76372591038216</v>
      </c>
      <c r="FJ28" s="59">
        <f ca="1">AVERAGE(OFFSET($FI$3,0,0,'Données projet'!$E$16+1,1))-AVERAGE(OFFSET($H$3,0,0,'Données projet'!$E$16+1,1))</f>
        <v>393.41577134252316</v>
      </c>
      <c r="FK28" s="59">
        <f t="shared" si="48"/>
        <v>255.54039659391475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42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0.45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14.284756155421883</v>
      </c>
      <c r="FS28" s="21">
        <f>EXP(-LN(2)/2)*FS27+(1-EXP(-LN(2)/2))/(LN(2)/2)*FM28*FP28*VLOOKUP('Données projet'!$B$16,Paramètres!$A$1:$I$89,3,0)*0.475*44/12</f>
        <v>2.0607679146724669</v>
      </c>
      <c r="FT28" s="22">
        <f t="shared" si="24"/>
        <v>16.345524070094349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298</v>
      </c>
      <c r="FX28" s="12">
        <f>VLOOKUP(A28,'Données projet'!$A$243:$I$263,9,0)</f>
        <v>29.8</v>
      </c>
      <c r="FY28" s="12">
        <f t="array" ref="FY28">INDEX(FX:FX,MIN(IF(ISNUMBER(FX28:FX224),ROW(FX28:FX224),"")))</f>
        <v>29.8</v>
      </c>
      <c r="FZ28" s="12">
        <f>IF('Données projet'!$A$244&gt;35,FZ27+FY28-GH27,IF(A28&lt;'Données projet'!$A$244,$FW$205^A28,IF(A28='Données projet'!$A$244,'Données projet'!$B$244,FZ27+FY28-GH27)))</f>
        <v>298.00000000000006</v>
      </c>
      <c r="GA28" s="17">
        <f>FZ28*VLOOKUP('Données projet'!$B$17,Paramètres!$A$1:$I$89,3,0)*VLOOKUP('Données projet'!$B$17,Paramètres!$A$1:$I$89,5,0)</f>
        <v>139.46400000000003</v>
      </c>
      <c r="GB28" s="13">
        <f t="shared" si="49"/>
        <v>36.174188022271792</v>
      </c>
      <c r="GC28" s="20">
        <f t="shared" si="25"/>
        <v>305.90317747212345</v>
      </c>
      <c r="GD28" s="59">
        <f t="shared" si="26"/>
        <v>593.12539969434567</v>
      </c>
      <c r="GE28" s="59">
        <f ca="1">AVERAGE(OFFSET($GD$3,0,0,'Données projet'!$E$17+1,1))-AVERAGE(OFFSET($H$3,0,0,'Données projet'!$E$17+1,1))</f>
        <v>488.67934252295686</v>
      </c>
      <c r="GF28" s="59">
        <f t="shared" si="50"/>
        <v>424.50324471331095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77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0.55000000000000004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26.188719618273449</v>
      </c>
      <c r="GN28" s="21">
        <f>EXP(-LN(2)/2)*GN27+(1-EXP(-LN(2)/2))/(LN(2)/2)*GH28*GK28*VLOOKUP('Données projet'!$B$17,Paramètres!$A$1:$I$89,3,0)*0.475*44/12</f>
        <v>4.5898921735886749</v>
      </c>
      <c r="GO28" s="21">
        <f t="shared" si="27"/>
        <v>30.778611791862126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269</v>
      </c>
      <c r="GS28" s="12">
        <f>VLOOKUP(A28,'Données projet'!$A$269:$I$289,9,0)</f>
        <v>27</v>
      </c>
      <c r="GT28" s="12">
        <f t="array" ref="GT28">INDEX(GS:GS,MIN(IF(ISNUMBER(GS28:GS224),ROW(GS28:GS224),"")))</f>
        <v>27</v>
      </c>
      <c r="GU28" s="12">
        <f>IF('Données projet'!$A$270&gt;35,GU27+GT28-HC27,IF(A28&lt;'Données projet'!$A$270,$GR$205^A28,IF(A28='Données projet'!$A$270,'Données projet'!$B$270,GU27+GT28-HC27)))</f>
        <v>269</v>
      </c>
      <c r="GV28" s="17">
        <f>GU28*VLOOKUP('Données projet'!$B$18,Paramètres!$A$1:$I$89,3,0)*VLOOKUP('Données projet'!$B$18,Paramètres!$A$1:$I$89,5,0)</f>
        <v>129.38900000000001</v>
      </c>
      <c r="GW28" s="13">
        <f t="shared" si="51"/>
        <v>33.855136484520941</v>
      </c>
      <c r="GX28" s="20">
        <f t="shared" si="28"/>
        <v>284.31687104387396</v>
      </c>
      <c r="GY28" s="59">
        <f t="shared" si="29"/>
        <v>571.53909326609619</v>
      </c>
      <c r="GZ28" s="59">
        <f ca="1">AVERAGE(OFFSET($GY$3,0,0,'Données projet'!$E$18+1,1))-AVERAGE(OFFSET($H$3,0,0,'Données projet'!$E$18+1,1))</f>
        <v>458.80976193248841</v>
      </c>
      <c r="HA28" s="59">
        <f t="shared" si="52"/>
        <v>396.07405370178759</v>
      </c>
      <c r="HB28" s="15">
        <f>IF(ISNA(VLOOKUP(A28,'Données projet'!$A$269:$I$289,3,0)),0,VLOOKUP(A28,'Données projet'!$A$269:$I$289,3,0))</f>
        <v>2</v>
      </c>
      <c r="HC28" s="15">
        <f>IF(ISNA(VLOOKUP(A28,'Données projet'!$A$269:$I$289,4,0)),0,VLOOKUP(A28,'Données projet'!$A$269:$I$289,4,0))</f>
        <v>70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0.55000000000000004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24.469258229194889</v>
      </c>
      <c r="HI28" s="21">
        <f>EXP(-LN(2)/2)*HI27+(1-EXP(-LN(2)/2))/(LN(2)/2)*HC28*HF28*VLOOKUP('Données projet'!$B$18,Paramètres!$A$1:$I$89,3,0)*0.475*44/12</f>
        <v>2.1180114678578139</v>
      </c>
      <c r="HJ28" s="22">
        <f t="shared" si="30"/>
        <v>26.587269697052704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428.14827288949664</v>
      </c>
      <c r="S29" s="59">
        <f ca="1">AVERAGE(OFFSET($R$3,0,0,'Données projet'!$E$9+1,1))-AVERAGE(OFFSET($H$3,0,0,'Données projet'!$E$9+1,1))</f>
        <v>364.3481978218424</v>
      </c>
      <c r="T29" s="59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</v>
      </c>
      <c r="AI29" s="13">
        <f>IF('Données projet'!$A$62&gt;35,AI28+AH29-AQ28,IF(A29&lt;'Données projet'!$A$62,$AF$205^A29,IF(A29='Données projet'!$A$62,'Données projet'!$B$62,AI28+AH29-AQ28)))</f>
        <v>309</v>
      </c>
      <c r="AJ29" s="13">
        <f>AI29*VLOOKUP('Données projet'!$B$10,Paramètres!$A$1:$I$89,3,0)*VLOOKUP('Données projet'!$B$10,Paramètres!$A$1:$I$89,5,0)</f>
        <v>172.73100000000002</v>
      </c>
      <c r="AK29" s="13">
        <f t="shared" si="35"/>
        <v>43.701108252019125</v>
      </c>
      <c r="AL29" s="20">
        <f t="shared" si="4"/>
        <v>376.9525885389333</v>
      </c>
      <c r="AM29" s="59">
        <f t="shared" si="5"/>
        <v>665.39703298337781</v>
      </c>
      <c r="AN29" s="59">
        <f ca="1">AVERAGE(OFFSET($AM$3,0,0,'Données projet'!$E$10+1,1))-AVERAGE(OFFSET($H$3,0,0,'Données projet'!$E$10+1,1))</f>
        <v>443.34220761968419</v>
      </c>
      <c r="AO29" s="59">
        <f t="shared" si="36"/>
        <v>546.58234447298014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24.16718736297711</v>
      </c>
      <c r="AX29" s="21">
        <f t="shared" si="6"/>
        <v>24.16718736297711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9.4</v>
      </c>
      <c r="BD29" s="12">
        <f>IF('Données projet'!$A$88&gt;35,BD28+BC29-BL28,IF(A29&lt;'Données projet'!$A$88,$BA$205^A29,IF(A29='Données projet'!$A$88,'Données projet'!$B$88,BD28+BC29-BL28)))</f>
        <v>78.399999999999991</v>
      </c>
      <c r="BE29" s="13">
        <f>BD29*VLOOKUP('Données projet'!$B$11,Paramètres!$A$1:$I$89,3,0)*VLOOKUP('Données projet'!$B$11,Paramètres!$A$1:$I$89,5,0)</f>
        <v>67.267200000000003</v>
      </c>
      <c r="BF29" s="13">
        <f t="shared" si="37"/>
        <v>18.993242158132926</v>
      </c>
      <c r="BG29" s="20">
        <f t="shared" si="7"/>
        <v>150.23693675874819</v>
      </c>
      <c r="BH29" s="59">
        <f t="shared" si="8"/>
        <v>438.68138120319264</v>
      </c>
      <c r="BI29" s="59">
        <f ca="1">AVERAGE(OFFSET($BH$3,0,0,'Données projet'!$E$11+1,1))-AVERAGE(OFFSET($H$3,0,0,'Données projet'!$E$11+1,1))</f>
        <v>447.15627913956871</v>
      </c>
      <c r="BJ29" s="59">
        <f t="shared" si="38"/>
        <v>256.77417912163997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9.4</v>
      </c>
      <c r="BY29" s="12">
        <f>IF('Données projet'!$A$114&gt;35,BY28+BX29-CG28,IF(A29&lt;'Données projet'!$A$114,$BV$205^A29,IF(A29='Données projet'!$A$114,'Données projet'!$B$114,BY28+BX29-CG28)))</f>
        <v>171.40000000000006</v>
      </c>
      <c r="BZ29" s="13">
        <f>BY29*VLOOKUP('Données projet'!$B$12,Paramètres!$A$1:$I$89,3,0)*VLOOKUP('Données projet'!$B$12,Paramètres!$A$1:$I$89,5,0)</f>
        <v>163.10424000000006</v>
      </c>
      <c r="CA29" s="13">
        <f t="shared" si="39"/>
        <v>41.541900444856886</v>
      </c>
      <c r="CB29" s="20">
        <f t="shared" si="10"/>
        <v>356.42536127479252</v>
      </c>
      <c r="CC29" s="59">
        <f t="shared" si="11"/>
        <v>644.86980571923698</v>
      </c>
      <c r="CD29" s="59">
        <f ca="1">AVERAGE(OFFSET($CC$3,0,0,'Données projet'!$E$12+1,1))-AVERAGE(OFFSET($H$3,0,0,'Données projet'!$E$12+1,1))</f>
        <v>448.94764480536713</v>
      </c>
      <c r="CE29" s="59">
        <f t="shared" si="40"/>
        <v>469.26760321719695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>
        <f>VLOOKUP(A29,'Données projet'!$A$139:$I$159,2,0)</f>
        <v>244</v>
      </c>
      <c r="CR29" s="12">
        <f>VLOOKUP(A29,'Données projet'!$A$139:$I$159,9,0)</f>
        <v>18</v>
      </c>
      <c r="CS29" s="12">
        <f t="array" ref="CS29">INDEX(CR:CR,MIN(IF(ISNUMBER(CR29:CR225),ROW(CR29:CR225),"")))</f>
        <v>18</v>
      </c>
      <c r="CT29" s="12">
        <f>IF('Données projet'!$A$140&gt;35,CT28+CS29-DB28,IF(A29&lt;'Données projet'!$A$140,$CQ$205^A29,IF(A29='Données projet'!$A$140,'Données projet'!$B$140,CT28+CS29-DB28)))</f>
        <v>244</v>
      </c>
      <c r="CU29" s="17">
        <f>CT29*VLOOKUP('Données projet'!$B$13,Paramètres!$A$1:$I$89,3,0)*VLOOKUP('Données projet'!$B$13,Paramètres!$A$1:$I$89,5,0)</f>
        <v>145.91200000000001</v>
      </c>
      <c r="CV29" s="13">
        <f t="shared" si="41"/>
        <v>37.648084239987625</v>
      </c>
      <c r="CW29" s="20">
        <f t="shared" si="13"/>
        <v>319.70048005131179</v>
      </c>
      <c r="CX29" s="59">
        <f t="shared" si="14"/>
        <v>608.14492449575619</v>
      </c>
      <c r="CY29" s="59">
        <f ca="1">AVERAGE(OFFSET($CX$3,0,0,'Données projet'!$E$13+1,1))-AVERAGE(OFFSET($H$3,0,0,'Données projet'!$E$13+1,1))</f>
        <v>187.80389738728508</v>
      </c>
      <c r="CZ29" s="59">
        <f t="shared" si="42"/>
        <v>439.28159165815265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14.291991656571197</v>
      </c>
      <c r="DG29" s="21">
        <f>EXP(-LN(2)/25)*DG28+(1-EXP(-LN(2)/25))/(LN(2)/25)*Calculateur!DB29*Calculateur!DD29*VLOOKUP('Données projet'!$B$13,Paramètres!$A$1:$I$89,3,0)*0.475*44/12</f>
        <v>16.063583093915948</v>
      </c>
      <c r="DH29" s="21">
        <f>EXP(-LN(2)/2)*DH28+(1-EXP(-LN(2)/2))/(LN(2)/2)*DB29*DE29*VLOOKUP('Données projet'!$B$13,Paramètres!$A$1:$I$89,3,0)*0.475*44/12</f>
        <v>0.17984802401021957</v>
      </c>
      <c r="DI29" s="22">
        <f t="shared" si="15"/>
        <v>30.535422774497363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6.6</v>
      </c>
      <c r="DO29" s="12">
        <f>IF('Données projet'!$A$166&gt;35,DO28+DN29-DW28,IF(A29&lt;'Données projet'!$A$166,$DL$205^A29,IF(A29='Données projet'!$A$166,'Données projet'!$B$166,DO28+DN29-DW28)))</f>
        <v>123.4</v>
      </c>
      <c r="DP29" s="17">
        <f>DO29*VLOOKUP('Données projet'!$B$14,Paramètres!$A$1:$I$89,3,0)*VLOOKUP('Données projet'!$B$14,Paramètres!$A$1:$I$89,5,0)</f>
        <v>90.476879999999994</v>
      </c>
      <c r="DQ29" s="13">
        <f t="shared" si="43"/>
        <v>24.680201568735427</v>
      </c>
      <c r="DR29" s="20">
        <f t="shared" si="16"/>
        <v>200.56525039888083</v>
      </c>
      <c r="DS29" s="59">
        <f t="shared" si="17"/>
        <v>489.00969484332529</v>
      </c>
      <c r="DT29" s="59">
        <f ca="1">AVERAGE(OFFSET($DS$3,0,0,'Données projet'!$E$14+1,1))-AVERAGE(OFFSET($H$3,0,0,'Données projet'!$E$14+1,1))</f>
        <v>239.25212250019609</v>
      </c>
      <c r="DU29" s="59">
        <f t="shared" si="44"/>
        <v>213.58492101729695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24</v>
      </c>
      <c r="EJ29" s="12">
        <f>IF('Données projet'!$A$192&gt;35,EJ28+EI29-ER28,IF(A29&lt;'Données projet'!$A$192,$EG$205^A29,IF(A29='Données projet'!$A$192,'Données projet'!$B$192,EJ28+EI29-ER28)))</f>
        <v>215.00000000000011</v>
      </c>
      <c r="EK29" s="17">
        <f>EJ29*VLOOKUP('Données projet'!$B$15,Paramètres!$A$1:$I$89,3,0)*VLOOKUP('Données projet'!$B$15,Paramètres!$A$1:$I$89,5,0)</f>
        <v>128.57000000000008</v>
      </c>
      <c r="EL29" s="13">
        <f t="shared" si="45"/>
        <v>33.665715905233277</v>
      </c>
      <c r="EM29" s="20">
        <f t="shared" si="19"/>
        <v>282.56053853494808</v>
      </c>
      <c r="EN29" s="59">
        <f t="shared" si="20"/>
        <v>571.00498297939248</v>
      </c>
      <c r="EO29" s="59">
        <f ca="1">AVERAGE(OFFSET($EN$3,0,0,'Données projet'!$E$15+1,1))-AVERAGE(OFFSET($H$3,0,0,'Données projet'!$E$15+1,1))</f>
        <v>504.81063008331739</v>
      </c>
      <c r="EP29" s="59">
        <f t="shared" si="46"/>
        <v>441.82647565372287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40.756557844082174</v>
      </c>
      <c r="EX29" s="21">
        <f>EXP(-LN(2)/2)*EX28+(1-EXP(-LN(2)/2))/(LN(2)/2)*ER29*EU29*VLOOKUP('Données projet'!$B$15,Paramètres!$A$1:$I$89,3,0)*0.475*44/12</f>
        <v>0.20945936506456275</v>
      </c>
      <c r="EY29" s="22">
        <f t="shared" si="21"/>
        <v>40.966017209146735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14.6</v>
      </c>
      <c r="FE29" s="12">
        <f>IF('Données projet'!$A$218&gt;35,FE28+FD29-FM28,IF(A29&lt;'Données projet'!$A$218,$FB$205^A29,IF(A29='Données projet'!$A$218,'Données projet'!$B$218,FE28+FD29-FM28)))</f>
        <v>114.6</v>
      </c>
      <c r="FF29" s="17">
        <f>FE29*VLOOKUP('Données projet'!$B$16,Paramètres!$A$1:$I$89,3,0)*VLOOKUP('Données projet'!$B$16,Paramètres!$A$1:$I$89,5,0)</f>
        <v>65.551200000000009</v>
      </c>
      <c r="FG29" s="13">
        <f t="shared" si="47"/>
        <v>18.564477226389773</v>
      </c>
      <c r="FH29" s="20">
        <f t="shared" si="22"/>
        <v>146.50147116929551</v>
      </c>
      <c r="FI29" s="59">
        <f t="shared" si="23"/>
        <v>434.94591561374</v>
      </c>
      <c r="FJ29" s="59">
        <f ca="1">AVERAGE(OFFSET($FI$3,0,0,'Données projet'!$E$16+1,1))-AVERAGE(OFFSET($H$3,0,0,'Données projet'!$E$16+1,1))</f>
        <v>393.41577134252316</v>
      </c>
      <c r="FK29" s="59">
        <f t="shared" si="48"/>
        <v>255.54039659391475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13.894138747149194</v>
      </c>
      <c r="FS29" s="21">
        <f>EXP(-LN(2)/2)*FS28+(1-EXP(-LN(2)/2))/(LN(2)/2)*FM29*FP29*VLOOKUP('Données projet'!$B$16,Paramètres!$A$1:$I$89,3,0)*0.475*44/12</f>
        <v>1.4571829669165619</v>
      </c>
      <c r="FT29" s="22">
        <f t="shared" si="24"/>
        <v>15.351321714065756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31.8</v>
      </c>
      <c r="FZ29" s="12">
        <f>IF('Données projet'!$A$244&gt;35,FZ28+FY29-GH28,IF(A29&lt;'Données projet'!$A$244,$FW$205^A29,IF(A29='Données projet'!$A$244,'Données projet'!$B$244,FZ28+FY29-GH28)))</f>
        <v>252.80000000000007</v>
      </c>
      <c r="GA29" s="17">
        <f>FZ29*VLOOKUP('Données projet'!$B$17,Paramètres!$A$1:$I$89,3,0)*VLOOKUP('Données projet'!$B$17,Paramètres!$A$1:$I$89,5,0)</f>
        <v>118.31040000000003</v>
      </c>
      <c r="GB29" s="13">
        <f t="shared" si="49"/>
        <v>31.280603211565367</v>
      </c>
      <c r="GC29" s="20">
        <f t="shared" si="25"/>
        <v>260.53766392680978</v>
      </c>
      <c r="GD29" s="59">
        <f t="shared" si="26"/>
        <v>548.9821083712543</v>
      </c>
      <c r="GE29" s="59">
        <f ca="1">AVERAGE(OFFSET($GD$3,0,0,'Données projet'!$E$17+1,1))-AVERAGE(OFFSET($H$3,0,0,'Données projet'!$E$17+1,1))</f>
        <v>488.67934252295686</v>
      </c>
      <c r="GF29" s="59">
        <f t="shared" si="50"/>
        <v>424.50324471331095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25.472587703106853</v>
      </c>
      <c r="GN29" s="21">
        <f>EXP(-LN(2)/2)*GN28+(1-EXP(-LN(2)/2))/(LN(2)/2)*GH29*GK29*VLOOKUP('Données projet'!$B$17,Paramètres!$A$1:$I$89,3,0)*0.475*44/12</f>
        <v>3.2455438808596142</v>
      </c>
      <c r="GO29" s="21">
        <f t="shared" si="27"/>
        <v>28.718131583966468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28.6</v>
      </c>
      <c r="GU29" s="12">
        <f>IF('Données projet'!$A$270&gt;35,GU28+GT29-HC28,IF(A29&lt;'Données projet'!$A$270,$GR$205^A29,IF(A29='Données projet'!$A$270,'Données projet'!$B$270,GU28+GT29-HC28)))</f>
        <v>227.60000000000002</v>
      </c>
      <c r="GV29" s="17">
        <f>GU29*VLOOKUP('Données projet'!$B$18,Paramètres!$A$1:$I$89,3,0)*VLOOKUP('Données projet'!$B$18,Paramètres!$A$1:$I$89,5,0)</f>
        <v>109.47560000000001</v>
      </c>
      <c r="GW29" s="13">
        <f t="shared" si="51"/>
        <v>29.207397501064357</v>
      </c>
      <c r="GX29" s="20">
        <f t="shared" si="28"/>
        <v>241.53955398102039</v>
      </c>
      <c r="GY29" s="59">
        <f t="shared" si="29"/>
        <v>529.98399842546485</v>
      </c>
      <c r="GZ29" s="59">
        <f ca="1">AVERAGE(OFFSET($GY$3,0,0,'Données projet'!$E$18+1,1))-AVERAGE(OFFSET($H$3,0,0,'Données projet'!$E$18+1,1))</f>
        <v>458.80976193248841</v>
      </c>
      <c r="HA29" s="59">
        <f t="shared" si="52"/>
        <v>396.07405370178759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23.800145076135191</v>
      </c>
      <c r="HI29" s="21">
        <f>EXP(-LN(2)/2)*HI28+(1-EXP(-LN(2)/2))/(LN(2)/2)*HC29*HF29*VLOOKUP('Données projet'!$B$18,Paramètres!$A$1:$I$89,3,0)*0.475*44/12</f>
        <v>1.4976602715531337</v>
      </c>
      <c r="HJ29" s="22">
        <f t="shared" si="30"/>
        <v>25.297805347688325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443.16183437358302</v>
      </c>
      <c r="S30" s="59">
        <f ca="1">AVERAGE(OFFSET($R$3,0,0,'Données projet'!$E$9+1,1))-AVERAGE(OFFSET($H$3,0,0,'Données projet'!$E$9+1,1))</f>
        <v>364.3481978218424</v>
      </c>
      <c r="T30" s="59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</v>
      </c>
      <c r="AI30" s="13">
        <f>IF('Données projet'!$A$62&gt;35,AI29+AH30-AQ29,IF(A30&lt;'Données projet'!$A$62,$AF$205^A30,IF(A30='Données projet'!$A$62,'Données projet'!$B$62,AI29+AH30-AQ29)))</f>
        <v>337</v>
      </c>
      <c r="AJ30" s="13">
        <f>AI30*VLOOKUP('Données projet'!$B$10,Paramètres!$A$1:$I$89,3,0)*VLOOKUP('Données projet'!$B$10,Paramètres!$A$1:$I$89,5,0)</f>
        <v>188.38300000000001</v>
      </c>
      <c r="AK30" s="13">
        <f t="shared" si="35"/>
        <v>47.182279474248382</v>
      </c>
      <c r="AL30" s="20">
        <f t="shared" si="4"/>
        <v>410.27619508431599</v>
      </c>
      <c r="AM30" s="59">
        <f t="shared" si="5"/>
        <v>699.94286175098273</v>
      </c>
      <c r="AN30" s="59">
        <f ca="1">AVERAGE(OFFSET($AM$3,0,0,'Données projet'!$E$10+1,1))-AVERAGE(OFFSET($H$3,0,0,'Données projet'!$E$10+1,1))</f>
        <v>443.34220761968419</v>
      </c>
      <c r="AO30" s="59">
        <f t="shared" si="36"/>
        <v>546.58234447298014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17.088782066566953</v>
      </c>
      <c r="AX30" s="21">
        <f t="shared" si="6"/>
        <v>17.088782066566953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9.4</v>
      </c>
      <c r="BD30" s="12">
        <f>IF('Données projet'!$A$88&gt;35,BD29+BC30-BL29,IF(A30&lt;'Données projet'!$A$88,$BA$205^A30,IF(A30='Données projet'!$A$88,'Données projet'!$B$88,BD29+BC30-BL29)))</f>
        <v>87.8</v>
      </c>
      <c r="BE30" s="13">
        <f>BD30*VLOOKUP('Données projet'!$B$11,Paramètres!$A$1:$I$89,3,0)*VLOOKUP('Données projet'!$B$11,Paramètres!$A$1:$I$89,5,0)</f>
        <v>75.332400000000007</v>
      </c>
      <c r="BF30" s="13">
        <f t="shared" si="37"/>
        <v>20.991969498724234</v>
      </c>
      <c r="BG30" s="20">
        <f t="shared" si="7"/>
        <v>167.76494354361137</v>
      </c>
      <c r="BH30" s="59">
        <f t="shared" si="8"/>
        <v>457.43161021027805</v>
      </c>
      <c r="BI30" s="59">
        <f ca="1">AVERAGE(OFFSET($BH$3,0,0,'Données projet'!$E$11+1,1))-AVERAGE(OFFSET($H$3,0,0,'Données projet'!$E$11+1,1))</f>
        <v>447.15627913956871</v>
      </c>
      <c r="BJ30" s="59">
        <f t="shared" si="38"/>
        <v>256.77417912163997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9.4</v>
      </c>
      <c r="BY30" s="12">
        <f>IF('Données projet'!$A$114&gt;35,BY29+BX30-CG29,IF(A30&lt;'Données projet'!$A$114,$BV$205^A30,IF(A30='Données projet'!$A$114,'Données projet'!$B$114,BY29+BX30-CG29)))</f>
        <v>180.80000000000007</v>
      </c>
      <c r="BZ30" s="13">
        <f>BY30*VLOOKUP('Données projet'!$B$12,Paramètres!$A$1:$I$89,3,0)*VLOOKUP('Données projet'!$B$12,Paramètres!$A$1:$I$89,5,0)</f>
        <v>172.04928000000007</v>
      </c>
      <c r="CA30" s="13">
        <f t="shared" si="39"/>
        <v>43.548673566823723</v>
      </c>
      <c r="CB30" s="20">
        <f t="shared" si="10"/>
        <v>375.49976912888474</v>
      </c>
      <c r="CC30" s="59">
        <f t="shared" si="11"/>
        <v>665.16643579555148</v>
      </c>
      <c r="CD30" s="59">
        <f ca="1">AVERAGE(OFFSET($CC$3,0,0,'Données projet'!$E$12+1,1))-AVERAGE(OFFSET($H$3,0,0,'Données projet'!$E$12+1,1))</f>
        <v>448.94764480536713</v>
      </c>
      <c r="CE30" s="59">
        <f t="shared" si="40"/>
        <v>469.26760321719695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>
        <f>VLOOKUP(A30,'Données projet'!$A$139:$I$159,2,0)</f>
        <v>261</v>
      </c>
      <c r="CR30" s="12">
        <f>VLOOKUP(A30,'Données projet'!$A$139:$I$159,9,0)</f>
        <v>17</v>
      </c>
      <c r="CS30" s="12">
        <f t="array" ref="CS30">INDEX(CR:CR,MIN(IF(ISNUMBER(CR30:CR226),ROW(CR30:CR226),"")))</f>
        <v>17</v>
      </c>
      <c r="CT30" s="12">
        <f>IF('Données projet'!$A$140&gt;35,CT29+CS30-DB29,IF(A30&lt;'Données projet'!$A$140,$CQ$205^A30,IF(A30='Données projet'!$A$140,'Données projet'!$B$140,CT29+CS30-DB29)))</f>
        <v>261</v>
      </c>
      <c r="CU30" s="17">
        <f>CT30*VLOOKUP('Données projet'!$B$13,Paramètres!$A$1:$I$89,3,0)*VLOOKUP('Données projet'!$B$13,Paramètres!$A$1:$I$89,5,0)</f>
        <v>156.078</v>
      </c>
      <c r="CV30" s="13">
        <f t="shared" si="41"/>
        <v>39.956623674978466</v>
      </c>
      <c r="CW30" s="20">
        <f t="shared" si="13"/>
        <v>341.42696956725416</v>
      </c>
      <c r="CX30" s="59">
        <f t="shared" si="14"/>
        <v>631.09363623392085</v>
      </c>
      <c r="CY30" s="59">
        <f ca="1">AVERAGE(OFFSET($CX$3,0,0,'Données projet'!$E$13+1,1))-AVERAGE(OFFSET($H$3,0,0,'Données projet'!$E$13+1,1))</f>
        <v>187.80389738728508</v>
      </c>
      <c r="CZ30" s="59">
        <f t="shared" si="42"/>
        <v>439.28159165815265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14.011734417439989</v>
      </c>
      <c r="DG30" s="21">
        <f>EXP(-LN(2)/25)*DG29+(1-EXP(-LN(2)/25))/(LN(2)/25)*Calculateur!DB30*Calculateur!DD30*VLOOKUP('Données projet'!$B$13,Paramètres!$A$1:$I$89,3,0)*0.475*44/12</f>
        <v>15.624323569465696</v>
      </c>
      <c r="DH30" s="21">
        <f>EXP(-LN(2)/2)*DH29+(1-EXP(-LN(2)/2))/(LN(2)/2)*DB30*DE30*VLOOKUP('Données projet'!$B$13,Paramètres!$A$1:$I$89,3,0)*0.475*44/12</f>
        <v>0.12717175736062727</v>
      </c>
      <c r="DI30" s="22">
        <f t="shared" si="15"/>
        <v>29.763229744266312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>
        <f>VLOOKUP(A30,'Données projet'!$A$165:$I$185,2,0)</f>
        <v>130</v>
      </c>
      <c r="DM30" s="12">
        <f>VLOOKUP(A30,'Données projet'!$A$165:$I$185,9,0)</f>
        <v>6.6</v>
      </c>
      <c r="DN30" s="12">
        <f t="array" ref="DN30">INDEX(DM:DM,MIN(IF(ISNUMBER(DM30:DM226),ROW(DM30:DM226),"")))</f>
        <v>6.6</v>
      </c>
      <c r="DO30" s="12">
        <f>IF('Données projet'!$A$166&gt;35,DO29+DN30-DW29,IF(A30&lt;'Données projet'!$A$166,$DL$205^A30,IF(A30='Données projet'!$A$166,'Données projet'!$B$166,DO29+DN30-DW29)))</f>
        <v>130</v>
      </c>
      <c r="DP30" s="17">
        <f>DO30*VLOOKUP('Données projet'!$B$14,Paramètres!$A$1:$I$89,3,0)*VLOOKUP('Données projet'!$B$14,Paramètres!$A$1:$I$89,5,0)</f>
        <v>95.315999999999988</v>
      </c>
      <c r="DQ30" s="13">
        <f t="shared" si="43"/>
        <v>25.843002723192381</v>
      </c>
      <c r="DR30" s="20">
        <f t="shared" si="16"/>
        <v>211.01859640956005</v>
      </c>
      <c r="DS30" s="59">
        <f t="shared" si="17"/>
        <v>500.68526307622676</v>
      </c>
      <c r="DT30" s="59">
        <f ca="1">AVERAGE(OFFSET($DS$3,0,0,'Données projet'!$E$14+1,1))-AVERAGE(OFFSET($H$3,0,0,'Données projet'!$E$14+1,1))</f>
        <v>239.25212250019609</v>
      </c>
      <c r="DU30" s="59">
        <f t="shared" si="44"/>
        <v>213.58492101729695</v>
      </c>
      <c r="DV30" s="15">
        <f>IF(ISNA(VLOOKUP(A30,'Données projet'!$A$165:$I$185,3,0)),0,VLOOKUP(A30,'Données projet'!$A$165:$I$185,3,0))</f>
        <v>3</v>
      </c>
      <c r="DW30" s="15">
        <f>IF(ISNA(VLOOKUP(A30,'Données projet'!$A$165:$I$185,4,0)),0,VLOOKUP(A30,'Données projet'!$A$165:$I$185,4,0))</f>
        <v>38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24</v>
      </c>
      <c r="EJ30" s="12">
        <f>IF('Données projet'!$A$192&gt;35,EJ29+EI30-ER29,IF(A30&lt;'Données projet'!$A$192,$EG$205^A30,IF(A30='Données projet'!$A$192,'Données projet'!$B$192,EJ29+EI30-ER29)))</f>
        <v>239.00000000000011</v>
      </c>
      <c r="EK30" s="17">
        <f>EJ30*VLOOKUP('Données projet'!$B$15,Paramètres!$A$1:$I$89,3,0)*VLOOKUP('Données projet'!$B$15,Paramètres!$A$1:$I$89,5,0)</f>
        <v>142.92200000000008</v>
      </c>
      <c r="EL30" s="13">
        <f t="shared" si="45"/>
        <v>36.965587791044591</v>
      </c>
      <c r="EM30" s="20">
        <f t="shared" si="19"/>
        <v>313.30421540273613</v>
      </c>
      <c r="EN30" s="59">
        <f t="shared" si="20"/>
        <v>602.97088206940282</v>
      </c>
      <c r="EO30" s="59">
        <f ca="1">AVERAGE(OFFSET($EN$3,0,0,'Données projet'!$E$15+1,1))-AVERAGE(OFFSET($H$3,0,0,'Données projet'!$E$15+1,1))</f>
        <v>504.81063008331739</v>
      </c>
      <c r="EP30" s="59">
        <f t="shared" si="46"/>
        <v>441.82647565372287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39.642067626541518</v>
      </c>
      <c r="EX30" s="21">
        <f>EXP(-LN(2)/2)*EX29+(1-EXP(-LN(2)/2))/(LN(2)/2)*ER30*EU30*VLOOKUP('Données projet'!$B$15,Paramètres!$A$1:$I$89,3,0)*0.475*44/12</f>
        <v>0.14811013742018095</v>
      </c>
      <c r="EY30" s="22">
        <f t="shared" si="21"/>
        <v>39.790177763961701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14.6</v>
      </c>
      <c r="FE30" s="12">
        <f>IF('Données projet'!$A$218&gt;35,FE29+FD30-FM29,IF(A30&lt;'Données projet'!$A$218,$FB$205^A30,IF(A30='Données projet'!$A$218,'Données projet'!$B$218,FE29+FD30-FM29)))</f>
        <v>129.19999999999999</v>
      </c>
      <c r="FF30" s="17">
        <f>FE30*VLOOKUP('Données projet'!$B$16,Paramètres!$A$1:$I$89,3,0)*VLOOKUP('Données projet'!$B$16,Paramètres!$A$1:$I$89,5,0)</f>
        <v>73.902399999999986</v>
      </c>
      <c r="FG30" s="13">
        <f t="shared" si="47"/>
        <v>20.639480080340533</v>
      </c>
      <c r="FH30" s="20">
        <f t="shared" si="22"/>
        <v>164.66044113992641</v>
      </c>
      <c r="FI30" s="59">
        <f t="shared" si="23"/>
        <v>454.32710780659306</v>
      </c>
      <c r="FJ30" s="59">
        <f ca="1">AVERAGE(OFFSET($FI$3,0,0,'Données projet'!$E$16+1,1))-AVERAGE(OFFSET($H$3,0,0,'Données projet'!$E$16+1,1))</f>
        <v>393.41577134252316</v>
      </c>
      <c r="FK30" s="59">
        <f t="shared" si="48"/>
        <v>255.54039659391475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13.514202792447398</v>
      </c>
      <c r="FS30" s="21">
        <f>EXP(-LN(2)/2)*FS29+(1-EXP(-LN(2)/2))/(LN(2)/2)*FM30*FP30*VLOOKUP('Données projet'!$B$16,Paramètres!$A$1:$I$89,3,0)*0.475*44/12</f>
        <v>1.0303839573362334</v>
      </c>
      <c r="FT30" s="22">
        <f t="shared" si="24"/>
        <v>14.544586749783631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31.8</v>
      </c>
      <c r="FZ30" s="12">
        <f>IF('Données projet'!$A$244&gt;35,FZ29+FY30-GH29,IF(A30&lt;'Données projet'!$A$244,$FW$205^A30,IF(A30='Données projet'!$A$244,'Données projet'!$B$244,FZ29+FY30-GH29)))</f>
        <v>284.60000000000008</v>
      </c>
      <c r="GA30" s="17">
        <f>FZ30*VLOOKUP('Données projet'!$B$17,Paramètres!$A$1:$I$89,3,0)*VLOOKUP('Données projet'!$B$17,Paramètres!$A$1:$I$89,5,0)</f>
        <v>133.19280000000003</v>
      </c>
      <c r="GB30" s="13">
        <f t="shared" si="49"/>
        <v>34.733076632666538</v>
      </c>
      <c r="GC30" s="20">
        <f t="shared" si="25"/>
        <v>292.47090180189429</v>
      </c>
      <c r="GD30" s="59">
        <f t="shared" si="26"/>
        <v>582.13756846856097</v>
      </c>
      <c r="GE30" s="59">
        <f ca="1">AVERAGE(OFFSET($GD$3,0,0,'Données projet'!$E$17+1,1))-AVERAGE(OFFSET($H$3,0,0,'Données projet'!$E$17+1,1))</f>
        <v>488.67934252295686</v>
      </c>
      <c r="GF30" s="59">
        <f t="shared" si="50"/>
        <v>424.50324471331095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24.776038452820227</v>
      </c>
      <c r="GN30" s="21">
        <f>EXP(-LN(2)/2)*GN29+(1-EXP(-LN(2)/2))/(LN(2)/2)*GH30*GK30*VLOOKUP('Données projet'!$B$17,Paramètres!$A$1:$I$89,3,0)*0.475*44/12</f>
        <v>2.2949460867943374</v>
      </c>
      <c r="GO30" s="21">
        <f t="shared" si="27"/>
        <v>27.070984539614564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28.6</v>
      </c>
      <c r="GU30" s="12">
        <f>IF('Données projet'!$A$270&gt;35,GU29+GT30-HC29,IF(A30&lt;'Données projet'!$A$270,$GR$205^A30,IF(A30='Données projet'!$A$270,'Données projet'!$B$270,GU29+GT30-HC29)))</f>
        <v>256.20000000000005</v>
      </c>
      <c r="GV30" s="17">
        <f>GU30*VLOOKUP('Données projet'!$B$18,Paramètres!$A$1:$I$89,3,0)*VLOOKUP('Données projet'!$B$18,Paramètres!$A$1:$I$89,5,0)</f>
        <v>123.23220000000002</v>
      </c>
      <c r="GW30" s="13">
        <f t="shared" si="51"/>
        <v>32.427686784667209</v>
      </c>
      <c r="GX30" s="20">
        <f t="shared" si="28"/>
        <v>271.1076361499621</v>
      </c>
      <c r="GY30" s="59">
        <f t="shared" si="29"/>
        <v>560.77430281662873</v>
      </c>
      <c r="GZ30" s="59">
        <f ca="1">AVERAGE(OFFSET($GY$3,0,0,'Données projet'!$E$18+1,1))-AVERAGE(OFFSET($H$3,0,0,'Données projet'!$E$18+1,1))</f>
        <v>458.80976193248841</v>
      </c>
      <c r="HA30" s="59">
        <f t="shared" si="52"/>
        <v>396.07405370178759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23.149328857433041</v>
      </c>
      <c r="HI30" s="21">
        <f>EXP(-LN(2)/2)*HI29+(1-EXP(-LN(2)/2))/(LN(2)/2)*HC30*HF30*VLOOKUP('Données projet'!$B$18,Paramètres!$A$1:$I$89,3,0)*0.475*44/12</f>
        <v>1.0590057339289072</v>
      </c>
      <c r="HJ30" s="22">
        <f t="shared" si="30"/>
        <v>24.208334591361947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458.14591643983221</v>
      </c>
      <c r="S31" s="59">
        <f ca="1">AVERAGE(OFFSET($R$3,0,0,'Données projet'!$E$9+1,1))-AVERAGE(OFFSET($H$3,0,0,'Données projet'!$E$9+1,1))</f>
        <v>364.3481978218424</v>
      </c>
      <c r="T31" s="59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</v>
      </c>
      <c r="AI31" s="13">
        <f>IF('Données projet'!$A$62&gt;35,AI30+AH31-AQ30,IF(A31&lt;'Données projet'!$A$62,$AF$205^A31,IF(A31='Données projet'!$A$62,'Données projet'!$B$62,AI30+AH31-AQ30)))</f>
        <v>365</v>
      </c>
      <c r="AJ31" s="13">
        <f>AI31*VLOOKUP('Données projet'!$B$10,Paramètres!$A$1:$I$89,3,0)*VLOOKUP('Données projet'!$B$10,Paramètres!$A$1:$I$89,5,0)</f>
        <v>204.035</v>
      </c>
      <c r="AK31" s="13">
        <f t="shared" si="35"/>
        <v>50.629905099971396</v>
      </c>
      <c r="AL31" s="20">
        <f t="shared" si="4"/>
        <v>443.54137638245015</v>
      </c>
      <c r="AM31" s="59">
        <f t="shared" si="5"/>
        <v>734.43026527133907</v>
      </c>
      <c r="AN31" s="59">
        <f ca="1">AVERAGE(OFFSET($AM$3,0,0,'Données projet'!$E$10+1,1))-AVERAGE(OFFSET($H$3,0,0,'Données projet'!$E$10+1,1))</f>
        <v>443.34220761968419</v>
      </c>
      <c r="AO31" s="59">
        <f t="shared" si="36"/>
        <v>546.58234447298014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12.083593681488557</v>
      </c>
      <c r="AX31" s="21">
        <f t="shared" si="6"/>
        <v>12.083593681488557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9.4</v>
      </c>
      <c r="BD31" s="12">
        <f>IF('Données projet'!$A$88&gt;35,BD30+BC31-BL30,IF(A31&lt;'Données projet'!$A$88,$BA$205^A31,IF(A31='Données projet'!$A$88,'Données projet'!$B$88,BD30+BC31-BL30)))</f>
        <v>97.2</v>
      </c>
      <c r="BE31" s="13">
        <f>BD31*VLOOKUP('Données projet'!$B$11,Paramètres!$A$1:$I$89,3,0)*VLOOKUP('Données projet'!$B$11,Paramètres!$A$1:$I$89,5,0)</f>
        <v>83.397600000000011</v>
      </c>
      <c r="BF31" s="13">
        <f t="shared" si="37"/>
        <v>22.965893371329315</v>
      </c>
      <c r="BG31" s="20">
        <f t="shared" si="7"/>
        <v>185.24975095506522</v>
      </c>
      <c r="BH31" s="59">
        <f t="shared" si="8"/>
        <v>476.13863984395408</v>
      </c>
      <c r="BI31" s="59">
        <f ca="1">AVERAGE(OFFSET($BH$3,0,0,'Données projet'!$E$11+1,1))-AVERAGE(OFFSET($H$3,0,0,'Données projet'!$E$11+1,1))</f>
        <v>447.15627913956871</v>
      </c>
      <c r="BJ31" s="59">
        <f t="shared" si="38"/>
        <v>256.77417912163997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9.4</v>
      </c>
      <c r="BY31" s="12">
        <f>IF('Données projet'!$A$114&gt;35,BY30+BX31-CG30,IF(A31&lt;'Données projet'!$A$114,$BV$205^A31,IF(A31='Données projet'!$A$114,'Données projet'!$B$114,BY30+BX31-CG30)))</f>
        <v>190.20000000000007</v>
      </c>
      <c r="BZ31" s="13">
        <f>BY31*VLOOKUP('Données projet'!$B$12,Paramètres!$A$1:$I$89,3,0)*VLOOKUP('Données projet'!$B$12,Paramètres!$A$1:$I$89,5,0)</f>
        <v>180.99432000000007</v>
      </c>
      <c r="CA31" s="13">
        <f t="shared" si="39"/>
        <v>45.543333072238994</v>
      </c>
      <c r="CB31" s="20">
        <f t="shared" si="10"/>
        <v>394.55307910081638</v>
      </c>
      <c r="CC31" s="59">
        <f t="shared" si="11"/>
        <v>685.44196798970529</v>
      </c>
      <c r="CD31" s="59">
        <f ca="1">AVERAGE(OFFSET($CC$3,0,0,'Données projet'!$E$12+1,1))-AVERAGE(OFFSET($H$3,0,0,'Données projet'!$E$12+1,1))</f>
        <v>448.94764480536713</v>
      </c>
      <c r="CE31" s="59">
        <f t="shared" si="40"/>
        <v>469.26760321719695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>
        <f>VLOOKUP(A31,'Données projet'!$A$139:$I$159,2,0)</f>
        <v>277</v>
      </c>
      <c r="CR31" s="12">
        <f>VLOOKUP(A31,'Données projet'!$A$139:$I$159,9,0)</f>
        <v>16</v>
      </c>
      <c r="CS31" s="12">
        <f t="array" ref="CS31">INDEX(CR:CR,MIN(IF(ISNUMBER(CR31:CR227),ROW(CR31:CR227),"")))</f>
        <v>16</v>
      </c>
      <c r="CT31" s="12">
        <f>IF('Données projet'!$A$140&gt;35,CT30+CS31-DB30,IF(A31&lt;'Données projet'!$A$140,$CQ$205^A31,IF(A31='Données projet'!$A$140,'Données projet'!$B$140,CT30+CS31-DB30)))</f>
        <v>277</v>
      </c>
      <c r="CU31" s="17">
        <f>CT31*VLOOKUP('Données projet'!$B$13,Paramètres!$A$1:$I$89,3,0)*VLOOKUP('Données projet'!$B$13,Paramètres!$A$1:$I$89,5,0)</f>
        <v>165.64600000000002</v>
      </c>
      <c r="CV31" s="13">
        <f t="shared" si="41"/>
        <v>42.113404814327666</v>
      </c>
      <c r="CW31" s="20">
        <f t="shared" si="13"/>
        <v>361.84763005162068</v>
      </c>
      <c r="CX31" s="59">
        <f t="shared" si="14"/>
        <v>652.73651894050954</v>
      </c>
      <c r="CY31" s="59">
        <f ca="1">AVERAGE(OFFSET($CX$3,0,0,'Données projet'!$E$13+1,1))-AVERAGE(OFFSET($H$3,0,0,'Données projet'!$E$13+1,1))</f>
        <v>187.80389738728508</v>
      </c>
      <c r="CZ31" s="59">
        <f t="shared" si="42"/>
        <v>439.28159165815265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13.736972851828106</v>
      </c>
      <c r="DG31" s="21">
        <f>EXP(-LN(2)/25)*DG30+(1-EXP(-LN(2)/25))/(LN(2)/25)*Calculateur!DB31*Calculateur!DD31*VLOOKUP('Données projet'!$B$13,Paramètres!$A$1:$I$89,3,0)*0.475*44/12</f>
        <v>15.197075619811191</v>
      </c>
      <c r="DH31" s="21">
        <f>EXP(-LN(2)/2)*DH30+(1-EXP(-LN(2)/2))/(LN(2)/2)*DB31*DE31*VLOOKUP('Données projet'!$B$13,Paramètres!$A$1:$I$89,3,0)*0.475*44/12</f>
        <v>8.9924012005109785E-2</v>
      </c>
      <c r="DI31" s="22">
        <f t="shared" si="15"/>
        <v>29.023972483644407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5.5</v>
      </c>
      <c r="DO31" s="12">
        <f>IF('Données projet'!$A$166&gt;35,DO30+DN31-DW30,IF(A31&lt;'Données projet'!$A$166,$DL$205^A31,IF(A31='Données projet'!$A$166,'Données projet'!$B$166,DO30+DN31-DW30)))</f>
        <v>97.5</v>
      </c>
      <c r="DP31" s="17">
        <f>DO31*VLOOKUP('Données projet'!$B$14,Paramètres!$A$1:$I$89,3,0)*VLOOKUP('Données projet'!$B$14,Paramètres!$A$1:$I$89,5,0)</f>
        <v>71.486999999999995</v>
      </c>
      <c r="DQ31" s="13">
        <f t="shared" si="43"/>
        <v>20.042279102156858</v>
      </c>
      <c r="DR31" s="20">
        <f t="shared" si="16"/>
        <v>159.41349443625651</v>
      </c>
      <c r="DS31" s="59">
        <f t="shared" si="17"/>
        <v>450.30238332514534</v>
      </c>
      <c r="DT31" s="59">
        <f ca="1">AVERAGE(OFFSET($DS$3,0,0,'Données projet'!$E$14+1,1))-AVERAGE(OFFSET($H$3,0,0,'Données projet'!$E$14+1,1))</f>
        <v>239.25212250019609</v>
      </c>
      <c r="DU31" s="59">
        <f t="shared" si="44"/>
        <v>213.58492101729695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24</v>
      </c>
      <c r="EJ31" s="12">
        <f>IF('Données projet'!$A$192&gt;35,EJ30+EI31-ER30,IF(A31&lt;'Données projet'!$A$192,$EG$205^A31,IF(A31='Données projet'!$A$192,'Données projet'!$B$192,EJ30+EI31-ER30)))</f>
        <v>263.00000000000011</v>
      </c>
      <c r="EK31" s="17">
        <f>EJ31*VLOOKUP('Données projet'!$B$15,Paramètres!$A$1:$I$89,3,0)*VLOOKUP('Données projet'!$B$15,Paramètres!$A$1:$I$89,5,0)</f>
        <v>157.27400000000009</v>
      </c>
      <c r="EL31" s="13">
        <f t="shared" si="45"/>
        <v>40.22704491543449</v>
      </c>
      <c r="EM31" s="20">
        <f t="shared" si="19"/>
        <v>343.98098656104861</v>
      </c>
      <c r="EN31" s="59">
        <f t="shared" si="20"/>
        <v>634.86987544993747</v>
      </c>
      <c r="EO31" s="59">
        <f ca="1">AVERAGE(OFFSET($EN$3,0,0,'Données projet'!$E$15+1,1))-AVERAGE(OFFSET($H$3,0,0,'Données projet'!$E$15+1,1))</f>
        <v>504.81063008331739</v>
      </c>
      <c r="EP31" s="59">
        <f t="shared" si="46"/>
        <v>441.82647565372287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38.558053202608008</v>
      </c>
      <c r="EX31" s="21">
        <f>EXP(-LN(2)/2)*EX30+(1-EXP(-LN(2)/2))/(LN(2)/2)*ER31*EU31*VLOOKUP('Données projet'!$B$15,Paramètres!$A$1:$I$89,3,0)*0.475*44/12</f>
        <v>0.10472968253228138</v>
      </c>
      <c r="EY31" s="22">
        <f t="shared" si="21"/>
        <v>38.662782885140288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14.6</v>
      </c>
      <c r="FE31" s="12">
        <f>IF('Données projet'!$A$218&gt;35,FE30+FD31-FM30,IF(A31&lt;'Données projet'!$A$218,$FB$205^A31,IF(A31='Données projet'!$A$218,'Données projet'!$B$218,FE30+FD31-FM30)))</f>
        <v>143.79999999999998</v>
      </c>
      <c r="FF31" s="17">
        <f>FE31*VLOOKUP('Données projet'!$B$16,Paramètres!$A$1:$I$89,3,0)*VLOOKUP('Données projet'!$B$16,Paramètres!$A$1:$I$89,5,0)</f>
        <v>82.253599999999992</v>
      </c>
      <c r="FG31" s="13">
        <f t="shared" si="47"/>
        <v>22.687306987029338</v>
      </c>
      <c r="FH31" s="20">
        <f t="shared" si="22"/>
        <v>182.77207966907611</v>
      </c>
      <c r="FI31" s="59">
        <f t="shared" si="23"/>
        <v>473.66096855796496</v>
      </c>
      <c r="FJ31" s="59">
        <f ca="1">AVERAGE(OFFSET($FI$3,0,0,'Données projet'!$E$16+1,1))-AVERAGE(OFFSET($H$3,0,0,'Données projet'!$E$16+1,1))</f>
        <v>393.41577134252316</v>
      </c>
      <c r="FK31" s="59">
        <f t="shared" si="48"/>
        <v>255.54039659391475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13.144656206406886</v>
      </c>
      <c r="FS31" s="21">
        <f>EXP(-LN(2)/2)*FS30+(1-EXP(-LN(2)/2))/(LN(2)/2)*FM31*FP31*VLOOKUP('Données projet'!$B$16,Paramètres!$A$1:$I$89,3,0)*0.475*44/12</f>
        <v>0.72859148345828095</v>
      </c>
      <c r="FT31" s="22">
        <f t="shared" si="24"/>
        <v>13.873247689865167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31.8</v>
      </c>
      <c r="FZ31" s="12">
        <f>IF('Données projet'!$A$244&gt;35,FZ30+FY31-GH30,IF(A31&lt;'Données projet'!$A$244,$FW$205^A31,IF(A31='Données projet'!$A$244,'Données projet'!$B$244,FZ30+FY31-GH30)))</f>
        <v>316.40000000000009</v>
      </c>
      <c r="GA31" s="17">
        <f>FZ31*VLOOKUP('Données projet'!$B$17,Paramètres!$A$1:$I$89,3,0)*VLOOKUP('Données projet'!$B$17,Paramètres!$A$1:$I$89,5,0)</f>
        <v>148.07520000000002</v>
      </c>
      <c r="GB31" s="13">
        <f t="shared" si="49"/>
        <v>38.140839670017264</v>
      </c>
      <c r="GC31" s="20">
        <f t="shared" si="25"/>
        <v>324.32626909194676</v>
      </c>
      <c r="GD31" s="59">
        <f t="shared" si="26"/>
        <v>615.21515798083556</v>
      </c>
      <c r="GE31" s="59">
        <f ca="1">AVERAGE(OFFSET($GD$3,0,0,'Données projet'!$E$17+1,1))-AVERAGE(OFFSET($H$3,0,0,'Données projet'!$E$17+1,1))</f>
        <v>488.67934252295686</v>
      </c>
      <c r="GF31" s="59">
        <f t="shared" si="50"/>
        <v>424.50324471331095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24.098536378412621</v>
      </c>
      <c r="GN31" s="21">
        <f>EXP(-LN(2)/2)*GN30+(1-EXP(-LN(2)/2))/(LN(2)/2)*GH31*GK31*VLOOKUP('Données projet'!$B$17,Paramètres!$A$1:$I$89,3,0)*0.475*44/12</f>
        <v>1.6227719404298071</v>
      </c>
      <c r="GO31" s="21">
        <f t="shared" si="27"/>
        <v>25.721308318842429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28.6</v>
      </c>
      <c r="GU31" s="12">
        <f>IF('Données projet'!$A$270&gt;35,GU30+GT31-HC30,IF(A31&lt;'Données projet'!$A$270,$GR$205^A31,IF(A31='Données projet'!$A$270,'Données projet'!$B$270,GU30+GT31-HC30)))</f>
        <v>284.80000000000007</v>
      </c>
      <c r="GV31" s="17">
        <f>GU31*VLOOKUP('Données projet'!$B$18,Paramètres!$A$1:$I$89,3,0)*VLOOKUP('Données projet'!$B$18,Paramètres!$A$1:$I$89,5,0)</f>
        <v>136.98880000000003</v>
      </c>
      <c r="GW31" s="13">
        <f t="shared" si="51"/>
        <v>35.606311347837178</v>
      </c>
      <c r="GX31" s="20">
        <f t="shared" si="28"/>
        <v>300.60315226414974</v>
      </c>
      <c r="GY31" s="59">
        <f t="shared" si="29"/>
        <v>591.4920411530386</v>
      </c>
      <c r="GZ31" s="59">
        <f ca="1">AVERAGE(OFFSET($GY$3,0,0,'Données projet'!$E$18+1,1))-AVERAGE(OFFSET($H$3,0,0,'Données projet'!$E$18+1,1))</f>
        <v>458.80976193248841</v>
      </c>
      <c r="HA31" s="59">
        <f t="shared" si="52"/>
        <v>396.07405370178759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22.516309242456238</v>
      </c>
      <c r="HI31" s="21">
        <f>EXP(-LN(2)/2)*HI30+(1-EXP(-LN(2)/2))/(LN(2)/2)*HC31*HF31*VLOOKUP('Données projet'!$B$18,Paramètres!$A$1:$I$89,3,0)*0.475*44/12</f>
        <v>0.74883013577656699</v>
      </c>
      <c r="HJ31" s="22">
        <f t="shared" si="30"/>
        <v>23.265139378232806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473.10328796969736</v>
      </c>
      <c r="S32" s="59">
        <f ca="1">AVERAGE(OFFSET($R$3,0,0,'Données projet'!$E$9+1,1))-AVERAGE(OFFSET($H$3,0,0,'Données projet'!$E$9+1,1))</f>
        <v>364.3481978218424</v>
      </c>
      <c r="T32" s="59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</v>
      </c>
      <c r="AI32" s="13">
        <f>IF('Données projet'!$A$62&gt;35,AI31+AH32-AQ31,IF(A32&lt;'Données projet'!$A$62,$AF$205^A32,IF(A32='Données projet'!$A$62,'Données projet'!$B$62,AI31+AH32-AQ31)))</f>
        <v>393</v>
      </c>
      <c r="AJ32" s="13">
        <f>AI32*VLOOKUP('Données projet'!$B$10,Paramètres!$A$1:$I$89,3,0)*VLOOKUP('Données projet'!$B$10,Paramètres!$A$1:$I$89,5,0)</f>
        <v>219.68700000000001</v>
      </c>
      <c r="AK32" s="13">
        <f t="shared" si="35"/>
        <v>54.046851081096591</v>
      </c>
      <c r="AL32" s="20">
        <f t="shared" si="4"/>
        <v>476.75312396624321</v>
      </c>
      <c r="AM32" s="59">
        <f t="shared" si="5"/>
        <v>768.86423507735435</v>
      </c>
      <c r="AN32" s="59">
        <f ca="1">AVERAGE(OFFSET($AM$3,0,0,'Données projet'!$E$10+1,1))-AVERAGE(OFFSET($H$3,0,0,'Données projet'!$E$10+1,1))</f>
        <v>443.34220761968419</v>
      </c>
      <c r="AO32" s="59">
        <f t="shared" si="36"/>
        <v>546.58234447298014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8.5443910332834783</v>
      </c>
      <c r="AX32" s="21">
        <f t="shared" si="6"/>
        <v>8.5443910332834783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9.4</v>
      </c>
      <c r="BD32" s="12">
        <f>IF('Données projet'!$A$88&gt;35,BD31+BC32-BL31,IF(A32&lt;'Données projet'!$A$88,$BA$205^A32,IF(A32='Données projet'!$A$88,'Données projet'!$B$88,BD31+BC32-BL31)))</f>
        <v>106.60000000000001</v>
      </c>
      <c r="BE32" s="13">
        <f>BD32*VLOOKUP('Données projet'!$B$11,Paramètres!$A$1:$I$89,3,0)*VLOOKUP('Données projet'!$B$11,Paramètres!$A$1:$I$89,5,0)</f>
        <v>91.462800000000016</v>
      </c>
      <c r="BF32" s="13">
        <f t="shared" si="37"/>
        <v>24.917685409456144</v>
      </c>
      <c r="BG32" s="20">
        <f t="shared" si="7"/>
        <v>202.69601208813614</v>
      </c>
      <c r="BH32" s="59">
        <f t="shared" si="8"/>
        <v>494.80712319924726</v>
      </c>
      <c r="BI32" s="59">
        <f ca="1">AVERAGE(OFFSET($BH$3,0,0,'Données projet'!$E$11+1,1))-AVERAGE(OFFSET($H$3,0,0,'Données projet'!$E$11+1,1))</f>
        <v>447.15627913956871</v>
      </c>
      <c r="BJ32" s="59">
        <f t="shared" si="38"/>
        <v>256.77417912163997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9.4</v>
      </c>
      <c r="BY32" s="12">
        <f>IF('Données projet'!$A$114&gt;35,BY31+BX32-CG31,IF(A32&lt;'Données projet'!$A$114,$BV$205^A32,IF(A32='Données projet'!$A$114,'Données projet'!$B$114,BY31+BX32-CG31)))</f>
        <v>199.60000000000008</v>
      </c>
      <c r="BZ32" s="13">
        <f>BY32*VLOOKUP('Données projet'!$B$12,Paramètres!$A$1:$I$89,3,0)*VLOOKUP('Données projet'!$B$12,Paramètres!$A$1:$I$89,5,0)</f>
        <v>189.93936000000008</v>
      </c>
      <c r="CA32" s="13">
        <f t="shared" si="39"/>
        <v>47.526545959149885</v>
      </c>
      <c r="CB32" s="20">
        <f t="shared" si="10"/>
        <v>413.58645287885287</v>
      </c>
      <c r="CC32" s="59">
        <f t="shared" si="11"/>
        <v>705.69756398996401</v>
      </c>
      <c r="CD32" s="59">
        <f ca="1">AVERAGE(OFFSET($CC$3,0,0,'Données projet'!$E$12+1,1))-AVERAGE(OFFSET($H$3,0,0,'Données projet'!$E$12+1,1))</f>
        <v>448.94764480536713</v>
      </c>
      <c r="CE32" s="59">
        <f t="shared" si="40"/>
        <v>469.26760321719695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>
        <f>VLOOKUP(A32,'Données projet'!$A$139:$I$159,2,0)</f>
        <v>293</v>
      </c>
      <c r="CR32" s="12">
        <f>VLOOKUP(A32,'Données projet'!$A$139:$I$159,9,0)</f>
        <v>16</v>
      </c>
      <c r="CS32" s="12">
        <f t="array" ref="CS32">INDEX(CR:CR,MIN(IF(ISNUMBER(CR32:CR228),ROW(CR32:CR228),"")))</f>
        <v>16</v>
      </c>
      <c r="CT32" s="12">
        <f>IF('Données projet'!$A$140&gt;35,CT31+CS32-DB31,IF(A32&lt;'Données projet'!$A$140,$CQ$205^A32,IF(A32='Données projet'!$A$140,'Données projet'!$B$140,CT31+CS32-DB31)))</f>
        <v>293</v>
      </c>
      <c r="CU32" s="17">
        <f>CT32*VLOOKUP('Données projet'!$B$13,Paramètres!$A$1:$I$89,3,0)*VLOOKUP('Données projet'!$B$13,Paramètres!$A$1:$I$89,5,0)</f>
        <v>175.214</v>
      </c>
      <c r="CV32" s="13">
        <f t="shared" si="41"/>
        <v>44.255725061661991</v>
      </c>
      <c r="CW32" s="20">
        <f t="shared" si="13"/>
        <v>382.24310448239459</v>
      </c>
      <c r="CX32" s="59">
        <f t="shared" si="14"/>
        <v>674.35421559350573</v>
      </c>
      <c r="CY32" s="59">
        <f ca="1">AVERAGE(OFFSET($CX$3,0,0,'Données projet'!$E$13+1,1))-AVERAGE(OFFSET($H$3,0,0,'Données projet'!$E$13+1,1))</f>
        <v>187.80389738728508</v>
      </c>
      <c r="CZ32" s="59">
        <f t="shared" si="42"/>
        <v>439.28159165815265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13.467599192929866</v>
      </c>
      <c r="DG32" s="21">
        <f>EXP(-LN(2)/25)*DG31+(1-EXP(-LN(2)/25))/(LN(2)/25)*Calculateur!DB32*Calculateur!DD32*VLOOKUP('Données projet'!$B$13,Paramètres!$A$1:$I$89,3,0)*0.475*44/12</f>
        <v>14.78151078780798</v>
      </c>
      <c r="DH32" s="21">
        <f>EXP(-LN(2)/2)*DH31+(1-EXP(-LN(2)/2))/(LN(2)/2)*DB32*DE32*VLOOKUP('Données projet'!$B$13,Paramètres!$A$1:$I$89,3,0)*0.475*44/12</f>
        <v>6.3585878680313637E-2</v>
      </c>
      <c r="DI32" s="22">
        <f t="shared" si="15"/>
        <v>28.312695859418159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5.5</v>
      </c>
      <c r="DO32" s="12">
        <f>IF('Données projet'!$A$166&gt;35,DO31+DN32-DW31,IF(A32&lt;'Données projet'!$A$166,$DL$205^A32,IF(A32='Données projet'!$A$166,'Données projet'!$B$166,DO31+DN32-DW31)))</f>
        <v>103</v>
      </c>
      <c r="DP32" s="17">
        <f>DO32*VLOOKUP('Données projet'!$B$14,Paramètres!$A$1:$I$89,3,0)*VLOOKUP('Données projet'!$B$14,Paramètres!$A$1:$I$89,5,0)</f>
        <v>75.519599999999997</v>
      </c>
      <c r="DQ32" s="13">
        <f t="shared" si="43"/>
        <v>21.03805562204553</v>
      </c>
      <c r="DR32" s="20">
        <f t="shared" si="16"/>
        <v>168.17125020839597</v>
      </c>
      <c r="DS32" s="59">
        <f t="shared" si="17"/>
        <v>460.28236131950712</v>
      </c>
      <c r="DT32" s="59">
        <f ca="1">AVERAGE(OFFSET($DS$3,0,0,'Données projet'!$E$14+1,1))-AVERAGE(OFFSET($H$3,0,0,'Données projet'!$E$14+1,1))</f>
        <v>239.25212250019609</v>
      </c>
      <c r="DU32" s="59">
        <f t="shared" si="44"/>
        <v>213.58492101729695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24</v>
      </c>
      <c r="EJ32" s="12">
        <f>IF('Données projet'!$A$192&gt;35,EJ31+EI32-ER31,IF(A32&lt;'Données projet'!$A$192,$EG$205^A32,IF(A32='Données projet'!$A$192,'Données projet'!$B$192,EJ31+EI32-ER31)))</f>
        <v>287.00000000000011</v>
      </c>
      <c r="EK32" s="17">
        <f>EJ32*VLOOKUP('Données projet'!$B$15,Paramètres!$A$1:$I$89,3,0)*VLOOKUP('Données projet'!$B$15,Paramètres!$A$1:$I$89,5,0)</f>
        <v>171.62600000000009</v>
      </c>
      <c r="EL32" s="13">
        <f t="shared" si="45"/>
        <v>43.453991492329642</v>
      </c>
      <c r="EM32" s="20">
        <f t="shared" si="19"/>
        <v>374.5976518491409</v>
      </c>
      <c r="EN32" s="59">
        <f t="shared" si="20"/>
        <v>666.70876296025199</v>
      </c>
      <c r="EO32" s="59">
        <f ca="1">AVERAGE(OFFSET($EN$3,0,0,'Données projet'!$E$15+1,1))-AVERAGE(OFFSET($H$3,0,0,'Données projet'!$E$15+1,1))</f>
        <v>504.81063008331739</v>
      </c>
      <c r="EP32" s="59">
        <f t="shared" si="46"/>
        <v>441.82647565372287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37.503681210102798</v>
      </c>
      <c r="EX32" s="21">
        <f>EXP(-LN(2)/2)*EX31+(1-EXP(-LN(2)/2))/(LN(2)/2)*ER32*EU32*VLOOKUP('Données projet'!$B$15,Paramètres!$A$1:$I$89,3,0)*0.475*44/12</f>
        <v>7.4055068710090474E-2</v>
      </c>
      <c r="EY32" s="22">
        <f t="shared" si="21"/>
        <v>37.577736278812885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14.6</v>
      </c>
      <c r="FE32" s="12">
        <f>IF('Données projet'!$A$218&gt;35,FE31+FD32-FM31,IF(A32&lt;'Données projet'!$A$218,$FB$205^A32,IF(A32='Données projet'!$A$218,'Données projet'!$B$218,FE31+FD32-FM31)))</f>
        <v>158.39999999999998</v>
      </c>
      <c r="FF32" s="17">
        <f>FE32*VLOOKUP('Données projet'!$B$16,Paramètres!$A$1:$I$89,3,0)*VLOOKUP('Données projet'!$B$16,Paramètres!$A$1:$I$89,5,0)</f>
        <v>90.604799999999983</v>
      </c>
      <c r="FG32" s="13">
        <f t="shared" si="47"/>
        <v>24.711031284832952</v>
      </c>
      <c r="FH32" s="20">
        <f t="shared" si="22"/>
        <v>200.84173948775069</v>
      </c>
      <c r="FI32" s="59">
        <f t="shared" si="23"/>
        <v>492.9528505988618</v>
      </c>
      <c r="FJ32" s="59">
        <f ca="1">AVERAGE(OFFSET($FI$3,0,0,'Données projet'!$E$16+1,1))-AVERAGE(OFFSET($H$3,0,0,'Données projet'!$E$16+1,1))</f>
        <v>393.41577134252316</v>
      </c>
      <c r="FK32" s="59">
        <f t="shared" si="48"/>
        <v>255.54039659391475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12.785214891195261</v>
      </c>
      <c r="FS32" s="21">
        <f>EXP(-LN(2)/2)*FS31+(1-EXP(-LN(2)/2))/(LN(2)/2)*FM32*FP32*VLOOKUP('Données projet'!$B$16,Paramètres!$A$1:$I$89,3,0)*0.475*44/12</f>
        <v>0.51519197866811672</v>
      </c>
      <c r="FT32" s="22">
        <f t="shared" si="24"/>
        <v>13.300406869863378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31.8</v>
      </c>
      <c r="FZ32" s="12">
        <f>IF('Données projet'!$A$244&gt;35,FZ31+FY32-GH31,IF(A32&lt;'Données projet'!$A$244,$FW$205^A32,IF(A32='Données projet'!$A$244,'Données projet'!$B$244,FZ31+FY32-GH31)))</f>
        <v>348.2000000000001</v>
      </c>
      <c r="GA32" s="17">
        <f>FZ32*VLOOKUP('Données projet'!$B$17,Paramètres!$A$1:$I$89,3,0)*VLOOKUP('Données projet'!$B$17,Paramètres!$A$1:$I$89,5,0)</f>
        <v>162.95760000000004</v>
      </c>
      <c r="GB32" s="13">
        <f t="shared" si="49"/>
        <v>41.508897552694833</v>
      </c>
      <c r="GC32" s="20">
        <f t="shared" si="25"/>
        <v>356.11248323761021</v>
      </c>
      <c r="GD32" s="59">
        <f t="shared" si="26"/>
        <v>648.22359434872135</v>
      </c>
      <c r="GE32" s="59">
        <f ca="1">AVERAGE(OFFSET($GD$3,0,0,'Données projet'!$E$17+1,1))-AVERAGE(OFFSET($H$3,0,0,'Données projet'!$E$17+1,1))</f>
        <v>488.67934252295686</v>
      </c>
      <c r="GF32" s="59">
        <f t="shared" si="50"/>
        <v>424.50324471331095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23.43956063385798</v>
      </c>
      <c r="GN32" s="21">
        <f>EXP(-LN(2)/2)*GN31+(1-EXP(-LN(2)/2))/(LN(2)/2)*GH32*GK32*VLOOKUP('Données projet'!$B$17,Paramètres!$A$1:$I$89,3,0)*0.475*44/12</f>
        <v>1.1474730433971687</v>
      </c>
      <c r="GO32" s="21">
        <f t="shared" si="27"/>
        <v>24.58703367725515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28.6</v>
      </c>
      <c r="GU32" s="12">
        <f>IF('Données projet'!$A$270&gt;35,GU31+GT32-HC31,IF(A32&lt;'Données projet'!$A$270,$GR$205^A32,IF(A32='Données projet'!$A$270,'Données projet'!$B$270,GU31+GT32-HC31)))</f>
        <v>313.40000000000009</v>
      </c>
      <c r="GV32" s="17">
        <f>GU32*VLOOKUP('Données projet'!$B$18,Paramètres!$A$1:$I$89,3,0)*VLOOKUP('Données projet'!$B$18,Paramètres!$A$1:$I$89,5,0)</f>
        <v>150.74540000000005</v>
      </c>
      <c r="GW32" s="13">
        <f t="shared" si="51"/>
        <v>38.747931544422414</v>
      </c>
      <c r="GX32" s="20">
        <f t="shared" si="28"/>
        <v>330.03421910653577</v>
      </c>
      <c r="GY32" s="59">
        <f t="shared" si="29"/>
        <v>622.14533021764692</v>
      </c>
      <c r="GZ32" s="59">
        <f ca="1">AVERAGE(OFFSET($GY$3,0,0,'Données projet'!$E$18+1,1))-AVERAGE(OFFSET($H$3,0,0,'Données projet'!$E$18+1,1))</f>
        <v>458.80976193248841</v>
      </c>
      <c r="HA32" s="59">
        <f t="shared" si="52"/>
        <v>396.07405370178759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21.900599582140032</v>
      </c>
      <c r="HI32" s="21">
        <f>EXP(-LN(2)/2)*HI31+(1-EXP(-LN(2)/2))/(LN(2)/2)*HC32*HF32*VLOOKUP('Données projet'!$B$18,Paramètres!$A$1:$I$89,3,0)*0.475*44/12</f>
        <v>0.5295028669644537</v>
      </c>
      <c r="HJ32" s="22">
        <f t="shared" si="30"/>
        <v>22.430102449104485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364.3481978218424</v>
      </c>
      <c r="T33" s="59">
        <f t="shared" si="34"/>
        <v>231.36959598460686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421</v>
      </c>
      <c r="AG33" s="12">
        <f>VLOOKUP(A33,'Données projet'!$A$61:$I$81,9,0)</f>
        <v>28</v>
      </c>
      <c r="AH33" s="12">
        <f t="array" ref="AH33">INDEX(AG:AG,MIN(IF(ISNUMBER(AG33:AG229),ROW(AG33:AG229),"")))</f>
        <v>28</v>
      </c>
      <c r="AI33" s="13">
        <f>IF('Données projet'!$A$62&gt;35,AI32+AH33-AQ32,IF(A33&lt;'Données projet'!$A$62,$AF$205^A33,IF(A33='Données projet'!$A$62,'Données projet'!$B$62,AI32+AH33-AQ32)))</f>
        <v>421</v>
      </c>
      <c r="AJ33" s="13">
        <f>AI33*VLOOKUP('Données projet'!$B$10,Paramètres!$A$1:$I$89,3,0)*VLOOKUP('Données projet'!$B$10,Paramètres!$A$1:$I$89,5,0)</f>
        <v>235.339</v>
      </c>
      <c r="AK33" s="13">
        <f t="shared" si="35"/>
        <v>57.43555185051494</v>
      </c>
      <c r="AL33" s="20">
        <f t="shared" si="4"/>
        <v>509.91567780631357</v>
      </c>
      <c r="AM33" s="59">
        <f t="shared" si="5"/>
        <v>803.24901113964688</v>
      </c>
      <c r="AN33" s="59">
        <f ca="1">AVERAGE(OFFSET($AM$3,0,0,'Données projet'!$E$10+1,1))-AVERAGE(OFFSET($H$3,0,0,'Données projet'!$E$10+1,1))</f>
        <v>443.34220761968419</v>
      </c>
      <c r="AO33" s="59">
        <f t="shared" si="36"/>
        <v>546.58234447298014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21.937304095826462</v>
      </c>
      <c r="AW33" s="21">
        <f>EXP(-LN(2)/2)*AW32+(1-EXP(-LN(2)/2))/(LN(2)/2)*AQ33*AT33*VLOOKUP('Données projet'!$B$10,Paramètres!$A$1:$I$89,3,0)*0.475*44/12</f>
        <v>6.0417968407442793</v>
      </c>
      <c r="AX33" s="21">
        <f t="shared" si="6"/>
        <v>27.979100936570742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116</v>
      </c>
      <c r="BB33" s="12">
        <f>VLOOKUP(A33,'Données projet'!$A$87:$I$107,9,0)</f>
        <v>9.4</v>
      </c>
      <c r="BC33" s="12">
        <f t="array" ref="BC33">INDEX(BB:BB,MIN(IF(ISNUMBER(BB33:BB229),ROW(BB33:BB229),"")))</f>
        <v>9.4</v>
      </c>
      <c r="BD33" s="12">
        <f>IF('Données projet'!$A$88&gt;35,BD32+BC33-BL32,IF(A33&lt;'Données projet'!$A$88,$BA$205^A33,IF(A33='Données projet'!$A$88,'Données projet'!$B$88,BD32+BC33-BL32)))</f>
        <v>116.00000000000001</v>
      </c>
      <c r="BE33" s="13">
        <f>BD33*VLOOKUP('Données projet'!$B$11,Paramètres!$A$1:$I$89,3,0)*VLOOKUP('Données projet'!$B$11,Paramètres!$A$1:$I$89,5,0)</f>
        <v>99.52800000000002</v>
      </c>
      <c r="BF33" s="13">
        <f t="shared" si="37"/>
        <v>26.849519112903323</v>
      </c>
      <c r="BG33" s="20">
        <f t="shared" si="7"/>
        <v>220.10751245497332</v>
      </c>
      <c r="BH33" s="59">
        <f t="shared" si="8"/>
        <v>513.44084578830666</v>
      </c>
      <c r="BI33" s="59">
        <f ca="1">AVERAGE(OFFSET($BH$3,0,0,'Données projet'!$E$11+1,1))-AVERAGE(OFFSET($H$3,0,0,'Données projet'!$E$11+1,1))</f>
        <v>447.15627913956871</v>
      </c>
      <c r="BJ33" s="59">
        <f t="shared" si="38"/>
        <v>256.77417912163997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209</v>
      </c>
      <c r="BW33" s="12">
        <f>VLOOKUP(A33,'Données projet'!$A$113:$I$133,9,0)</f>
        <v>9.4</v>
      </c>
      <c r="BX33" s="12">
        <f t="array" ref="BX33">INDEX(BW:BW,MIN(IF(ISNUMBER(BW33:BW229),ROW(BW33:BW229),"")))</f>
        <v>9.4</v>
      </c>
      <c r="BY33" s="12">
        <f>IF('Données projet'!$A$114&gt;35,BY32+BX33-CG32,IF(A33&lt;'Données projet'!$A$114,$BV$205^A33,IF(A33='Données projet'!$A$114,'Données projet'!$B$114,BY32+BX33-CG32)))</f>
        <v>209.00000000000009</v>
      </c>
      <c r="BZ33" s="13">
        <f>BY33*VLOOKUP('Données projet'!$B$12,Paramètres!$A$1:$I$89,3,0)*VLOOKUP('Données projet'!$B$12,Paramètres!$A$1:$I$89,5,0)</f>
        <v>198.88440000000008</v>
      </c>
      <c r="CA33" s="13">
        <f t="shared" si="39"/>
        <v>49.498912851979021</v>
      </c>
      <c r="CB33" s="20">
        <f t="shared" si="10"/>
        <v>432.60093655053032</v>
      </c>
      <c r="CC33" s="59">
        <f t="shared" si="11"/>
        <v>725.93426988386364</v>
      </c>
      <c r="CD33" s="59">
        <f ca="1">AVERAGE(OFFSET($CC$3,0,0,'Données projet'!$E$12+1,1))-AVERAGE(OFFSET($H$3,0,0,'Données projet'!$E$12+1,1))</f>
        <v>448.94764480536713</v>
      </c>
      <c r="CE33" s="59">
        <f t="shared" si="40"/>
        <v>469.26760321719695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309</v>
      </c>
      <c r="CR33" s="12">
        <f>VLOOKUP(A33,'Données projet'!$A$139:$I$159,9,0)</f>
        <v>16</v>
      </c>
      <c r="CS33" s="12">
        <f t="array" ref="CS33">INDEX(CR:CR,MIN(IF(ISNUMBER(CR33:CR229),ROW(CR33:CR229),"")))</f>
        <v>16</v>
      </c>
      <c r="CT33" s="12">
        <f>IF('Données projet'!$A$140&gt;35,CT32+CS33-DB32,IF(A33&lt;'Données projet'!$A$140,$CQ$205^A33,IF(A33='Données projet'!$A$140,'Données projet'!$B$140,CT32+CS33-DB32)))</f>
        <v>309</v>
      </c>
      <c r="CU33" s="17">
        <f>CT33*VLOOKUP('Données projet'!$B$13,Paramètres!$A$1:$I$89,3,0)*VLOOKUP('Données projet'!$B$13,Paramètres!$A$1:$I$89,5,0)</f>
        <v>184.78200000000004</v>
      </c>
      <c r="CV33" s="13">
        <f t="shared" si="41"/>
        <v>46.384464109944147</v>
      </c>
      <c r="CW33" s="20">
        <f t="shared" si="13"/>
        <v>402.61492499148608</v>
      </c>
      <c r="CX33" s="59">
        <f t="shared" si="14"/>
        <v>695.94825832481934</v>
      </c>
      <c r="CY33" s="59">
        <f ca="1">AVERAGE(OFFSET($CX$3,0,0,'Données projet'!$E$13+1,1))-AVERAGE(OFFSET($H$3,0,0,'Données projet'!$E$13+1,1))</f>
        <v>187.80389738728508</v>
      </c>
      <c r="CZ33" s="59">
        <f t="shared" si="42"/>
        <v>439.28159165815265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309</v>
      </c>
      <c r="DC33" s="16">
        <f>IF(ISNA(VLOOKUP(A33,'Données projet'!$A$139:$I$159,5,0)),0%,VLOOKUP(A33,'Données projet'!$A$139:$I$159,5,0)*VLOOKUP('Données projet'!$B$13,Paramètres!$A$1:$I$89,7,0))</f>
        <v>0.45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123.50986272944402</v>
      </c>
      <c r="DG33" s="21">
        <f>EXP(-LN(2)/25)*DG32+(1-EXP(-LN(2)/25))/(LN(2)/25)*Calculateur!DB33*Calculateur!DD33*VLOOKUP('Données projet'!$B$13,Paramètres!$A$1:$I$89,3,0)*0.475*44/12</f>
        <v>14.377309597989502</v>
      </c>
      <c r="DH33" s="21">
        <f>EXP(-LN(2)/2)*DH32+(1-EXP(-LN(2)/2))/(LN(2)/2)*DB33*DE33*VLOOKUP('Données projet'!$B$13,Paramètres!$A$1:$I$89,3,0)*0.475*44/12</f>
        <v>4.4962006002554893E-2</v>
      </c>
      <c r="DI33" s="22">
        <f t="shared" si="15"/>
        <v>137.93213433343607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5.5</v>
      </c>
      <c r="DO33" s="12">
        <f>IF('Données projet'!$A$166&gt;35,DO32+DN33-DW32,IF(A33&lt;'Données projet'!$A$166,$DL$205^A33,IF(A33='Données projet'!$A$166,'Données projet'!$B$166,DO32+DN33-DW32)))</f>
        <v>108.5</v>
      </c>
      <c r="DP33" s="17">
        <f>DO33*VLOOKUP('Données projet'!$B$14,Paramètres!$A$1:$I$89,3,0)*VLOOKUP('Données projet'!$B$14,Paramètres!$A$1:$I$89,5,0)</f>
        <v>79.552199999999999</v>
      </c>
      <c r="DQ33" s="13">
        <f t="shared" si="43"/>
        <v>22.027658957299707</v>
      </c>
      <c r="DR33" s="20">
        <f t="shared" si="16"/>
        <v>176.91825435063029</v>
      </c>
      <c r="DS33" s="59">
        <f t="shared" si="17"/>
        <v>470.25158768396363</v>
      </c>
      <c r="DT33" s="59">
        <f ca="1">AVERAGE(OFFSET($DS$3,0,0,'Données projet'!$E$14+1,1))-AVERAGE(OFFSET($H$3,0,0,'Données projet'!$E$14+1,1))</f>
        <v>239.25212250019609</v>
      </c>
      <c r="DU33" s="59">
        <f t="shared" si="44"/>
        <v>213.58492101729695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311</v>
      </c>
      <c r="EH33" s="12">
        <f>VLOOKUP(A33,'Données projet'!$A$191:$I$211,9,0)</f>
        <v>24</v>
      </c>
      <c r="EI33" s="12">
        <f t="array" ref="EI33">INDEX(EH:EH,MIN(IF(ISNUMBER(EH33:EH229),ROW(EH33:EH229),"")))</f>
        <v>24</v>
      </c>
      <c r="EJ33" s="12">
        <f>IF('Données projet'!$A$192&gt;35,EJ32+EI33-ER32,IF(A33&lt;'Données projet'!$A$192,$EG$205^A33,IF(A33='Données projet'!$A$192,'Données projet'!$B$192,EJ32+EI33-ER32)))</f>
        <v>311.00000000000011</v>
      </c>
      <c r="EK33" s="17">
        <f>EJ33*VLOOKUP('Données projet'!$B$15,Paramètres!$A$1:$I$89,3,0)*VLOOKUP('Données projet'!$B$15,Paramètres!$A$1:$I$89,5,0)</f>
        <v>185.97800000000009</v>
      </c>
      <c r="EL33" s="13">
        <f t="shared" si="45"/>
        <v>46.649641523668613</v>
      </c>
      <c r="EM33" s="20">
        <f t="shared" si="19"/>
        <v>405.15980898705629</v>
      </c>
      <c r="EN33" s="59">
        <f t="shared" si="20"/>
        <v>698.49314232038955</v>
      </c>
      <c r="EO33" s="59">
        <f ca="1">AVERAGE(OFFSET($EN$3,0,0,'Données projet'!$E$15+1,1))-AVERAGE(OFFSET($H$3,0,0,'Données projet'!$E$15+1,1))</f>
        <v>504.81063008331739</v>
      </c>
      <c r="EP33" s="59">
        <f t="shared" si="46"/>
        <v>441.82647565372287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63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0.45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58.87923595527306</v>
      </c>
      <c r="EX33" s="21">
        <f>EXP(-LN(2)/2)*EX32+(1-EXP(-LN(2)/2))/(LN(2)/2)*ER33*EU33*VLOOKUP('Données projet'!$B$15,Paramètres!$A$1:$I$89,3,0)*0.475*44/12</f>
        <v>5.2364841266140688E-2</v>
      </c>
      <c r="EY33" s="22">
        <f t="shared" si="21"/>
        <v>58.9316007965392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173</v>
      </c>
      <c r="FC33" s="12">
        <f>VLOOKUP(A33,'Données projet'!$A$217:$I$237,9,0)</f>
        <v>14.6</v>
      </c>
      <c r="FD33" s="12">
        <f t="array" ref="FD33">INDEX(FC:FC,MIN(IF(ISNUMBER(FC33:FC229),ROW(FC33:FC229),"")))</f>
        <v>14.6</v>
      </c>
      <c r="FE33" s="12">
        <f>IF('Données projet'!$A$218&gt;35,FE32+FD33-FM32,IF(A33&lt;'Données projet'!$A$218,$FB$205^A33,IF(A33='Données projet'!$A$218,'Données projet'!$B$218,FE32+FD33-FM32)))</f>
        <v>172.99999999999997</v>
      </c>
      <c r="FF33" s="17">
        <f>FE33*VLOOKUP('Données projet'!$B$16,Paramètres!$A$1:$I$89,3,0)*VLOOKUP('Données projet'!$B$16,Paramètres!$A$1:$I$89,5,0)</f>
        <v>98.955999999999989</v>
      </c>
      <c r="FG33" s="13">
        <f t="shared" si="47"/>
        <v>26.713127230955852</v>
      </c>
      <c r="FH33" s="20">
        <f t="shared" si="22"/>
        <v>218.87372992724809</v>
      </c>
      <c r="FI33" s="59">
        <f t="shared" si="23"/>
        <v>512.20706326058144</v>
      </c>
      <c r="FJ33" s="59">
        <f ca="1">AVERAGE(OFFSET($FI$3,0,0,'Données projet'!$E$16+1,1))-AVERAGE(OFFSET($H$3,0,0,'Données projet'!$E$16+1,1))</f>
        <v>393.41577134252316</v>
      </c>
      <c r="FK33" s="59">
        <f t="shared" si="48"/>
        <v>255.54039659391475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42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0.45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26.72035867307218</v>
      </c>
      <c r="FS33" s="21">
        <f>EXP(-LN(2)/2)*FS32+(1-EXP(-LN(2)/2))/(LN(2)/2)*FM33*FP33*VLOOKUP('Données projet'!$B$16,Paramètres!$A$1:$I$89,3,0)*0.475*44/12</f>
        <v>0.36429574172914048</v>
      </c>
      <c r="FT33" s="22">
        <f t="shared" si="24"/>
        <v>27.084654414801321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380</v>
      </c>
      <c r="FX33" s="12">
        <f>VLOOKUP(A33,'Données projet'!$A$243:$I$263,9,0)</f>
        <v>31.8</v>
      </c>
      <c r="FY33" s="12">
        <f t="array" ref="FY33">INDEX(FX:FX,MIN(IF(ISNUMBER(FX33:FX229),ROW(FX33:FX229),"")))</f>
        <v>31.8</v>
      </c>
      <c r="FZ33" s="12">
        <f>IF('Données projet'!$A$244&gt;35,FZ32+FY33-GH32,IF(A33&lt;'Données projet'!$A$244,$FW$205^A33,IF(A33='Données projet'!$A$244,'Données projet'!$B$244,FZ32+FY33-GH32)))</f>
        <v>380.00000000000011</v>
      </c>
      <c r="GA33" s="17">
        <f>FZ33*VLOOKUP('Données projet'!$B$17,Paramètres!$A$1:$I$89,3,0)*VLOOKUP('Données projet'!$B$17,Paramètres!$A$1:$I$89,5,0)</f>
        <v>177.84000000000006</v>
      </c>
      <c r="GB33" s="13">
        <f t="shared" si="49"/>
        <v>44.841288830609138</v>
      </c>
      <c r="GC33" s="20">
        <f t="shared" si="25"/>
        <v>387.83657804664432</v>
      </c>
      <c r="GD33" s="59">
        <f t="shared" si="26"/>
        <v>681.16991137997763</v>
      </c>
      <c r="GE33" s="59">
        <f ca="1">AVERAGE(OFFSET($GD$3,0,0,'Données projet'!$E$17+1,1))-AVERAGE(OFFSET($H$3,0,0,'Données projet'!$E$17+1,1))</f>
        <v>488.67934252295686</v>
      </c>
      <c r="GF33" s="59">
        <f t="shared" si="50"/>
        <v>424.50324471331095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77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0.55000000000000004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48.987324233965666</v>
      </c>
      <c r="GN33" s="21">
        <f>EXP(-LN(2)/2)*GN32+(1-EXP(-LN(2)/2))/(LN(2)/2)*GH33*GK33*VLOOKUP('Données projet'!$B$17,Paramètres!$A$1:$I$89,3,0)*0.475*44/12</f>
        <v>0.81138597021490355</v>
      </c>
      <c r="GO33" s="21">
        <f t="shared" si="27"/>
        <v>49.798710204180566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342</v>
      </c>
      <c r="GS33" s="12">
        <f>VLOOKUP(A33,'Données projet'!$A$269:$I$289,9,0)</f>
        <v>28.6</v>
      </c>
      <c r="GT33" s="12">
        <f t="array" ref="GT33">INDEX(GS:GS,MIN(IF(ISNUMBER(GS33:GS229),ROW(GS33:GS229),"")))</f>
        <v>28.6</v>
      </c>
      <c r="GU33" s="12">
        <f>IF('Données projet'!$A$270&gt;35,GU32+GT33-HC32,IF(A33&lt;'Données projet'!$A$270,$GR$205^A33,IF(A33='Données projet'!$A$270,'Données projet'!$B$270,GU32+GT33-HC32)))</f>
        <v>342.00000000000011</v>
      </c>
      <c r="GV33" s="17">
        <f>GU33*VLOOKUP('Données projet'!$B$18,Paramètres!$A$1:$I$89,3,0)*VLOOKUP('Données projet'!$B$18,Paramètres!$A$1:$I$89,5,0)</f>
        <v>164.50200000000004</v>
      </c>
      <c r="GW33" s="13">
        <f t="shared" si="51"/>
        <v>41.856308345523921</v>
      </c>
      <c r="GX33" s="20">
        <f t="shared" si="28"/>
        <v>359.40738703512096</v>
      </c>
      <c r="GY33" s="59">
        <f t="shared" si="29"/>
        <v>652.74072036845428</v>
      </c>
      <c r="GZ33" s="59">
        <f ca="1">AVERAGE(OFFSET($GY$3,0,0,'Données projet'!$E$18+1,1))-AVERAGE(OFFSET($H$3,0,0,'Données projet'!$E$18+1,1))</f>
        <v>458.80976193248841</v>
      </c>
      <c r="HA33" s="59">
        <f t="shared" si="52"/>
        <v>396.07405370178759</v>
      </c>
      <c r="HB33" s="15">
        <f>IF(ISNA(VLOOKUP(A33,'Données projet'!$A$269:$I$289,3,0)),0,VLOOKUP(A33,'Données projet'!$A$269:$I$289,3,0))</f>
        <v>3</v>
      </c>
      <c r="HC33" s="15">
        <f>IF(ISNA(VLOOKUP(A33,'Données projet'!$A$269:$I$289,4,0)),0,VLOOKUP(A33,'Données projet'!$A$269:$I$289,4,0))</f>
        <v>70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0.55000000000000004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45.770984764058824</v>
      </c>
      <c r="HI33" s="21">
        <f>EXP(-LN(2)/2)*HI32+(1-EXP(-LN(2)/2))/(LN(2)/2)*HC33*HF33*VLOOKUP('Données projet'!$B$18,Paramètres!$A$1:$I$89,3,0)*0.475*44/12</f>
        <v>0.37441506788828355</v>
      </c>
      <c r="HJ33" s="22">
        <f t="shared" si="30"/>
        <v>46.14539983194711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76.003200000000007</v>
      </c>
      <c r="P34" s="13">
        <f t="shared" si="33"/>
        <v>21.157049992000456</v>
      </c>
      <c r="Q34" s="20">
        <f t="shared" si="2"/>
        <v>169.22076873606747</v>
      </c>
      <c r="R34" s="59">
        <f t="shared" si="0"/>
        <v>462.55410206940076</v>
      </c>
      <c r="S34" s="59">
        <f ca="1">AVERAGE(OFFSET($R$3,0,0,'Données projet'!$E$9+1,1))-AVERAGE(OFFSET($H$3,0,0,'Données projet'!$E$9+1,1))</f>
        <v>364.3481978218424</v>
      </c>
      <c r="T34" s="59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27.6</v>
      </c>
      <c r="AI34" s="13">
        <f>IF('Données projet'!$A$62&gt;35,AI33+AH34-AQ33,IF(A34&lt;'Données projet'!$A$62,$AF$205^A34,IF(A34='Données projet'!$A$62,'Données projet'!$B$62,AI33+AH34-AQ33)))</f>
        <v>394.6</v>
      </c>
      <c r="AJ34" s="13">
        <f>AI34*VLOOKUP('Données projet'!$B$10,Paramètres!$A$1:$I$89,3,0)*VLOOKUP('Données projet'!$B$10,Paramètres!$A$1:$I$89,5,0)</f>
        <v>220.5814</v>
      </c>
      <c r="AK34" s="13">
        <f t="shared" si="35"/>
        <v>54.241230721401301</v>
      </c>
      <c r="AL34" s="20">
        <f t="shared" si="4"/>
        <v>478.64941517310723</v>
      </c>
      <c r="AM34" s="59">
        <f t="shared" si="5"/>
        <v>771.98274850644054</v>
      </c>
      <c r="AN34" s="59">
        <f ca="1">AVERAGE(OFFSET($AM$3,0,0,'Données projet'!$E$10+1,1))-AVERAGE(OFFSET($H$3,0,0,'Données projet'!$E$10+1,1))</f>
        <v>443.34220761968419</v>
      </c>
      <c r="AO34" s="59">
        <f t="shared" si="36"/>
        <v>546.58234447298014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21.337427361693404</v>
      </c>
      <c r="AW34" s="21">
        <f>EXP(-LN(2)/2)*AW33+(1-EXP(-LN(2)/2))/(LN(2)/2)*AQ34*AT34*VLOOKUP('Données projet'!$B$10,Paramètres!$A$1:$I$89,3,0)*0.475*44/12</f>
        <v>4.2721955166417391</v>
      </c>
      <c r="AX34" s="21">
        <f t="shared" si="6"/>
        <v>25.609622878335145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10.199999999999999</v>
      </c>
      <c r="BD34" s="12">
        <f>IF('Données projet'!$A$88&gt;35,BD33+BC34-BL33,IF(A34&lt;'Données projet'!$A$88,$BA$205^A34,IF(A34='Données projet'!$A$88,'Données projet'!$B$88,BD33+BC34-BL33)))</f>
        <v>98.200000000000017</v>
      </c>
      <c r="BE34" s="13">
        <f>BD34*VLOOKUP('Données projet'!$B$11,Paramètres!$A$1:$I$89,3,0)*VLOOKUP('Données projet'!$B$11,Paramètres!$A$1:$I$89,5,0)</f>
        <v>84.255600000000015</v>
      </c>
      <c r="BF34" s="13">
        <f t="shared" si="37"/>
        <v>23.174541098743855</v>
      </c>
      <c r="BG34" s="20">
        <f t="shared" si="7"/>
        <v>187.10749574697891</v>
      </c>
      <c r="BH34" s="59">
        <f t="shared" si="8"/>
        <v>480.44082908031226</v>
      </c>
      <c r="BI34" s="59">
        <f ca="1">AVERAGE(OFFSET($BH$3,0,0,'Données projet'!$E$11+1,1))-AVERAGE(OFFSET($H$3,0,0,'Données projet'!$E$11+1,1))</f>
        <v>447.15627913956871</v>
      </c>
      <c r="BJ34" s="59">
        <f t="shared" si="38"/>
        <v>256.77417912163997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8.1999999999999993</v>
      </c>
      <c r="BY34" s="12">
        <f>IF('Données projet'!$A$114&gt;35,BY33+BX34-CG33,IF(A34&lt;'Données projet'!$A$114,$BV$205^A34,IF(A34='Données projet'!$A$114,'Données projet'!$B$114,BY33+BX34-CG33)))</f>
        <v>189.20000000000007</v>
      </c>
      <c r="BZ34" s="13">
        <f>BY34*VLOOKUP('Données projet'!$B$12,Paramètres!$A$1:$I$89,3,0)*VLOOKUP('Données projet'!$B$12,Paramètres!$A$1:$I$89,5,0)</f>
        <v>180.04272000000009</v>
      </c>
      <c r="CA34" s="13">
        <f t="shared" si="39"/>
        <v>45.331690448223775</v>
      </c>
      <c r="CB34" s="20">
        <f t="shared" si="10"/>
        <v>392.52709819732326</v>
      </c>
      <c r="CC34" s="59">
        <f t="shared" si="11"/>
        <v>685.86043153065657</v>
      </c>
      <c r="CD34" s="59">
        <f ca="1">AVERAGE(OFFSET($CC$3,0,0,'Données projet'!$E$12+1,1))-AVERAGE(OFFSET($H$3,0,0,'Données projet'!$E$12+1,1))</f>
        <v>448.94764480536713</v>
      </c>
      <c r="CE34" s="59">
        <f t="shared" si="40"/>
        <v>469.26760321719695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187.80389738728508</v>
      </c>
      <c r="CZ34" s="59">
        <f t="shared" si="42"/>
        <v>439.28159165815265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121.08790965489732</v>
      </c>
      <c r="DG34" s="21">
        <f>EXP(-LN(2)/25)*DG33+(1-EXP(-LN(2)/25))/(LN(2)/25)*Calculateur!DB34*Calculateur!DD34*VLOOKUP('Données projet'!$B$13,Paramètres!$A$1:$I$89,3,0)*0.475*44/12</f>
        <v>13.984161310962627</v>
      </c>
      <c r="DH34" s="21">
        <f>EXP(-LN(2)/2)*DH33+(1-EXP(-LN(2)/2))/(LN(2)/2)*DB34*DE34*VLOOKUP('Données projet'!$B$13,Paramètres!$A$1:$I$89,3,0)*0.475*44/12</f>
        <v>3.1792939340156819E-2</v>
      </c>
      <c r="DI34" s="22">
        <f t="shared" si="15"/>
        <v>135.10386390520011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5.5</v>
      </c>
      <c r="DO34" s="12">
        <f>IF('Données projet'!$A$166&gt;35,DO33+DN34-DW33,IF(A34&lt;'Données projet'!$A$166,$DL$205^A34,IF(A34='Données projet'!$A$166,'Données projet'!$B$166,DO33+DN34-DW33)))</f>
        <v>114</v>
      </c>
      <c r="DP34" s="17">
        <f>DO34*VLOOKUP('Données projet'!$B$14,Paramètres!$A$1:$I$89,3,0)*VLOOKUP('Données projet'!$B$14,Paramètres!$A$1:$I$89,5,0)</f>
        <v>83.584800000000001</v>
      </c>
      <c r="DQ34" s="13">
        <f t="shared" si="43"/>
        <v>23.011437736237617</v>
      </c>
      <c r="DR34" s="20">
        <f t="shared" si="16"/>
        <v>185.65511405728049</v>
      </c>
      <c r="DS34" s="59">
        <f t="shared" si="17"/>
        <v>478.98844739061383</v>
      </c>
      <c r="DT34" s="59">
        <f ca="1">AVERAGE(OFFSET($DS$3,0,0,'Données projet'!$E$14+1,1))-AVERAGE(OFFSET($H$3,0,0,'Données projet'!$E$14+1,1))</f>
        <v>239.25212250019609</v>
      </c>
      <c r="DU34" s="59">
        <f t="shared" si="44"/>
        <v>213.58492101729695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24.2</v>
      </c>
      <c r="EJ34" s="12">
        <f>IF('Données projet'!$A$192&gt;35,EJ33+EI34-ER33,IF(A34&lt;'Données projet'!$A$192,$EG$205^A34,IF(A34='Données projet'!$A$192,'Données projet'!$B$192,EJ33+EI34-ER33)))</f>
        <v>272.2000000000001</v>
      </c>
      <c r="EK34" s="17">
        <f>EJ34*VLOOKUP('Données projet'!$B$15,Paramètres!$A$1:$I$89,3,0)*VLOOKUP('Données projet'!$B$15,Paramètres!$A$1:$I$89,5,0)</f>
        <v>162.77560000000005</v>
      </c>
      <c r="EL34" s="13">
        <f t="shared" si="45"/>
        <v>41.467931707956311</v>
      </c>
      <c r="EM34" s="20">
        <f t="shared" si="19"/>
        <v>355.72415105802401</v>
      </c>
      <c r="EN34" s="59">
        <f t="shared" si="20"/>
        <v>649.05748439135732</v>
      </c>
      <c r="EO34" s="59">
        <f ca="1">AVERAGE(OFFSET($EN$3,0,0,'Données projet'!$E$15+1,1))-AVERAGE(OFFSET($H$3,0,0,'Données projet'!$E$15+1,1))</f>
        <v>504.81063008331739</v>
      </c>
      <c r="EP34" s="59">
        <f t="shared" si="46"/>
        <v>441.82647565372287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57.269180151751669</v>
      </c>
      <c r="EX34" s="21">
        <f>EXP(-LN(2)/2)*EX33+(1-EXP(-LN(2)/2))/(LN(2)/2)*ER34*EU34*VLOOKUP('Données projet'!$B$15,Paramètres!$A$1:$I$89,3,0)*0.475*44/12</f>
        <v>3.7027534355045237E-2</v>
      </c>
      <c r="EY34" s="22">
        <f t="shared" si="21"/>
        <v>57.306207686106717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16.2</v>
      </c>
      <c r="FE34" s="12">
        <f>IF('Données projet'!$A$218&gt;35,FE33+FD34-FM33,IF(A34&lt;'Données projet'!$A$218,$FB$205^A34,IF(A34='Données projet'!$A$218,'Données projet'!$B$218,FE33+FD34-FM33)))</f>
        <v>147.19999999999996</v>
      </c>
      <c r="FF34" s="17">
        <f>FE34*VLOOKUP('Données projet'!$B$16,Paramètres!$A$1:$I$89,3,0)*VLOOKUP('Données projet'!$B$16,Paramètres!$A$1:$I$89,5,0)</f>
        <v>84.198399999999992</v>
      </c>
      <c r="FG34" s="13">
        <f t="shared" si="47"/>
        <v>23.160638971254933</v>
      </c>
      <c r="FH34" s="20">
        <f t="shared" si="22"/>
        <v>186.98365954160235</v>
      </c>
      <c r="FI34" s="59">
        <f t="shared" si="23"/>
        <v>480.31699287493564</v>
      </c>
      <c r="FJ34" s="59">
        <f ca="1">AVERAGE(OFFSET($FI$3,0,0,'Données projet'!$E$16+1,1))-AVERAGE(OFFSET($H$3,0,0,'Données projet'!$E$16+1,1))</f>
        <v>393.41577134252316</v>
      </c>
      <c r="FK34" s="59">
        <f t="shared" si="48"/>
        <v>255.54039659391475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25.989689059994429</v>
      </c>
      <c r="FS34" s="21">
        <f>EXP(-LN(2)/2)*FS33+(1-EXP(-LN(2)/2))/(LN(2)/2)*FM34*FP34*VLOOKUP('Données projet'!$B$16,Paramètres!$A$1:$I$89,3,0)*0.475*44/12</f>
        <v>0.25759598933405836</v>
      </c>
      <c r="FT34" s="22">
        <f t="shared" si="24"/>
        <v>26.247285049328486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31.4</v>
      </c>
      <c r="FZ34" s="12">
        <f>IF('Données projet'!$A$244&gt;35,FZ33+FY34-GH33,IF(A34&lt;'Données projet'!$A$244,$FW$205^A34,IF(A34='Données projet'!$A$244,'Données projet'!$B$244,FZ33+FY34-GH33)))</f>
        <v>334.40000000000009</v>
      </c>
      <c r="GA34" s="17">
        <f>FZ34*VLOOKUP('Données projet'!$B$17,Paramètres!$A$1:$I$89,3,0)*VLOOKUP('Données projet'!$B$17,Paramètres!$A$1:$I$89,5,0)</f>
        <v>156.49920000000003</v>
      </c>
      <c r="GB34" s="13">
        <f t="shared" si="49"/>
        <v>40.051886402928389</v>
      </c>
      <c r="GC34" s="20">
        <f t="shared" si="25"/>
        <v>342.32647548510039</v>
      </c>
      <c r="GD34" s="59">
        <f t="shared" si="26"/>
        <v>635.6598088184337</v>
      </c>
      <c r="GE34" s="59">
        <f ca="1">AVERAGE(OFFSET($GD$3,0,0,'Données projet'!$E$17+1,1))-AVERAGE(OFFSET($H$3,0,0,'Données projet'!$E$17+1,1))</f>
        <v>488.67934252295686</v>
      </c>
      <c r="GF34" s="59">
        <f t="shared" si="50"/>
        <v>424.50324471331095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47.647763276656455</v>
      </c>
      <c r="GN34" s="21">
        <f>EXP(-LN(2)/2)*GN33+(1-EXP(-LN(2)/2))/(LN(2)/2)*GH34*GK34*VLOOKUP('Données projet'!$B$17,Paramètres!$A$1:$I$89,3,0)*0.475*44/12</f>
        <v>0.57373652169858436</v>
      </c>
      <c r="GO34" s="21">
        <f t="shared" si="27"/>
        <v>48.22149979835504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28.2</v>
      </c>
      <c r="GU34" s="12">
        <f>IF('Données projet'!$A$270&gt;35,GU33+GT34-HC33,IF(A34&lt;'Données projet'!$A$270,$GR$205^A34,IF(A34='Données projet'!$A$270,'Données projet'!$B$270,GU33+GT34-HC33)))</f>
        <v>300.2000000000001</v>
      </c>
      <c r="GV34" s="17">
        <f>GU34*VLOOKUP('Données projet'!$B$18,Paramètres!$A$1:$I$89,3,0)*VLOOKUP('Données projet'!$B$18,Paramètres!$A$1:$I$89,5,0)</f>
        <v>144.39620000000005</v>
      </c>
      <c r="GW34" s="13">
        <f t="shared" si="51"/>
        <v>37.302293785969439</v>
      </c>
      <c r="GX34" s="20">
        <f t="shared" si="28"/>
        <v>316.45821001056356</v>
      </c>
      <c r="GY34" s="59">
        <f t="shared" si="29"/>
        <v>609.79154334389682</v>
      </c>
      <c r="GZ34" s="59">
        <f ca="1">AVERAGE(OFFSET($GY$3,0,0,'Données projet'!$E$18+1,1))-AVERAGE(OFFSET($H$3,0,0,'Données projet'!$E$18+1,1))</f>
        <v>458.80976193248841</v>
      </c>
      <c r="HA34" s="59">
        <f t="shared" si="52"/>
        <v>396.07405370178759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44.519374778694157</v>
      </c>
      <c r="HI34" s="21">
        <f>EXP(-LN(2)/2)*HI33+(1-EXP(-LN(2)/2))/(LN(2)/2)*HC34*HF34*VLOOKUP('Données projet'!$B$18,Paramètres!$A$1:$I$89,3,0)*0.475*44/12</f>
        <v>0.26475143348222685</v>
      </c>
      <c r="HJ34" s="22">
        <f t="shared" si="30"/>
        <v>44.784126212176382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83.241600000000005</v>
      </c>
      <c r="P35" s="13">
        <f t="shared" si="33"/>
        <v>22.927930643846508</v>
      </c>
      <c r="Q35" s="20">
        <f t="shared" ref="Q35:Q66" si="53">(O35+P35)*0.475*44/12</f>
        <v>184.91193253803269</v>
      </c>
      <c r="R35" s="59">
        <f t="shared" si="0"/>
        <v>478.24526587136597</v>
      </c>
      <c r="S35" s="59">
        <f ca="1">AVERAGE(OFFSET($R$3,0,0,'Données projet'!$E$9+1,1))-AVERAGE(OFFSET($H$3,0,0,'Données projet'!$E$9+1,1))</f>
        <v>364.3481978218424</v>
      </c>
      <c r="T35" s="59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27.6</v>
      </c>
      <c r="AI35" s="13">
        <f>IF('Données projet'!$A$62&gt;35,AI34+AH35-AQ34,IF(A35&lt;'Données projet'!$A$62,$AF$205^A35,IF(A35='Données projet'!$A$62,'Données projet'!$B$62,AI34+AH35-AQ34)))</f>
        <v>422.20000000000005</v>
      </c>
      <c r="AJ35" s="13">
        <f>AI35*VLOOKUP('Données projet'!$B$10,Paramètres!$A$1:$I$89,3,0)*VLOOKUP('Données projet'!$B$10,Paramètres!$A$1:$I$89,5,0)</f>
        <v>236.00980000000004</v>
      </c>
      <c r="AK35" s="13">
        <f t="shared" si="35"/>
        <v>57.580183613654185</v>
      </c>
      <c r="AL35" s="20">
        <f t="shared" si="4"/>
        <v>511.3358881271144</v>
      </c>
      <c r="AM35" s="59">
        <f t="shared" si="5"/>
        <v>804.66922146044772</v>
      </c>
      <c r="AN35" s="59">
        <f ca="1">AVERAGE(OFFSET($AM$3,0,0,'Données projet'!$E$10+1,1))-AVERAGE(OFFSET($H$3,0,0,'Données projet'!$E$10+1,1))</f>
        <v>443.34220761968419</v>
      </c>
      <c r="AO35" s="59">
        <f t="shared" si="36"/>
        <v>546.58234447298014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20.75395428840136</v>
      </c>
      <c r="AW35" s="21">
        <f>EXP(-LN(2)/2)*AW34+(1-EXP(-LN(2)/2))/(LN(2)/2)*AQ35*AT35*VLOOKUP('Données projet'!$B$10,Paramètres!$A$1:$I$89,3,0)*0.475*44/12</f>
        <v>3.0208984203721396</v>
      </c>
      <c r="AX35" s="21">
        <f t="shared" si="6"/>
        <v>23.774852708773501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10.199999999999999</v>
      </c>
      <c r="BD35" s="12">
        <f>IF('Données projet'!$A$88&gt;35,BD34+BC35-BL34,IF(A35&lt;'Données projet'!$A$88,$BA$205^A35,IF(A35='Données projet'!$A$88,'Données projet'!$B$88,BD34+BC35-BL34)))</f>
        <v>108.40000000000002</v>
      </c>
      <c r="BE35" s="13">
        <f>BD35*VLOOKUP('Données projet'!$B$11,Paramètres!$A$1:$I$89,3,0)*VLOOKUP('Données projet'!$B$11,Paramètres!$A$1:$I$89,5,0)</f>
        <v>93.007200000000026</v>
      </c>
      <c r="BF35" s="13">
        <f t="shared" si="37"/>
        <v>25.289096064617418</v>
      </c>
      <c r="BG35" s="20">
        <f t="shared" si="7"/>
        <v>206.03271564587536</v>
      </c>
      <c r="BH35" s="59">
        <f t="shared" si="8"/>
        <v>499.3660489792087</v>
      </c>
      <c r="BI35" s="59">
        <f ca="1">AVERAGE(OFFSET($BH$3,0,0,'Données projet'!$E$11+1,1))-AVERAGE(OFFSET($H$3,0,0,'Données projet'!$E$11+1,1))</f>
        <v>447.15627913956871</v>
      </c>
      <c r="BJ35" s="59">
        <f t="shared" si="38"/>
        <v>256.77417912163997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8.1999999999999993</v>
      </c>
      <c r="BY35" s="12">
        <f>IF('Données projet'!$A$114&gt;35,BY34+BX35-CG34,IF(A35&lt;'Données projet'!$A$114,$BV$205^A35,IF(A35='Données projet'!$A$114,'Données projet'!$B$114,BY34+BX35-CG34)))</f>
        <v>197.40000000000006</v>
      </c>
      <c r="BZ35" s="13">
        <f>BY35*VLOOKUP('Données projet'!$B$12,Paramètres!$A$1:$I$89,3,0)*VLOOKUP('Données projet'!$B$12,Paramètres!$A$1:$I$89,5,0)</f>
        <v>187.84584000000007</v>
      </c>
      <c r="CA35" s="13">
        <f t="shared" si="39"/>
        <v>47.063383068685603</v>
      </c>
      <c r="CB35" s="20">
        <f t="shared" si="10"/>
        <v>409.13356351129414</v>
      </c>
      <c r="CC35" s="59">
        <f t="shared" si="11"/>
        <v>702.4668968446274</v>
      </c>
      <c r="CD35" s="59">
        <f ca="1">AVERAGE(OFFSET($CC$3,0,0,'Données projet'!$E$12+1,1))-AVERAGE(OFFSET($H$3,0,0,'Données projet'!$E$12+1,1))</f>
        <v>448.94764480536713</v>
      </c>
      <c r="CE35" s="59">
        <f t="shared" si="40"/>
        <v>469.26760321719695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187.80389738728508</v>
      </c>
      <c r="CZ35" s="59">
        <f t="shared" si="42"/>
        <v>439.28159165815265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118.71344960289696</v>
      </c>
      <c r="DG35" s="21">
        <f>EXP(-LN(2)/25)*DG34+(1-EXP(-LN(2)/25))/(LN(2)/25)*Calculateur!DB35*Calculateur!DD35*VLOOKUP('Données projet'!$B$13,Paramètres!$A$1:$I$89,3,0)*0.475*44/12</f>
        <v>13.601763684519272</v>
      </c>
      <c r="DH35" s="21">
        <f>EXP(-LN(2)/2)*DH34+(1-EXP(-LN(2)/2))/(LN(2)/2)*DB35*DE35*VLOOKUP('Données projet'!$B$13,Paramètres!$A$1:$I$89,3,0)*0.475*44/12</f>
        <v>2.2481003001277446E-2</v>
      </c>
      <c r="DI35" s="22">
        <f t="shared" si="15"/>
        <v>132.33769429041752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5.5</v>
      </c>
      <c r="DO35" s="12">
        <f>IF('Données projet'!$A$166&gt;35,DO34+DN35-DW34,IF(A35&lt;'Données projet'!$A$166,$DL$205^A35,IF(A35='Données projet'!$A$166,'Données projet'!$B$166,DO34+DN35-DW34)))</f>
        <v>119.5</v>
      </c>
      <c r="DP35" s="17">
        <f>DO35*VLOOKUP('Données projet'!$B$14,Paramètres!$A$1:$I$89,3,0)*VLOOKUP('Données projet'!$B$14,Paramètres!$A$1:$I$89,5,0)</f>
        <v>87.617400000000004</v>
      </c>
      <c r="DQ35" s="13">
        <f t="shared" si="43"/>
        <v>23.989705046942845</v>
      </c>
      <c r="DR35" s="20">
        <f t="shared" si="16"/>
        <v>194.38237462342545</v>
      </c>
      <c r="DS35" s="59">
        <f t="shared" si="17"/>
        <v>487.71570795675876</v>
      </c>
      <c r="DT35" s="59">
        <f ca="1">AVERAGE(OFFSET($DS$3,0,0,'Données projet'!$E$14+1,1))-AVERAGE(OFFSET($H$3,0,0,'Données projet'!$E$14+1,1))</f>
        <v>239.25212250019609</v>
      </c>
      <c r="DU35" s="59">
        <f t="shared" si="44"/>
        <v>213.58492101729695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24.2</v>
      </c>
      <c r="EJ35" s="12">
        <f>IF('Données projet'!$A$192&gt;35,EJ34+EI35-ER34,IF(A35&lt;'Données projet'!$A$192,$EG$205^A35,IF(A35='Données projet'!$A$192,'Données projet'!$B$192,EJ34+EI35-ER34)))</f>
        <v>296.40000000000009</v>
      </c>
      <c r="EK35" s="17">
        <f>EJ35*VLOOKUP('Données projet'!$B$15,Paramètres!$A$1:$I$89,3,0)*VLOOKUP('Données projet'!$B$15,Paramètres!$A$1:$I$89,5,0)</f>
        <v>177.24720000000008</v>
      </c>
      <c r="EL35" s="13">
        <f t="shared" si="45"/>
        <v>44.709190633994517</v>
      </c>
      <c r="EM35" s="20">
        <f t="shared" si="19"/>
        <v>386.57404702087388</v>
      </c>
      <c r="EN35" s="59">
        <f t="shared" si="20"/>
        <v>679.90738035420713</v>
      </c>
      <c r="EO35" s="59">
        <f ca="1">AVERAGE(OFFSET($EN$3,0,0,'Données projet'!$E$15+1,1))-AVERAGE(OFFSET($H$3,0,0,'Données projet'!$E$15+1,1))</f>
        <v>504.81063008331739</v>
      </c>
      <c r="EP35" s="59">
        <f t="shared" si="46"/>
        <v>441.82647565372287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55.703151408846729</v>
      </c>
      <c r="EX35" s="21">
        <f>EXP(-LN(2)/2)*EX34+(1-EXP(-LN(2)/2))/(LN(2)/2)*ER35*EU35*VLOOKUP('Données projet'!$B$15,Paramètres!$A$1:$I$89,3,0)*0.475*44/12</f>
        <v>2.6182420633070344E-2</v>
      </c>
      <c r="EY35" s="22">
        <f t="shared" si="21"/>
        <v>55.729333829479799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16.2</v>
      </c>
      <c r="FE35" s="12">
        <f>IF('Données projet'!$A$218&gt;35,FE34+FD35-FM34,IF(A35&lt;'Données projet'!$A$218,$FB$205^A35,IF(A35='Données projet'!$A$218,'Données projet'!$B$218,FE34+FD35-FM34)))</f>
        <v>163.39999999999995</v>
      </c>
      <c r="FF35" s="17">
        <f>FE35*VLOOKUP('Données projet'!$B$16,Paramètres!$A$1:$I$89,3,0)*VLOOKUP('Données projet'!$B$16,Paramètres!$A$1:$I$89,5,0)</f>
        <v>93.464799999999968</v>
      </c>
      <c r="FG35" s="13">
        <f t="shared" si="47"/>
        <v>25.39900533113309</v>
      </c>
      <c r="FH35" s="20">
        <f t="shared" si="22"/>
        <v>207.02112761839007</v>
      </c>
      <c r="FI35" s="59">
        <f t="shared" si="23"/>
        <v>500.35446095172335</v>
      </c>
      <c r="FJ35" s="59">
        <f ca="1">AVERAGE(OFFSET($FI$3,0,0,'Données projet'!$E$16+1,1))-AVERAGE(OFFSET($H$3,0,0,'Données projet'!$E$16+1,1))</f>
        <v>393.41577134252316</v>
      </c>
      <c r="FK35" s="59">
        <f t="shared" si="48"/>
        <v>255.54039659391475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25.278999645910535</v>
      </c>
      <c r="FS35" s="21">
        <f>EXP(-LN(2)/2)*FS34+(1-EXP(-LN(2)/2))/(LN(2)/2)*FM35*FP35*VLOOKUP('Données projet'!$B$16,Paramètres!$A$1:$I$89,3,0)*0.475*44/12</f>
        <v>0.18214787086457024</v>
      </c>
      <c r="FT35" s="22">
        <f t="shared" si="24"/>
        <v>25.461147516775103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31.4</v>
      </c>
      <c r="FZ35" s="12">
        <f>IF('Données projet'!$A$244&gt;35,FZ34+FY35-GH34,IF(A35&lt;'Données projet'!$A$244,$FW$205^A35,IF(A35='Données projet'!$A$244,'Données projet'!$B$244,FZ34+FY35-GH34)))</f>
        <v>365.80000000000007</v>
      </c>
      <c r="GA35" s="17">
        <f>FZ35*VLOOKUP('Données projet'!$B$17,Paramètres!$A$1:$I$89,3,0)*VLOOKUP('Données projet'!$B$17,Paramètres!$A$1:$I$89,5,0)</f>
        <v>171.19440000000003</v>
      </c>
      <c r="GB35" s="13">
        <f t="shared" si="49"/>
        <v>43.35742035290977</v>
      </c>
      <c r="GC35" s="20">
        <f t="shared" si="25"/>
        <v>373.6777537813179</v>
      </c>
      <c r="GD35" s="59">
        <f t="shared" si="26"/>
        <v>667.01108711465122</v>
      </c>
      <c r="GE35" s="59">
        <f ca="1">AVERAGE(OFFSET($GD$3,0,0,'Données projet'!$E$17+1,1))-AVERAGE(OFFSET($H$3,0,0,'Données projet'!$E$17+1,1))</f>
        <v>488.67934252295686</v>
      </c>
      <c r="GF35" s="59">
        <f t="shared" si="50"/>
        <v>424.50324471331095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46.344832684169312</v>
      </c>
      <c r="GN35" s="21">
        <f>EXP(-LN(2)/2)*GN34+(1-EXP(-LN(2)/2))/(LN(2)/2)*GH35*GK35*VLOOKUP('Données projet'!$B$17,Paramètres!$A$1:$I$89,3,0)*0.475*44/12</f>
        <v>0.40569298510745178</v>
      </c>
      <c r="GO35" s="21">
        <f t="shared" si="27"/>
        <v>46.750525669276762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28.2</v>
      </c>
      <c r="GU35" s="12">
        <f>IF('Données projet'!$A$270&gt;35,GU34+GT35-HC34,IF(A35&lt;'Données projet'!$A$270,$GR$205^A35,IF(A35='Données projet'!$A$270,'Données projet'!$B$270,GU34+GT35-HC34)))</f>
        <v>328.40000000000009</v>
      </c>
      <c r="GV35" s="17">
        <f>GU35*VLOOKUP('Données projet'!$B$18,Paramètres!$A$1:$I$89,3,0)*VLOOKUP('Données projet'!$B$18,Paramètres!$A$1:$I$89,5,0)</f>
        <v>157.96040000000005</v>
      </c>
      <c r="GW35" s="13">
        <f t="shared" si="51"/>
        <v>40.382134999545954</v>
      </c>
      <c r="GX35" s="20">
        <f t="shared" si="28"/>
        <v>345.44658179087588</v>
      </c>
      <c r="GY35" s="59">
        <f t="shared" si="29"/>
        <v>638.7799151242092</v>
      </c>
      <c r="GZ35" s="59">
        <f ca="1">AVERAGE(OFFSET($GY$3,0,0,'Données projet'!$E$18+1,1))-AVERAGE(OFFSET($H$3,0,0,'Données projet'!$E$18+1,1))</f>
        <v>458.80976193248841</v>
      </c>
      <c r="HA35" s="59">
        <f t="shared" si="52"/>
        <v>396.07405370178759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43.301990134198597</v>
      </c>
      <c r="HI35" s="21">
        <f>EXP(-LN(2)/2)*HI34+(1-EXP(-LN(2)/2))/(LN(2)/2)*HC35*HF35*VLOOKUP('Données projet'!$B$18,Paramètres!$A$1:$I$89,3,0)*0.475*44/12</f>
        <v>0.18720753394414177</v>
      </c>
      <c r="HJ35" s="22">
        <f t="shared" si="30"/>
        <v>43.489197668142737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90.47999999999999</v>
      </c>
      <c r="P36" s="13">
        <f t="shared" si="33"/>
        <v>24.680953573367994</v>
      </c>
      <c r="Q36" s="20">
        <f t="shared" si="53"/>
        <v>200.57199414028256</v>
      </c>
      <c r="R36" s="59">
        <f t="shared" si="0"/>
        <v>493.9053274736159</v>
      </c>
      <c r="S36" s="59">
        <f ca="1">AVERAGE(OFFSET($R$3,0,0,'Données projet'!$E$9+1,1))-AVERAGE(OFFSET($H$3,0,0,'Données projet'!$E$9+1,1))</f>
        <v>364.3481978218424</v>
      </c>
      <c r="T36" s="59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27.6</v>
      </c>
      <c r="AI36" s="13">
        <f>IF('Données projet'!$A$62&gt;35,AI35+AH36-AQ35,IF(A36&lt;'Données projet'!$A$62,$AF$205^A36,IF(A36='Données projet'!$A$62,'Données projet'!$B$62,AI35+AH36-AQ35)))</f>
        <v>449.80000000000007</v>
      </c>
      <c r="AJ36" s="13">
        <f>AI36*VLOOKUP('Données projet'!$B$10,Paramètres!$A$1:$I$89,3,0)*VLOOKUP('Données projet'!$B$10,Paramètres!$A$1:$I$89,5,0)</f>
        <v>251.43820000000002</v>
      </c>
      <c r="AK36" s="13">
        <f t="shared" si="35"/>
        <v>60.893806844597648</v>
      </c>
      <c r="AL36" s="20">
        <f t="shared" si="4"/>
        <v>543.978245254341</v>
      </c>
      <c r="AM36" s="59">
        <f t="shared" si="5"/>
        <v>837.31157858767438</v>
      </c>
      <c r="AN36" s="59">
        <f ca="1">AVERAGE(OFFSET($AM$3,0,0,'Données projet'!$E$10+1,1))-AVERAGE(OFFSET($H$3,0,0,'Données projet'!$E$10+1,1))</f>
        <v>443.34220761968419</v>
      </c>
      <c r="AO36" s="59">
        <f t="shared" si="36"/>
        <v>546.58234447298014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20.186436316982004</v>
      </c>
      <c r="AW36" s="21">
        <f>EXP(-LN(2)/2)*AW35+(1-EXP(-LN(2)/2))/(LN(2)/2)*AQ36*AT36*VLOOKUP('Données projet'!$B$10,Paramètres!$A$1:$I$89,3,0)*0.475*44/12</f>
        <v>2.1360977583208696</v>
      </c>
      <c r="AX36" s="21">
        <f t="shared" si="6"/>
        <v>22.322534075302872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10.199999999999999</v>
      </c>
      <c r="BD36" s="12">
        <f>IF('Données projet'!$A$88&gt;35,BD35+BC36-BL35,IF(A36&lt;'Données projet'!$A$88,$BA$205^A36,IF(A36='Données projet'!$A$88,'Données projet'!$B$88,BD35+BC36-BL35)))</f>
        <v>118.60000000000002</v>
      </c>
      <c r="BE36" s="13">
        <f>BD36*VLOOKUP('Données projet'!$B$11,Paramètres!$A$1:$I$89,3,0)*VLOOKUP('Données projet'!$B$11,Paramètres!$A$1:$I$89,5,0)</f>
        <v>101.75880000000004</v>
      </c>
      <c r="BF36" s="13">
        <f t="shared" si="37"/>
        <v>27.380581268956313</v>
      </c>
      <c r="BG36" s="20">
        <f t="shared" si="7"/>
        <v>224.91775571009896</v>
      </c>
      <c r="BH36" s="59">
        <f t="shared" si="8"/>
        <v>518.25108904343233</v>
      </c>
      <c r="BI36" s="59">
        <f ca="1">AVERAGE(OFFSET($BH$3,0,0,'Données projet'!$E$11+1,1))-AVERAGE(OFFSET($H$3,0,0,'Données projet'!$E$11+1,1))</f>
        <v>447.15627913956871</v>
      </c>
      <c r="BJ36" s="59">
        <f t="shared" si="38"/>
        <v>256.77417912163997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8.1999999999999993</v>
      </c>
      <c r="BY36" s="12">
        <f>IF('Données projet'!$A$114&gt;35,BY35+BX36-CG35,IF(A36&lt;'Données projet'!$A$114,$BV$205^A36,IF(A36='Données projet'!$A$114,'Données projet'!$B$114,BY35+BX36-CG35)))</f>
        <v>205.60000000000005</v>
      </c>
      <c r="BZ36" s="13">
        <f>BY36*VLOOKUP('Données projet'!$B$12,Paramètres!$A$1:$I$89,3,0)*VLOOKUP('Données projet'!$B$12,Paramètres!$A$1:$I$89,5,0)</f>
        <v>195.64896000000005</v>
      </c>
      <c r="CA36" s="13">
        <f t="shared" si="39"/>
        <v>48.78672018080816</v>
      </c>
      <c r="CB36" s="20">
        <f t="shared" si="10"/>
        <v>425.72547631490761</v>
      </c>
      <c r="CC36" s="59">
        <f t="shared" si="11"/>
        <v>719.05880964824087</v>
      </c>
      <c r="CD36" s="59">
        <f ca="1">AVERAGE(OFFSET($CC$3,0,0,'Données projet'!$E$12+1,1))-AVERAGE(OFFSET($H$3,0,0,'Données projet'!$E$12+1,1))</f>
        <v>448.94764480536713</v>
      </c>
      <c r="CE36" s="59">
        <f t="shared" si="40"/>
        <v>469.26760321719695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187.80389738728508</v>
      </c>
      <c r="CZ36" s="59">
        <f t="shared" si="42"/>
        <v>439.28159165815265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116.3855512642387</v>
      </c>
      <c r="DG36" s="21">
        <f>EXP(-LN(2)/25)*DG35+(1-EXP(-LN(2)/25))/(LN(2)/25)*Calculateur!DB36*Calculateur!DD36*VLOOKUP('Données projet'!$B$13,Paramètres!$A$1:$I$89,3,0)*0.475*44/12</f>
        <v>13.229822741280428</v>
      </c>
      <c r="DH36" s="21">
        <f>EXP(-LN(2)/2)*DH35+(1-EXP(-LN(2)/2))/(LN(2)/2)*DB36*DE36*VLOOKUP('Données projet'!$B$13,Paramètres!$A$1:$I$89,3,0)*0.475*44/12</f>
        <v>1.5896469670078409E-2</v>
      </c>
      <c r="DI36" s="22">
        <f t="shared" si="15"/>
        <v>129.63127047518921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5.5</v>
      </c>
      <c r="DO36" s="12">
        <f>IF('Données projet'!$A$166&gt;35,DO35+DN36-DW35,IF(A36&lt;'Données projet'!$A$166,$DL$205^A36,IF(A36='Données projet'!$A$166,'Données projet'!$B$166,DO35+DN36-DW35)))</f>
        <v>125</v>
      </c>
      <c r="DP36" s="17">
        <f>DO36*VLOOKUP('Données projet'!$B$14,Paramètres!$A$1:$I$89,3,0)*VLOOKUP('Données projet'!$B$14,Paramètres!$A$1:$I$89,5,0)</f>
        <v>91.65</v>
      </c>
      <c r="DQ36" s="13">
        <f t="shared" si="43"/>
        <v>24.962743528770854</v>
      </c>
      <c r="DR36" s="20">
        <f t="shared" si="16"/>
        <v>203.10052831260927</v>
      </c>
      <c r="DS36" s="59">
        <f t="shared" si="17"/>
        <v>496.43386164594256</v>
      </c>
      <c r="DT36" s="59">
        <f ca="1">AVERAGE(OFFSET($DS$3,0,0,'Données projet'!$E$14+1,1))-AVERAGE(OFFSET($H$3,0,0,'Données projet'!$E$14+1,1))</f>
        <v>239.25212250019609</v>
      </c>
      <c r="DU36" s="59">
        <f t="shared" si="44"/>
        <v>213.58492101729695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24.2</v>
      </c>
      <c r="EJ36" s="12">
        <f>IF('Données projet'!$A$192&gt;35,EJ35+EI36-ER35,IF(A36&lt;'Données projet'!$A$192,$EG$205^A36,IF(A36='Données projet'!$A$192,'Données projet'!$B$192,EJ35+EI36-ER35)))</f>
        <v>320.60000000000008</v>
      </c>
      <c r="EK36" s="17">
        <f>EJ36*VLOOKUP('Données projet'!$B$15,Paramètres!$A$1:$I$89,3,0)*VLOOKUP('Données projet'!$B$15,Paramètres!$A$1:$I$89,5,0)</f>
        <v>191.71880000000007</v>
      </c>
      <c r="EL36" s="13">
        <f t="shared" si="45"/>
        <v>47.919755728134994</v>
      </c>
      <c r="EM36" s="20">
        <f t="shared" si="19"/>
        <v>417.37048455983518</v>
      </c>
      <c r="EN36" s="59">
        <f t="shared" si="20"/>
        <v>710.70381789316843</v>
      </c>
      <c r="EO36" s="59">
        <f ca="1">AVERAGE(OFFSET($EN$3,0,0,'Données projet'!$E$15+1,1))-AVERAGE(OFFSET($H$3,0,0,'Données projet'!$E$15+1,1))</f>
        <v>504.81063008331739</v>
      </c>
      <c r="EP36" s="59">
        <f t="shared" si="46"/>
        <v>441.82647565372287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54.179945804270396</v>
      </c>
      <c r="EX36" s="21">
        <f>EXP(-LN(2)/2)*EX35+(1-EXP(-LN(2)/2))/(LN(2)/2)*ER36*EU36*VLOOKUP('Données projet'!$B$15,Paramètres!$A$1:$I$89,3,0)*0.475*44/12</f>
        <v>1.8513767177522619E-2</v>
      </c>
      <c r="EY36" s="22">
        <f t="shared" si="21"/>
        <v>54.19845957144792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16.2</v>
      </c>
      <c r="FE36" s="12">
        <f>IF('Données projet'!$A$218&gt;35,FE35+FD36-FM35,IF(A36&lt;'Données projet'!$A$218,$FB$205^A36,IF(A36='Données projet'!$A$218,'Données projet'!$B$218,FE35+FD36-FM35)))</f>
        <v>179.59999999999994</v>
      </c>
      <c r="FF36" s="17">
        <f>FE36*VLOOKUP('Données projet'!$B$16,Paramètres!$A$1:$I$89,3,0)*VLOOKUP('Données projet'!$B$16,Paramètres!$A$1:$I$89,5,0)</f>
        <v>102.73119999999997</v>
      </c>
      <c r="FG36" s="13">
        <f t="shared" si="47"/>
        <v>27.611644369626234</v>
      </c>
      <c r="FH36" s="20">
        <f t="shared" si="22"/>
        <v>227.013787277099</v>
      </c>
      <c r="FI36" s="59">
        <f t="shared" si="23"/>
        <v>520.34712061043228</v>
      </c>
      <c r="FJ36" s="59">
        <f ca="1">AVERAGE(OFFSET($FI$3,0,0,'Données projet'!$E$16+1,1))-AVERAGE(OFFSET($H$3,0,0,'Données projet'!$E$16+1,1))</f>
        <v>393.41577134252316</v>
      </c>
      <c r="FK36" s="59">
        <f t="shared" si="48"/>
        <v>255.54039659391475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24.587744071228297</v>
      </c>
      <c r="FS36" s="21">
        <f>EXP(-LN(2)/2)*FS35+(1-EXP(-LN(2)/2))/(LN(2)/2)*FM36*FP36*VLOOKUP('Données projet'!$B$16,Paramètres!$A$1:$I$89,3,0)*0.475*44/12</f>
        <v>0.12879799466702918</v>
      </c>
      <c r="FT36" s="22">
        <f t="shared" si="24"/>
        <v>24.716542065895325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31.4</v>
      </c>
      <c r="FZ36" s="12">
        <f>IF('Données projet'!$A$244&gt;35,FZ35+FY36-GH35,IF(A36&lt;'Données projet'!$A$244,$FW$205^A36,IF(A36='Données projet'!$A$244,'Données projet'!$B$244,FZ35+FY36-GH35)))</f>
        <v>397.20000000000005</v>
      </c>
      <c r="GA36" s="17">
        <f>FZ36*VLOOKUP('Données projet'!$B$17,Paramètres!$A$1:$I$89,3,0)*VLOOKUP('Données projet'!$B$17,Paramètres!$A$1:$I$89,5,0)</f>
        <v>185.88960000000003</v>
      </c>
      <c r="GB36" s="13">
        <f t="shared" si="49"/>
        <v>46.630048262555164</v>
      </c>
      <c r="GC36" s="20">
        <f t="shared" si="25"/>
        <v>404.97172072395028</v>
      </c>
      <c r="GD36" s="59">
        <f t="shared" si="26"/>
        <v>698.30505405728354</v>
      </c>
      <c r="GE36" s="59">
        <f ca="1">AVERAGE(OFFSET($GD$3,0,0,'Données projet'!$E$17+1,1))-AVERAGE(OFFSET($H$3,0,0,'Données projet'!$E$17+1,1))</f>
        <v>488.67934252295686</v>
      </c>
      <c r="GF36" s="59">
        <f t="shared" si="50"/>
        <v>424.50324471331095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45.077530797251875</v>
      </c>
      <c r="GN36" s="21">
        <f>EXP(-LN(2)/2)*GN35+(1-EXP(-LN(2)/2))/(LN(2)/2)*GH36*GK36*VLOOKUP('Données projet'!$B$17,Paramètres!$A$1:$I$89,3,0)*0.475*44/12</f>
        <v>0.28686826084929218</v>
      </c>
      <c r="GO36" s="21">
        <f t="shared" si="27"/>
        <v>45.364399058101164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28.2</v>
      </c>
      <c r="GU36" s="12">
        <f>IF('Données projet'!$A$270&gt;35,GU35+GT36-HC35,IF(A36&lt;'Données projet'!$A$270,$GR$205^A36,IF(A36='Données projet'!$A$270,'Données projet'!$B$270,GU35+GT36-HC35)))</f>
        <v>356.60000000000008</v>
      </c>
      <c r="GV36" s="17">
        <f>GU36*VLOOKUP('Données projet'!$B$18,Paramètres!$A$1:$I$89,3,0)*VLOOKUP('Données projet'!$B$18,Paramètres!$A$1:$I$89,5,0)</f>
        <v>171.52460000000005</v>
      </c>
      <c r="GW36" s="13">
        <f t="shared" si="51"/>
        <v>43.431305635181708</v>
      </c>
      <c r="GX36" s="20">
        <f t="shared" si="28"/>
        <v>374.38153564794152</v>
      </c>
      <c r="GY36" s="59">
        <f t="shared" si="29"/>
        <v>667.71486898127478</v>
      </c>
      <c r="GZ36" s="59">
        <f ca="1">AVERAGE(OFFSET($GY$3,0,0,'Données projet'!$E$18+1,1))-AVERAGE(OFFSET($H$3,0,0,'Données projet'!$E$18+1,1))</f>
        <v>458.80976193248841</v>
      </c>
      <c r="HA36" s="59">
        <f t="shared" si="52"/>
        <v>396.07405370178759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42.117894936826247</v>
      </c>
      <c r="HI36" s="21">
        <f>EXP(-LN(2)/2)*HI35+(1-EXP(-LN(2)/2))/(LN(2)/2)*HC36*HF36*VLOOKUP('Données projet'!$B$18,Paramètres!$A$1:$I$89,3,0)*0.475*44/12</f>
        <v>0.13237571674111343</v>
      </c>
      <c r="HJ36" s="22">
        <f t="shared" si="30"/>
        <v>42.250270653567362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97.718399999999988</v>
      </c>
      <c r="P37" s="13">
        <f t="shared" si="33"/>
        <v>26.417709819192194</v>
      </c>
      <c r="Q37" s="20">
        <f t="shared" si="53"/>
        <v>216.20372460175972</v>
      </c>
      <c r="R37" s="59">
        <f t="shared" si="0"/>
        <v>509.537057935093</v>
      </c>
      <c r="S37" s="59">
        <f ca="1">AVERAGE(OFFSET($R$3,0,0,'Données projet'!$E$9+1,1))-AVERAGE(OFFSET($H$3,0,0,'Données projet'!$E$9+1,1))</f>
        <v>364.3481978218424</v>
      </c>
      <c r="T37" s="59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27.6</v>
      </c>
      <c r="AI37" s="13">
        <f>IF('Données projet'!$A$62&gt;35,AI36+AH37-AQ36,IF(A37&lt;'Données projet'!$A$62,$AF$205^A37,IF(A37='Données projet'!$A$62,'Données projet'!$B$62,AI36+AH37-AQ36)))</f>
        <v>477.40000000000009</v>
      </c>
      <c r="AJ37" s="13">
        <f>AI37*VLOOKUP('Données projet'!$B$10,Paramètres!$A$1:$I$89,3,0)*VLOOKUP('Données projet'!$B$10,Paramètres!$A$1:$I$89,5,0)</f>
        <v>266.86660000000006</v>
      </c>
      <c r="AK37" s="13">
        <f t="shared" si="35"/>
        <v>64.183831628008477</v>
      </c>
      <c r="AL37" s="20">
        <f t="shared" si="4"/>
        <v>576.57950175211477</v>
      </c>
      <c r="AM37" s="59">
        <f t="shared" si="5"/>
        <v>869.91283508544802</v>
      </c>
      <c r="AN37" s="59">
        <f ca="1">AVERAGE(OFFSET($AM$3,0,0,'Données projet'!$E$10+1,1))-AVERAGE(OFFSET($H$3,0,0,'Données projet'!$E$10+1,1))</f>
        <v>443.34220761968419</v>
      </c>
      <c r="AO37" s="59">
        <f t="shared" si="36"/>
        <v>546.58234447298014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19.634437154335583</v>
      </c>
      <c r="AW37" s="21">
        <f>EXP(-LN(2)/2)*AW36+(1-EXP(-LN(2)/2))/(LN(2)/2)*AQ37*AT37*VLOOKUP('Données projet'!$B$10,Paramètres!$A$1:$I$89,3,0)*0.475*44/12</f>
        <v>1.5104492101860698</v>
      </c>
      <c r="AX37" s="21">
        <f t="shared" si="6"/>
        <v>21.144886364521653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10.199999999999999</v>
      </c>
      <c r="BD37" s="12">
        <f>IF('Données projet'!$A$88&gt;35,BD36+BC37-BL36,IF(A37&lt;'Données projet'!$A$88,$BA$205^A37,IF(A37='Données projet'!$A$88,'Données projet'!$B$88,BD36+BC37-BL36)))</f>
        <v>128.80000000000001</v>
      </c>
      <c r="BE37" s="13">
        <f>BD37*VLOOKUP('Données projet'!$B$11,Paramètres!$A$1:$I$89,3,0)*VLOOKUP('Données projet'!$B$11,Paramètres!$A$1:$I$89,5,0)</f>
        <v>110.51040000000003</v>
      </c>
      <c r="BF37" s="13">
        <f t="shared" si="37"/>
        <v>29.451206375056412</v>
      </c>
      <c r="BG37" s="20">
        <f t="shared" si="7"/>
        <v>243.76646443655662</v>
      </c>
      <c r="BH37" s="59">
        <f t="shared" si="8"/>
        <v>537.09979776988996</v>
      </c>
      <c r="BI37" s="59">
        <f ca="1">AVERAGE(OFFSET($BH$3,0,0,'Données projet'!$E$11+1,1))-AVERAGE(OFFSET($H$3,0,0,'Données projet'!$E$11+1,1))</f>
        <v>447.15627913956871</v>
      </c>
      <c r="BJ37" s="59">
        <f t="shared" si="38"/>
        <v>256.77417912163997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8.1999999999999993</v>
      </c>
      <c r="BY37" s="12">
        <f>IF('Données projet'!$A$114&gt;35,BY36+BX37-CG36,IF(A37&lt;'Données projet'!$A$114,$BV$205^A37,IF(A37='Données projet'!$A$114,'Données projet'!$B$114,BY36+BX37-CG36)))</f>
        <v>213.80000000000004</v>
      </c>
      <c r="BZ37" s="13">
        <f>BY37*VLOOKUP('Données projet'!$B$12,Paramètres!$A$1:$I$89,3,0)*VLOOKUP('Données projet'!$B$12,Paramètres!$A$1:$I$89,5,0)</f>
        <v>203.45208000000005</v>
      </c>
      <c r="CA37" s="13">
        <f t="shared" si="39"/>
        <v>50.502073157681401</v>
      </c>
      <c r="CB37" s="20">
        <f t="shared" si="10"/>
        <v>442.30348341629519</v>
      </c>
      <c r="CC37" s="59">
        <f t="shared" si="11"/>
        <v>735.63681674962845</v>
      </c>
      <c r="CD37" s="59">
        <f ca="1">AVERAGE(OFFSET($CC$3,0,0,'Données projet'!$E$12+1,1))-AVERAGE(OFFSET($H$3,0,0,'Données projet'!$E$12+1,1))</f>
        <v>448.94764480536713</v>
      </c>
      <c r="CE37" s="59">
        <f t="shared" si="40"/>
        <v>469.26760321719695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187.80389738728508</v>
      </c>
      <c r="CZ37" s="59">
        <f t="shared" si="42"/>
        <v>439.28159165815265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114.10330159212376</v>
      </c>
      <c r="DG37" s="21">
        <f>EXP(-LN(2)/25)*DG36+(1-EXP(-LN(2)/25))/(LN(2)/25)*Calculateur!DB37*Calculateur!DD37*VLOOKUP('Données projet'!$B$13,Paramètres!$A$1:$I$89,3,0)*0.475*44/12</f>
        <v>12.868052542693974</v>
      </c>
      <c r="DH37" s="21">
        <f>EXP(-LN(2)/2)*DH36+(1-EXP(-LN(2)/2))/(LN(2)/2)*DB37*DE37*VLOOKUP('Données projet'!$B$13,Paramètres!$A$1:$I$89,3,0)*0.475*44/12</f>
        <v>1.1240501500638723E-2</v>
      </c>
      <c r="DI37" s="22">
        <f t="shared" si="15"/>
        <v>126.98259463631837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5.5</v>
      </c>
      <c r="DO37" s="12">
        <f>IF('Données projet'!$A$166&gt;35,DO36+DN37-DW36,IF(A37&lt;'Données projet'!$A$166,$DL$205^A37,IF(A37='Données projet'!$A$166,'Données projet'!$B$166,DO36+DN37-DW36)))</f>
        <v>130.5</v>
      </c>
      <c r="DP37" s="17">
        <f>DO37*VLOOKUP('Données projet'!$B$14,Paramètres!$A$1:$I$89,3,0)*VLOOKUP('Données projet'!$B$14,Paramètres!$A$1:$I$89,5,0)</f>
        <v>95.682599999999994</v>
      </c>
      <c r="DQ37" s="13">
        <f t="shared" si="43"/>
        <v>25.930809542453641</v>
      </c>
      <c r="DR37" s="20">
        <f t="shared" si="16"/>
        <v>211.81002161977344</v>
      </c>
      <c r="DS37" s="59">
        <f t="shared" si="17"/>
        <v>505.14335495310672</v>
      </c>
      <c r="DT37" s="59">
        <f ca="1">AVERAGE(OFFSET($DS$3,0,0,'Données projet'!$E$14+1,1))-AVERAGE(OFFSET($H$3,0,0,'Données projet'!$E$14+1,1))</f>
        <v>239.25212250019609</v>
      </c>
      <c r="DU37" s="59">
        <f t="shared" si="44"/>
        <v>213.58492101729695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24.2</v>
      </c>
      <c r="EJ37" s="12">
        <f>IF('Données projet'!$A$192&gt;35,EJ36+EI37-ER36,IF(A37&lt;'Données projet'!$A$192,$EG$205^A37,IF(A37='Données projet'!$A$192,'Données projet'!$B$192,EJ36+EI37-ER36)))</f>
        <v>344.80000000000007</v>
      </c>
      <c r="EK37" s="17">
        <f>EJ37*VLOOKUP('Données projet'!$B$15,Paramètres!$A$1:$I$89,3,0)*VLOOKUP('Données projet'!$B$15,Paramètres!$A$1:$I$89,5,0)</f>
        <v>206.19040000000004</v>
      </c>
      <c r="EL37" s="13">
        <f t="shared" si="45"/>
        <v>51.102207309460546</v>
      </c>
      <c r="EM37" s="20">
        <f t="shared" si="19"/>
        <v>448.11795773064387</v>
      </c>
      <c r="EN37" s="59">
        <f t="shared" si="20"/>
        <v>741.45129106397712</v>
      </c>
      <c r="EO37" s="59">
        <f ca="1">AVERAGE(OFFSET($EN$3,0,0,'Données projet'!$E$15+1,1))-AVERAGE(OFFSET($H$3,0,0,'Données projet'!$E$15+1,1))</f>
        <v>504.81063008331739</v>
      </c>
      <c r="EP37" s="59">
        <f t="shared" si="46"/>
        <v>441.82647565372287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52.6983923370531</v>
      </c>
      <c r="EX37" s="21">
        <f>EXP(-LN(2)/2)*EX36+(1-EXP(-LN(2)/2))/(LN(2)/2)*ER37*EU37*VLOOKUP('Données projet'!$B$15,Paramètres!$A$1:$I$89,3,0)*0.475*44/12</f>
        <v>1.3091210316535172E-2</v>
      </c>
      <c r="EY37" s="22">
        <f t="shared" si="21"/>
        <v>52.711483547369639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16.2</v>
      </c>
      <c r="FE37" s="12">
        <f>IF('Données projet'!$A$218&gt;35,FE36+FD37-FM36,IF(A37&lt;'Données projet'!$A$218,$FB$205^A37,IF(A37='Données projet'!$A$218,'Données projet'!$B$218,FE36+FD37-FM36)))</f>
        <v>195.79999999999993</v>
      </c>
      <c r="FF37" s="17">
        <f>FE37*VLOOKUP('Données projet'!$B$16,Paramètres!$A$1:$I$89,3,0)*VLOOKUP('Données projet'!$B$16,Paramètres!$A$1:$I$89,5,0)</f>
        <v>111.99759999999996</v>
      </c>
      <c r="FG37" s="13">
        <f t="shared" si="47"/>
        <v>29.801140607184838</v>
      </c>
      <c r="FH37" s="20">
        <f t="shared" si="22"/>
        <v>246.96613989084688</v>
      </c>
      <c r="FI37" s="59">
        <f t="shared" si="23"/>
        <v>540.29947322418025</v>
      </c>
      <c r="FJ37" s="59">
        <f ca="1">AVERAGE(OFFSET($FI$3,0,0,'Données projet'!$E$16+1,1))-AVERAGE(OFFSET($H$3,0,0,'Données projet'!$E$16+1,1))</f>
        <v>393.41577134252316</v>
      </c>
      <c r="FK37" s="59">
        <f t="shared" si="48"/>
        <v>255.54039659391475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23.915390916587295</v>
      </c>
      <c r="FS37" s="21">
        <f>EXP(-LN(2)/2)*FS36+(1-EXP(-LN(2)/2))/(LN(2)/2)*FM37*FP37*VLOOKUP('Données projet'!$B$16,Paramètres!$A$1:$I$89,3,0)*0.475*44/12</f>
        <v>9.1073935432285119E-2</v>
      </c>
      <c r="FT37" s="22">
        <f t="shared" si="24"/>
        <v>24.00646485201958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31.4</v>
      </c>
      <c r="FZ37" s="12">
        <f>IF('Données projet'!$A$244&gt;35,FZ36+FY37-GH36,IF(A37&lt;'Données projet'!$A$244,$FW$205^A37,IF(A37='Données projet'!$A$244,'Données projet'!$B$244,FZ36+FY37-GH36)))</f>
        <v>428.6</v>
      </c>
      <c r="GA37" s="17">
        <f>FZ37*VLOOKUP('Données projet'!$B$17,Paramètres!$A$1:$I$89,3,0)*VLOOKUP('Données projet'!$B$17,Paramètres!$A$1:$I$89,5,0)</f>
        <v>200.5848</v>
      </c>
      <c r="GB37" s="13">
        <f t="shared" si="49"/>
        <v>49.872667217659334</v>
      </c>
      <c r="GC37" s="20">
        <f t="shared" si="25"/>
        <v>436.21342207075668</v>
      </c>
      <c r="GD37" s="59">
        <f t="shared" si="26"/>
        <v>729.54675540408994</v>
      </c>
      <c r="GE37" s="59">
        <f ca="1">AVERAGE(OFFSET($GD$3,0,0,'Données projet'!$E$17+1,1))-AVERAGE(OFFSET($H$3,0,0,'Données projet'!$E$17+1,1))</f>
        <v>488.67934252295686</v>
      </c>
      <c r="GF37" s="59">
        <f t="shared" si="50"/>
        <v>424.50324471331095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43.844883347076703</v>
      </c>
      <c r="GN37" s="21">
        <f>EXP(-LN(2)/2)*GN36+(1-EXP(-LN(2)/2))/(LN(2)/2)*GH37*GK37*VLOOKUP('Données projet'!$B$17,Paramètres!$A$1:$I$89,3,0)*0.475*44/12</f>
        <v>0.20284649255372589</v>
      </c>
      <c r="GO37" s="21">
        <f t="shared" si="27"/>
        <v>44.047729839630428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28.2</v>
      </c>
      <c r="GU37" s="12">
        <f>IF('Données projet'!$A$270&gt;35,GU36+GT37-HC36,IF(A37&lt;'Données projet'!$A$270,$GR$205^A37,IF(A37='Données projet'!$A$270,'Données projet'!$B$270,GU36+GT37-HC36)))</f>
        <v>384.80000000000007</v>
      </c>
      <c r="GV37" s="17">
        <f>GU37*VLOOKUP('Données projet'!$B$18,Paramètres!$A$1:$I$89,3,0)*VLOOKUP('Données projet'!$B$18,Paramètres!$A$1:$I$89,5,0)</f>
        <v>185.08880000000005</v>
      </c>
      <c r="GW37" s="13">
        <f t="shared" si="51"/>
        <v>46.45250688222994</v>
      </c>
      <c r="GX37" s="20">
        <f t="shared" si="28"/>
        <v>403.26777615321726</v>
      </c>
      <c r="GY37" s="59">
        <f t="shared" si="29"/>
        <v>696.60110948655051</v>
      </c>
      <c r="GZ37" s="59">
        <f ca="1">AVERAGE(OFFSET($GY$3,0,0,'Données projet'!$E$18+1,1))-AVERAGE(OFFSET($H$3,0,0,'Données projet'!$E$18+1,1))</f>
        <v>458.80976193248841</v>
      </c>
      <c r="HA37" s="59">
        <f t="shared" si="52"/>
        <v>396.07405370178759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40.966178884894902</v>
      </c>
      <c r="HI37" s="21">
        <f>EXP(-LN(2)/2)*HI36+(1-EXP(-LN(2)/2))/(LN(2)/2)*HC37*HF37*VLOOKUP('Données projet'!$B$18,Paramètres!$A$1:$I$89,3,0)*0.475*44/12</f>
        <v>9.3603766972070887E-2</v>
      </c>
      <c r="HJ37" s="22">
        <f t="shared" si="30"/>
        <v>41.059782651866975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525.14279449916307</v>
      </c>
      <c r="S38" s="59">
        <f ca="1">AVERAGE(OFFSET($R$3,0,0,'Données projet'!$E$9+1,1))-AVERAGE(OFFSET($H$3,0,0,'Données projet'!$E$9+1,1))</f>
        <v>364.3481978218424</v>
      </c>
      <c r="T38" s="59">
        <f t="shared" si="34"/>
        <v>231.36959598460686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9.0320732825947605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9.0320732825947605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505</v>
      </c>
      <c r="AG38" s="12">
        <f>VLOOKUP(A38,'Données projet'!$A$61:$I$81,9,0)</f>
        <v>27.6</v>
      </c>
      <c r="AH38" s="12">
        <f t="array" ref="AH38">INDEX(AG:AG,MIN(IF(ISNUMBER(AG38:AG234),ROW(AG38:AG234),"")))</f>
        <v>27.6</v>
      </c>
      <c r="AI38" s="13">
        <f>IF('Données projet'!$A$62&gt;35,AI37+AH38-AQ37,IF(A38&lt;'Données projet'!$A$62,$AF$205^A38,IF(A38='Données projet'!$A$62,'Données projet'!$B$62,AI37+AH38-AQ37)))</f>
        <v>505.00000000000011</v>
      </c>
      <c r="AJ38" s="13">
        <f>AI38*VLOOKUP('Données projet'!$B$10,Paramètres!$A$1:$I$89,3,0)*VLOOKUP('Données projet'!$B$10,Paramètres!$A$1:$I$89,5,0)</f>
        <v>282.29500000000007</v>
      </c>
      <c r="AK38" s="13">
        <f t="shared" si="35"/>
        <v>67.451777696853824</v>
      </c>
      <c r="AL38" s="20">
        <f t="shared" si="4"/>
        <v>609.14230448868716</v>
      </c>
      <c r="AM38" s="59">
        <f t="shared" si="5"/>
        <v>902.47563782202042</v>
      </c>
      <c r="AN38" s="59">
        <f ca="1">AVERAGE(OFFSET($AM$3,0,0,'Données projet'!$E$10+1,1))-AVERAGE(OFFSET($H$3,0,0,'Données projet'!$E$10+1,1))</f>
        <v>443.34220761968419</v>
      </c>
      <c r="AO38" s="59">
        <f t="shared" si="36"/>
        <v>546.58234447298014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69</v>
      </c>
      <c r="AR38" s="16">
        <f>IF(ISNA(VLOOKUP(A38,'Données projet'!$A$61:$I$81,5,0)),0%,VLOOKUP(A38,'Données projet'!$A$61:$I$81,5,0)*VLOOKUP('Données projet'!$B$10,Paramètres!$A$1:$I$89,7,0))</f>
        <v>0.55000000000000004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28.14180468591718</v>
      </c>
      <c r="AV38" s="21">
        <f>EXP(-LN(2)/25)*AV37+(1-EXP(-LN(2)/25))/(LN(2)/25)*Calculateur!AQ38*Calculateur!AS38*VLOOKUP('Données projet'!$B$10,Paramètres!$A$1:$I$89,3,0)*0.475*44/12</f>
        <v>19.097532437820103</v>
      </c>
      <c r="AW38" s="21">
        <f>EXP(-LN(2)/2)*AW37+(1-EXP(-LN(2)/2))/(LN(2)/2)*AQ38*AT38*VLOOKUP('Données projet'!$B$10,Paramètres!$A$1:$I$89,3,0)*0.475*44/12</f>
        <v>1.0680488791604348</v>
      </c>
      <c r="AX38" s="21">
        <f t="shared" si="6"/>
        <v>48.307386002897722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139</v>
      </c>
      <c r="BB38" s="12">
        <f>VLOOKUP(A38,'Données projet'!$A$87:$I$107,9,0)</f>
        <v>10.199999999999999</v>
      </c>
      <c r="BC38" s="12">
        <f t="array" ref="BC38">INDEX(BB:BB,MIN(IF(ISNUMBER(BB38:BB234),ROW(BB38:BB234),"")))</f>
        <v>10.199999999999999</v>
      </c>
      <c r="BD38" s="12">
        <f>IF('Données projet'!$A$88&gt;35,BD37+BC38-BL37,IF(A38&lt;'Données projet'!$A$88,$BA$205^A38,IF(A38='Données projet'!$A$88,'Données projet'!$B$88,BD37+BC38-BL37)))</f>
        <v>139</v>
      </c>
      <c r="BE38" s="13">
        <f>BD38*VLOOKUP('Données projet'!$B$11,Paramètres!$A$1:$I$89,3,0)*VLOOKUP('Données projet'!$B$11,Paramètres!$A$1:$I$89,5,0)</f>
        <v>119.26200000000001</v>
      </c>
      <c r="BF38" s="13">
        <f t="shared" si="37"/>
        <v>31.502811162802828</v>
      </c>
      <c r="BG38" s="20">
        <f t="shared" si="7"/>
        <v>262.58204610854824</v>
      </c>
      <c r="BH38" s="59">
        <f t="shared" si="8"/>
        <v>555.91537944188156</v>
      </c>
      <c r="BI38" s="59">
        <f ca="1">AVERAGE(OFFSET($BH$3,0,0,'Données projet'!$E$11+1,1))-AVERAGE(OFFSET($H$3,0,0,'Données projet'!$E$11+1,1))</f>
        <v>447.15627913956871</v>
      </c>
      <c r="BJ38" s="59">
        <f t="shared" si="38"/>
        <v>256.77417912163997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14.075644810886788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14.075644810886788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222</v>
      </c>
      <c r="BW38" s="12">
        <f>VLOOKUP(A38,'Données projet'!$A$113:$I$133,9,0)</f>
        <v>8.1999999999999993</v>
      </c>
      <c r="BX38" s="12">
        <f t="array" ref="BX38">INDEX(BW:BW,MIN(IF(ISNUMBER(BW38:BW234),ROW(BW38:BW234),"")))</f>
        <v>8.1999999999999993</v>
      </c>
      <c r="BY38" s="12">
        <f>IF('Données projet'!$A$114&gt;35,BY37+BX38-CG37,IF(A38&lt;'Données projet'!$A$114,$BV$205^A38,IF(A38='Données projet'!$A$114,'Données projet'!$B$114,BY37+BX38-CG37)))</f>
        <v>222.00000000000003</v>
      </c>
      <c r="BZ38" s="13">
        <f>BY38*VLOOKUP('Données projet'!$B$12,Paramètres!$A$1:$I$89,3,0)*VLOOKUP('Données projet'!$B$12,Paramètres!$A$1:$I$89,5,0)</f>
        <v>211.25520000000003</v>
      </c>
      <c r="CA38" s="13">
        <f t="shared" si="39"/>
        <v>52.209783272091016</v>
      </c>
      <c r="CB38" s="20">
        <f t="shared" si="10"/>
        <v>458.86817919889182</v>
      </c>
      <c r="CC38" s="59">
        <f t="shared" si="11"/>
        <v>752.20151253222514</v>
      </c>
      <c r="CD38" s="59">
        <f ca="1">AVERAGE(OFFSET($CC$3,0,0,'Données projet'!$E$12+1,1))-AVERAGE(OFFSET($H$3,0,0,'Données projet'!$E$12+1,1))</f>
        <v>448.94764480536713</v>
      </c>
      <c r="CE38" s="59">
        <f t="shared" si="40"/>
        <v>469.26760321719695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29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13.118011196149537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13.118011196149537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187.80389738728508</v>
      </c>
      <c r="CZ38" s="59">
        <f t="shared" si="42"/>
        <v>439.28159165815265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111.86580544404413</v>
      </c>
      <c r="DG38" s="21">
        <f>EXP(-LN(2)/25)*DG37+(1-EXP(-LN(2)/25))/(LN(2)/25)*Calculateur!DB38*Calculateur!DD38*VLOOKUP('Données projet'!$B$13,Paramètres!$A$1:$I$89,3,0)*0.475*44/12</f>
        <v>12.516174969212534</v>
      </c>
      <c r="DH38" s="21">
        <f>EXP(-LN(2)/2)*DH37+(1-EXP(-LN(2)/2))/(LN(2)/2)*DB38*DE38*VLOOKUP('Données projet'!$B$13,Paramètres!$A$1:$I$89,3,0)*0.475*44/12</f>
        <v>7.9482348350392047E-3</v>
      </c>
      <c r="DI38" s="22">
        <f t="shared" si="15"/>
        <v>124.3899286480917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136</v>
      </c>
      <c r="DM38" s="12">
        <f>VLOOKUP(A38,'Données projet'!$A$165:$I$185,9,0)</f>
        <v>5.5</v>
      </c>
      <c r="DN38" s="12">
        <f t="array" ref="DN38">INDEX(DM:DM,MIN(IF(ISNUMBER(DM38:DM234),ROW(DM38:DM234),"")))</f>
        <v>5.5</v>
      </c>
      <c r="DO38" s="12">
        <f>IF('Données projet'!$A$166&gt;35,DO37+DN38-DW37,IF(A38&lt;'Données projet'!$A$166,$DL$205^A38,IF(A38='Données projet'!$A$166,'Données projet'!$B$166,DO37+DN38-DW37)))</f>
        <v>136</v>
      </c>
      <c r="DP38" s="17">
        <f>DO38*VLOOKUP('Données projet'!$B$14,Paramètres!$A$1:$I$89,3,0)*VLOOKUP('Données projet'!$B$14,Paramètres!$A$1:$I$89,5,0)</f>
        <v>99.715199999999996</v>
      </c>
      <c r="DQ38" s="13">
        <f t="shared" si="43"/>
        <v>26.894136617382181</v>
      </c>
      <c r="DR38" s="20">
        <f t="shared" si="16"/>
        <v>220.51126127527394</v>
      </c>
      <c r="DS38" s="59">
        <f t="shared" si="17"/>
        <v>513.84459460860728</v>
      </c>
      <c r="DT38" s="59">
        <f ca="1">AVERAGE(OFFSET($DS$3,0,0,'Données projet'!$E$14+1,1))-AVERAGE(OFFSET($H$3,0,0,'Données projet'!$E$14+1,1))</f>
        <v>239.25212250019609</v>
      </c>
      <c r="DU38" s="59">
        <f t="shared" si="44"/>
        <v>213.58492101729695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369</v>
      </c>
      <c r="EH38" s="12">
        <f>VLOOKUP(A38,'Données projet'!$A$191:$I$211,9,0)</f>
        <v>24.2</v>
      </c>
      <c r="EI38" s="12">
        <f t="array" ref="EI38">INDEX(EH:EH,MIN(IF(ISNUMBER(EH38:EH234),ROW(EH38:EH234),"")))</f>
        <v>24.2</v>
      </c>
      <c r="EJ38" s="12">
        <f>IF('Données projet'!$A$192&gt;35,EJ37+EI38-ER37,IF(A38&lt;'Données projet'!$A$192,$EG$205^A38,IF(A38='Données projet'!$A$192,'Données projet'!$B$192,EJ37+EI38-ER37)))</f>
        <v>369.00000000000006</v>
      </c>
      <c r="EK38" s="17">
        <f>EJ38*VLOOKUP('Données projet'!$B$15,Paramètres!$A$1:$I$89,3,0)*VLOOKUP('Données projet'!$B$15,Paramètres!$A$1:$I$89,5,0)</f>
        <v>220.66200000000006</v>
      </c>
      <c r="EL38" s="13">
        <f t="shared" si="45"/>
        <v>54.258742979955002</v>
      </c>
      <c r="EM38" s="20">
        <f t="shared" si="19"/>
        <v>478.82029402342181</v>
      </c>
      <c r="EN38" s="59">
        <f t="shared" si="20"/>
        <v>772.15362735675512</v>
      </c>
      <c r="EO38" s="59">
        <f ca="1">AVERAGE(OFFSET($EN$3,0,0,'Données projet'!$E$15+1,1))-AVERAGE(OFFSET($H$3,0,0,'Données projet'!$E$15+1,1))</f>
        <v>504.81063008331739</v>
      </c>
      <c r="EP38" s="59">
        <f t="shared" si="46"/>
        <v>441.82647565372287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63</v>
      </c>
      <c r="ES38" s="16">
        <f>IF(ISNA(VLOOKUP(A38,'Données projet'!$A$191:$I$211,5,0)),0%,VLOOKUP(A38,'Données projet'!$A$191:$I$211,5,0)*VLOOKUP('Données projet'!$B$15,Paramètres!$A$1:$I$89,7,0))</f>
        <v>0.45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22.489645182403162</v>
      </c>
      <c r="EW38" s="21">
        <f>EXP(-LN(2)/25)*EW37+(1-EXP(-LN(2)/25))/(LN(2)/25)*Calculateur!ER38*Calculateur!ET38*VLOOKUP('Données projet'!$B$15,Paramètres!$A$1:$I$89,3,0)*0.475*44/12</f>
        <v>51.257352027308372</v>
      </c>
      <c r="EX38" s="21">
        <f>EXP(-LN(2)/2)*EX37+(1-EXP(-LN(2)/2))/(LN(2)/2)*ER38*EU38*VLOOKUP('Données projet'!$B$15,Paramètres!$A$1:$I$89,3,0)*0.475*44/12</f>
        <v>9.2568835887613093E-3</v>
      </c>
      <c r="EY38" s="22">
        <f t="shared" si="21"/>
        <v>73.756254093300299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212</v>
      </c>
      <c r="FC38" s="12">
        <f>VLOOKUP(A38,'Données projet'!$A$217:$I$237,9,0)</f>
        <v>16.2</v>
      </c>
      <c r="FD38" s="12">
        <f t="array" ref="FD38">INDEX(FC:FC,MIN(IF(ISNUMBER(FC38:FC234),ROW(FC38:FC234),"")))</f>
        <v>16.2</v>
      </c>
      <c r="FE38" s="12">
        <f>IF('Données projet'!$A$218&gt;35,FE37+FD38-FM37,IF(A38&lt;'Données projet'!$A$218,$FB$205^A38,IF(A38='Données projet'!$A$218,'Données projet'!$B$218,FE37+FD38-FM37)))</f>
        <v>211.99999999999991</v>
      </c>
      <c r="FF38" s="17">
        <f>FE38*VLOOKUP('Données projet'!$B$16,Paramètres!$A$1:$I$89,3,0)*VLOOKUP('Données projet'!$B$16,Paramètres!$A$1:$I$89,5,0)</f>
        <v>121.26399999999995</v>
      </c>
      <c r="FG38" s="13">
        <f t="shared" si="47"/>
        <v>31.969626512752978</v>
      </c>
      <c r="FH38" s="20">
        <f t="shared" si="22"/>
        <v>266.88189950971133</v>
      </c>
      <c r="FI38" s="59">
        <f t="shared" si="23"/>
        <v>560.21523284304465</v>
      </c>
      <c r="FJ38" s="59">
        <f ca="1">AVERAGE(OFFSET($FI$3,0,0,'Données projet'!$E$16+1,1))-AVERAGE(OFFSET($H$3,0,0,'Données projet'!$E$16+1,1))</f>
        <v>393.41577134252316</v>
      </c>
      <c r="FK38" s="59">
        <f t="shared" si="48"/>
        <v>255.54039659391475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42</v>
      </c>
      <c r="FN38" s="16">
        <f>IF(ISNA(VLOOKUP(A38,'Données projet'!$A$217:$I$237,5,0)),0%,VLOOKUP(A38,'Données projet'!$A$217:$I$237,5,0)*VLOOKUP('Données projet'!$B$16,Paramètres!$A$1:$I$89,7,0))</f>
        <v>0.45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14.341223014865777</v>
      </c>
      <c r="FR38" s="21">
        <f>EXP(-LN(2)/25)*FR37+(1-EXP(-LN(2)/25))/(LN(2)/25)*Calculateur!FM38*Calculateur!FO38*VLOOKUP('Données projet'!$B$16,Paramètres!$A$1:$I$89,3,0)*0.475*44/12</f>
        <v>23.261423294317467</v>
      </c>
      <c r="FS38" s="21">
        <f>EXP(-LN(2)/2)*FS37+(1-EXP(-LN(2)/2))/(LN(2)/2)*FM38*FP38*VLOOKUP('Données projet'!$B$16,Paramètres!$A$1:$I$89,3,0)*0.475*44/12</f>
        <v>6.439899733351459E-2</v>
      </c>
      <c r="FT38" s="22">
        <f t="shared" si="24"/>
        <v>37.667045306516755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460</v>
      </c>
      <c r="FX38" s="12">
        <f>VLOOKUP(A38,'Données projet'!$A$243:$I$263,9,0)</f>
        <v>31.4</v>
      </c>
      <c r="FY38" s="12">
        <f t="array" ref="FY38">INDEX(FX:FX,MIN(IF(ISNUMBER(FX38:FX234),ROW(FX38:FX234),"")))</f>
        <v>31.4</v>
      </c>
      <c r="FZ38" s="12">
        <f>IF('Données projet'!$A$244&gt;35,FZ37+FY38-GH37,IF(A38&lt;'Données projet'!$A$244,$FW$205^A38,IF(A38='Données projet'!$A$244,'Données projet'!$B$244,FZ37+FY38-GH37)))</f>
        <v>460</v>
      </c>
      <c r="GA38" s="17">
        <f>FZ38*VLOOKUP('Données projet'!$B$17,Paramètres!$A$1:$I$89,3,0)*VLOOKUP('Données projet'!$B$17,Paramètres!$A$1:$I$89,5,0)</f>
        <v>215.28</v>
      </c>
      <c r="GB38" s="13">
        <f t="shared" si="49"/>
        <v>53.087725740853138</v>
      </c>
      <c r="GC38" s="20">
        <f t="shared" si="25"/>
        <v>467.40712233198587</v>
      </c>
      <c r="GD38" s="59">
        <f t="shared" si="26"/>
        <v>760.74045566531913</v>
      </c>
      <c r="GE38" s="59">
        <f ca="1">AVERAGE(OFFSET($GD$3,0,0,'Données projet'!$E$17+1,1))-AVERAGE(OFFSET($H$3,0,0,'Données projet'!$E$17+1,1))</f>
        <v>488.67934252295686</v>
      </c>
      <c r="GF38" s="59">
        <f t="shared" si="50"/>
        <v>424.50324471331095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77</v>
      </c>
      <c r="GI38" s="16">
        <f>IF(ISNA(VLOOKUP(A38,'Données projet'!$A$243:$I$263,5,0)),0%,VLOOKUP(A38,'Données projet'!$A$243:$I$263,5,0)*VLOOKUP('Données projet'!$B$17,Paramètres!$A$1:$I$89,7,0))</f>
        <v>0.55000000000000004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26.2922421939206</v>
      </c>
      <c r="GM38" s="21">
        <f>EXP(-LN(2)/25)*GM37+(1-EXP(-LN(2)/25))/(LN(2)/25)*Calculateur!GH38*Calculateur!GJ38*VLOOKUP('Données projet'!$B$17,Paramètres!$A$1:$I$89,3,0)*0.475*44/12</f>
        <v>42.645942706248682</v>
      </c>
      <c r="GN38" s="21">
        <f>EXP(-LN(2)/2)*GN37+(1-EXP(-LN(2)/2))/(LN(2)/2)*GH38*GK38*VLOOKUP('Données projet'!$B$17,Paramètres!$A$1:$I$89,3,0)*0.475*44/12</f>
        <v>0.14343413042464609</v>
      </c>
      <c r="GO38" s="21">
        <f t="shared" si="27"/>
        <v>69.081619030593941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413</v>
      </c>
      <c r="GS38" s="12">
        <f>VLOOKUP(A38,'Données projet'!$A$269:$I$289,9,0)</f>
        <v>28.2</v>
      </c>
      <c r="GT38" s="12">
        <f t="array" ref="GT38">INDEX(GS:GS,MIN(IF(ISNUMBER(GS38:GS234),ROW(GS38:GS234),"")))</f>
        <v>28.2</v>
      </c>
      <c r="GU38" s="12">
        <f>IF('Données projet'!$A$270&gt;35,GU37+GT38-HC37,IF(A38&lt;'Données projet'!$A$270,$GR$205^A38,IF(A38='Données projet'!$A$270,'Données projet'!$B$270,GU37+GT38-HC37)))</f>
        <v>413.00000000000006</v>
      </c>
      <c r="GV38" s="17">
        <f>GU38*VLOOKUP('Données projet'!$B$18,Paramètres!$A$1:$I$89,3,0)*VLOOKUP('Données projet'!$B$18,Paramètres!$A$1:$I$89,5,0)</f>
        <v>198.65300000000005</v>
      </c>
      <c r="GW38" s="13">
        <f t="shared" si="51"/>
        <v>49.448021566266846</v>
      </c>
      <c r="GX38" s="20">
        <f t="shared" si="28"/>
        <v>432.10927922791484</v>
      </c>
      <c r="GY38" s="59">
        <f t="shared" si="29"/>
        <v>725.4426125612481</v>
      </c>
      <c r="GZ38" s="59">
        <f ca="1">AVERAGE(OFFSET($GY$3,0,0,'Données projet'!$E$18+1,1))-AVERAGE(OFFSET($H$3,0,0,'Données projet'!$E$18+1,1))</f>
        <v>458.80976193248841</v>
      </c>
      <c r="HA38" s="59">
        <f t="shared" si="52"/>
        <v>396.07405370178759</v>
      </c>
      <c r="HB38" s="15">
        <f>IF(ISNA(VLOOKUP(A38,'Données projet'!$A$269:$I$289,3,0)),0,VLOOKUP(A38,'Données projet'!$A$269:$I$289,3,0))</f>
        <v>4</v>
      </c>
      <c r="HC38" s="15">
        <f>IF(ISNA(VLOOKUP(A38,'Données projet'!$A$269:$I$289,4,0)),0,VLOOKUP(A38,'Données projet'!$A$269:$I$289,4,0))</f>
        <v>70</v>
      </c>
      <c r="HD38" s="16">
        <f>IF(ISNA(VLOOKUP(A38,'Données projet'!$A$269:$I$289,5,0)),0%,VLOOKUP(A38,'Données projet'!$A$269:$I$289,5,0)*VLOOKUP('Données projet'!$B$18,Paramètres!$A$1:$I$89,7,0))</f>
        <v>0.55000000000000004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24.565983868057128</v>
      </c>
      <c r="HH38" s="21">
        <f>EXP(-LN(2)/25)*HH37+(1-EXP(-LN(2)/25))/(LN(2)/25)*Calculateur!HC38*Calculateur!HE38*VLOOKUP('Données projet'!$B$18,Paramètres!$A$1:$I$89,3,0)*0.475*44/12</f>
        <v>39.845956568969733</v>
      </c>
      <c r="HI38" s="21">
        <f>EXP(-LN(2)/2)*HI37+(1-EXP(-LN(2)/2))/(LN(2)/2)*HC38*HF38*VLOOKUP('Données projet'!$B$18,Paramètres!$A$1:$I$89,3,0)*0.475*44/12</f>
        <v>6.6187858370556713E-2</v>
      </c>
      <c r="HJ38" s="22">
        <f t="shared" si="30"/>
        <v>64.478128295397411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93.556319999999999</v>
      </c>
      <c r="P39" s="13">
        <f t="shared" si="33"/>
        <v>25.420979659258073</v>
      </c>
      <c r="Q39" s="20">
        <f t="shared" si="53"/>
        <v>207.21879690654114</v>
      </c>
      <c r="R39" s="59">
        <f t="shared" si="0"/>
        <v>500.55213023987449</v>
      </c>
      <c r="S39" s="59">
        <f ca="1">AVERAGE(OFFSET($R$3,0,0,'Données projet'!$E$9+1,1))-AVERAGE(OFFSET($H$3,0,0,'Données projet'!$E$9+1,1))</f>
        <v>364.3481978218424</v>
      </c>
      <c r="T39" s="59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8.8549598345438092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8.8549598345438092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25.6</v>
      </c>
      <c r="AI39" s="13">
        <f>IF('Données projet'!$A$62&gt;35,AI38+AH39-AQ38,IF(A39&lt;'Données projet'!$A$62,$AF$205^A39,IF(A39='Données projet'!$A$62,'Données projet'!$B$62,AI38+AH39-AQ38)))</f>
        <v>461.60000000000014</v>
      </c>
      <c r="AJ39" s="13">
        <f>AI39*VLOOKUP('Données projet'!$B$10,Paramètres!$A$1:$I$89,3,0)*VLOOKUP('Données projet'!$B$10,Paramètres!$A$1:$I$89,5,0)</f>
        <v>258.03440000000006</v>
      </c>
      <c r="AK39" s="13">
        <f t="shared" si="35"/>
        <v>62.303206596431174</v>
      </c>
      <c r="AL39" s="20">
        <f t="shared" si="4"/>
        <v>557.9213314887844</v>
      </c>
      <c r="AM39" s="59">
        <f t="shared" si="5"/>
        <v>851.25466482211777</v>
      </c>
      <c r="AN39" s="59">
        <f ca="1">AVERAGE(OFFSET($AM$3,0,0,'Données projet'!$E$10+1,1))-AVERAGE(OFFSET($H$3,0,0,'Données projet'!$E$10+1,1))</f>
        <v>443.34220761968419</v>
      </c>
      <c r="AO39" s="59">
        <f t="shared" si="36"/>
        <v>546.58234447298014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27.589961060832319</v>
      </c>
      <c r="AV39" s="21">
        <f>EXP(-LN(2)/25)*AV38+(1-EXP(-LN(2)/25))/(LN(2)/25)*Calculateur!AQ39*Calculateur!AS39*VLOOKUP('Données projet'!$B$10,Paramètres!$A$1:$I$89,3,0)*0.475*44/12</f>
        <v>18.575309409012331</v>
      </c>
      <c r="AW39" s="21">
        <f>EXP(-LN(2)/2)*AW38+(1-EXP(-LN(2)/2))/(LN(2)/2)*AQ39*AT39*VLOOKUP('Données projet'!$B$10,Paramètres!$A$1:$I$89,3,0)*0.475*44/12</f>
        <v>0.75522460509303491</v>
      </c>
      <c r="AX39" s="21">
        <f t="shared" si="6"/>
        <v>46.920495074937683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</v>
      </c>
      <c r="BD39" s="12">
        <f>IF('Données projet'!$A$88&gt;35,BD38+BC39-BL38,IF(A39&lt;'Données projet'!$A$88,$BA$205^A39,IF(A39='Données projet'!$A$88,'Données projet'!$B$88,BD38+BC39-BL38)))</f>
        <v>121</v>
      </c>
      <c r="BE39" s="13">
        <f>BD39*VLOOKUP('Données projet'!$B$11,Paramètres!$A$1:$I$89,3,0)*VLOOKUP('Données projet'!$B$11,Paramètres!$A$1:$I$89,5,0)</f>
        <v>103.81800000000003</v>
      </c>
      <c r="BF39" s="13">
        <f t="shared" si="37"/>
        <v>27.869590380741339</v>
      </c>
      <c r="BG39" s="20">
        <f t="shared" si="7"/>
        <v>229.35588657979122</v>
      </c>
      <c r="BH39" s="59">
        <f t="shared" si="8"/>
        <v>522.68921991312459</v>
      </c>
      <c r="BI39" s="59">
        <f ca="1">AVERAGE(OFFSET($BH$3,0,0,'Données projet'!$E$11+1,1))-AVERAGE(OFFSET($H$3,0,0,'Données projet'!$E$11+1,1))</f>
        <v>447.15627913956871</v>
      </c>
      <c r="BJ39" s="59">
        <f t="shared" si="38"/>
        <v>256.77417912163997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13.799630001440905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13.799630001440905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201.40000000000003</v>
      </c>
      <c r="BZ39" s="13">
        <f>BY39*VLOOKUP('Données projet'!$B$12,Paramètres!$A$1:$I$89,3,0)*VLOOKUP('Données projet'!$B$12,Paramètres!$A$1:$I$89,5,0)</f>
        <v>191.65224000000003</v>
      </c>
      <c r="CA39" s="13">
        <f t="shared" si="39"/>
        <v>47.905055377617416</v>
      </c>
      <c r="CB39" s="20">
        <f t="shared" si="10"/>
        <v>417.22895611601695</v>
      </c>
      <c r="CC39" s="59">
        <f t="shared" si="11"/>
        <v>710.56228944935026</v>
      </c>
      <c r="CD39" s="59">
        <f ca="1">AVERAGE(OFFSET($CC$3,0,0,'Données projet'!$E$12+1,1))-AVERAGE(OFFSET($H$3,0,0,'Données projet'!$E$12+1,1))</f>
        <v>448.94764480536713</v>
      </c>
      <c r="CE39" s="59">
        <f t="shared" si="40"/>
        <v>469.26760321719695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12.860774997789822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12.860774997789822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187.80389738728508</v>
      </c>
      <c r="CZ39" s="59">
        <f t="shared" si="42"/>
        <v>439.28159165815265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109.67218523069045</v>
      </c>
      <c r="DG39" s="21">
        <f>EXP(-LN(2)/25)*DG38+(1-EXP(-LN(2)/25))/(LN(2)/25)*Calculateur!DB39*Calculateur!DD39*VLOOKUP('Données projet'!$B$13,Paramètres!$A$1:$I$89,3,0)*0.475*44/12</f>
        <v>12.173919506482381</v>
      </c>
      <c r="DH39" s="21">
        <f>EXP(-LN(2)/2)*DH38+(1-EXP(-LN(2)/2))/(LN(2)/2)*DB39*DE39*VLOOKUP('Données projet'!$B$13,Paramètres!$A$1:$I$89,3,0)*0.475*44/12</f>
        <v>5.6202507503193616E-3</v>
      </c>
      <c r="DI39" s="22">
        <f t="shared" si="15"/>
        <v>121.85172498792315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6.8</v>
      </c>
      <c r="DO39" s="12">
        <f>IF('Données projet'!$A$166&gt;35,DO38+DN39-DW38,IF(A39&lt;'Données projet'!$A$166,$DL$205^A39,IF(A39='Données projet'!$A$166,'Données projet'!$B$166,DO38+DN39-DW38)))</f>
        <v>142.80000000000001</v>
      </c>
      <c r="DP39" s="17">
        <f>DO39*VLOOKUP('Données projet'!$B$14,Paramètres!$A$1:$I$89,3,0)*VLOOKUP('Données projet'!$B$14,Paramètres!$A$1:$I$89,5,0)</f>
        <v>104.70096000000001</v>
      </c>
      <c r="DQ39" s="13">
        <f t="shared" si="43"/>
        <v>28.07892464469024</v>
      </c>
      <c r="DR39" s="20">
        <f t="shared" si="16"/>
        <v>231.25829908950217</v>
      </c>
      <c r="DS39" s="59">
        <f t="shared" si="17"/>
        <v>524.59163242283546</v>
      </c>
      <c r="DT39" s="59">
        <f ca="1">AVERAGE(OFFSET($DS$3,0,0,'Données projet'!$E$14+1,1))-AVERAGE(OFFSET($H$3,0,0,'Données projet'!$E$14+1,1))</f>
        <v>239.25212250019609</v>
      </c>
      <c r="DU39" s="59">
        <f t="shared" si="44"/>
        <v>213.58492101729695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23.6</v>
      </c>
      <c r="EJ39" s="12">
        <f>IF('Données projet'!$A$192&gt;35,EJ38+EI39-ER38,IF(A39&lt;'Données projet'!$A$192,$EG$205^A39,IF(A39='Données projet'!$A$192,'Données projet'!$B$192,EJ38+EI39-ER38)))</f>
        <v>329.60000000000008</v>
      </c>
      <c r="EK39" s="17">
        <f>EJ39*VLOOKUP('Données projet'!$B$15,Paramètres!$A$1:$I$89,3,0)*VLOOKUP('Données projet'!$B$15,Paramètres!$A$1:$I$89,5,0)</f>
        <v>197.10080000000005</v>
      </c>
      <c r="EL39" s="13">
        <f t="shared" si="45"/>
        <v>49.10647084525754</v>
      </c>
      <c r="EM39" s="20">
        <f t="shared" si="19"/>
        <v>428.81099672215697</v>
      </c>
      <c r="EN39" s="59">
        <f t="shared" si="20"/>
        <v>722.14433005549029</v>
      </c>
      <c r="EO39" s="59">
        <f ca="1">AVERAGE(OFFSET($EN$3,0,0,'Données projet'!$E$15+1,1))-AVERAGE(OFFSET($H$3,0,0,'Données projet'!$E$15+1,1))</f>
        <v>504.81063008331739</v>
      </c>
      <c r="EP39" s="59">
        <f t="shared" si="46"/>
        <v>441.82647565372287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22.048636957705323</v>
      </c>
      <c r="EW39" s="21">
        <f>EXP(-LN(2)/25)*EW38+(1-EXP(-LN(2)/25))/(LN(2)/25)*Calculateur!ER39*Calculateur!ET39*VLOOKUP('Données projet'!$B$15,Paramètres!$A$1:$I$89,3,0)*0.475*44/12</f>
        <v>49.855717040614628</v>
      </c>
      <c r="EX39" s="21">
        <f>EXP(-LN(2)/2)*EX38+(1-EXP(-LN(2)/2))/(LN(2)/2)*ER39*EU39*VLOOKUP('Données projet'!$B$15,Paramètres!$A$1:$I$89,3,0)*0.475*44/12</f>
        <v>6.545605158267586E-3</v>
      </c>
      <c r="EY39" s="22">
        <f t="shared" si="21"/>
        <v>71.910899603478214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16.600000000000001</v>
      </c>
      <c r="FE39" s="12">
        <f>IF('Données projet'!$A$218&gt;35,FE38+FD39-FM38,IF(A39&lt;'Données projet'!$A$218,$FB$205^A39,IF(A39='Données projet'!$A$218,'Données projet'!$B$218,FE38+FD39-FM38)))</f>
        <v>186.59999999999991</v>
      </c>
      <c r="FF39" s="17">
        <f>FE39*VLOOKUP('Données projet'!$B$16,Paramètres!$A$1:$I$89,3,0)*VLOOKUP('Données projet'!$B$16,Paramètres!$A$1:$I$89,5,0)</f>
        <v>106.73519999999995</v>
      </c>
      <c r="FG39" s="13">
        <f t="shared" si="47"/>
        <v>28.560428598712875</v>
      </c>
      <c r="FH39" s="20">
        <f t="shared" si="22"/>
        <v>235.6398864760915</v>
      </c>
      <c r="FI39" s="59">
        <f t="shared" si="23"/>
        <v>528.97321980942479</v>
      </c>
      <c r="FJ39" s="59">
        <f ca="1">AVERAGE(OFFSET($FI$3,0,0,'Données projet'!$E$16+1,1))-AVERAGE(OFFSET($H$3,0,0,'Données projet'!$E$16+1,1))</f>
        <v>393.41577134252316</v>
      </c>
      <c r="FK39" s="59">
        <f t="shared" si="48"/>
        <v>255.54039659391475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14.060000378826576</v>
      </c>
      <c r="FR39" s="21">
        <f>EXP(-LN(2)/25)*FR38+(1-EXP(-LN(2)/25))/(LN(2)/25)*Calculateur!FM39*Calculateur!FO39*VLOOKUP('Données projet'!$B$16,Paramètres!$A$1:$I$89,3,0)*0.475*44/12</f>
        <v>22.625338451069268</v>
      </c>
      <c r="FS39" s="21">
        <f>EXP(-LN(2)/2)*FS38+(1-EXP(-LN(2)/2))/(LN(2)/2)*FM39*FP39*VLOOKUP('Données projet'!$B$16,Paramètres!$A$1:$I$89,3,0)*0.475*44/12</f>
        <v>4.553696771614256E-2</v>
      </c>
      <c r="FT39" s="22">
        <f t="shared" si="24"/>
        <v>36.730875797611986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30</v>
      </c>
      <c r="FZ39" s="12">
        <f>IF('Données projet'!$A$244&gt;35,FZ38+FY39-GH38,IF(A39&lt;'Données projet'!$A$244,$FW$205^A39,IF(A39='Données projet'!$A$244,'Données projet'!$B$244,FZ38+FY39-GH38)))</f>
        <v>413</v>
      </c>
      <c r="GA39" s="17">
        <f>FZ39*VLOOKUP('Données projet'!$B$17,Paramètres!$A$1:$I$89,3,0)*VLOOKUP('Données projet'!$B$17,Paramètres!$A$1:$I$89,5,0)</f>
        <v>193.28400000000002</v>
      </c>
      <c r="GB39" s="13">
        <f t="shared" si="49"/>
        <v>48.265272920234025</v>
      </c>
      <c r="GC39" s="20">
        <f t="shared" si="25"/>
        <v>420.69831700274091</v>
      </c>
      <c r="GD39" s="59">
        <f t="shared" si="26"/>
        <v>714.03165033607422</v>
      </c>
      <c r="GE39" s="59">
        <f ca="1">AVERAGE(OFFSET($GD$3,0,0,'Données projet'!$E$17+1,1))-AVERAGE(OFFSET($H$3,0,0,'Données projet'!$E$17+1,1))</f>
        <v>488.67934252295686</v>
      </c>
      <c r="GF39" s="59">
        <f t="shared" si="50"/>
        <v>424.50324471331095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25.776667361182064</v>
      </c>
      <c r="GM39" s="21">
        <f>EXP(-LN(2)/25)*GM38+(1-EXP(-LN(2)/25))/(LN(2)/25)*Calculateur!GH39*Calculateur!GJ39*VLOOKUP('Données projet'!$B$17,Paramètres!$A$1:$I$89,3,0)*0.475*44/12</f>
        <v>41.479787160293654</v>
      </c>
      <c r="GN39" s="21">
        <f>EXP(-LN(2)/2)*GN38+(1-EXP(-LN(2)/2))/(LN(2)/2)*GH39*GK39*VLOOKUP('Données projet'!$B$17,Paramètres!$A$1:$I$89,3,0)*0.475*44/12</f>
        <v>0.10142324627686294</v>
      </c>
      <c r="GO39" s="21">
        <f t="shared" si="27"/>
        <v>67.357877767752584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27.4</v>
      </c>
      <c r="GU39" s="12">
        <f>IF('Données projet'!$A$270&gt;35,GU38+GT39-HC38,IF(A39&lt;'Données projet'!$A$270,$GR$205^A39,IF(A39='Données projet'!$A$270,'Données projet'!$B$270,GU38+GT39-HC38)))</f>
        <v>370.40000000000003</v>
      </c>
      <c r="GV39" s="17">
        <f>GU39*VLOOKUP('Données projet'!$B$18,Paramètres!$A$1:$I$89,3,0)*VLOOKUP('Données projet'!$B$18,Paramètres!$A$1:$I$89,5,0)</f>
        <v>178.16240000000002</v>
      </c>
      <c r="GW39" s="13">
        <f t="shared" si="51"/>
        <v>44.913110183867985</v>
      </c>
      <c r="GX39" s="20">
        <f t="shared" si="28"/>
        <v>388.52318023690344</v>
      </c>
      <c r="GY39" s="59">
        <f t="shared" si="29"/>
        <v>681.85651357023676</v>
      </c>
      <c r="GZ39" s="59">
        <f ca="1">AVERAGE(OFFSET($GY$3,0,0,'Données projet'!$E$18+1,1))-AVERAGE(OFFSET($H$3,0,0,'Données projet'!$E$18+1,1))</f>
        <v>458.80976193248841</v>
      </c>
      <c r="HA39" s="59">
        <f t="shared" si="52"/>
        <v>396.07405370178759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24.084259908175163</v>
      </c>
      <c r="HH39" s="21">
        <f>EXP(-LN(2)/25)*HH38+(1-EXP(-LN(2)/25))/(LN(2)/25)*Calculateur!HC39*Calculateur!HE39*VLOOKUP('Données projet'!$B$18,Paramètres!$A$1:$I$89,3,0)*0.475*44/12</f>
        <v>38.756366791183467</v>
      </c>
      <c r="HI39" s="21">
        <f>EXP(-LN(2)/2)*HI38+(1-EXP(-LN(2)/2))/(LN(2)/2)*HC39*HF39*VLOOKUP('Données projet'!$B$18,Paramètres!$A$1:$I$89,3,0)*0.475*44/12</f>
        <v>4.6801883486035444E-2</v>
      </c>
      <c r="HJ39" s="22">
        <f t="shared" si="30"/>
        <v>62.887428582844663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516.95289444408968</v>
      </c>
      <c r="S40" s="59">
        <f ca="1">AVERAGE(OFFSET($R$3,0,0,'Données projet'!$E$9+1,1))-AVERAGE(OFFSET($H$3,0,0,'Données projet'!$E$9+1,1))</f>
        <v>364.3481978218424</v>
      </c>
      <c r="T40" s="59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8.6813194731806007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8.6813194731806007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25.6</v>
      </c>
      <c r="AI40" s="13">
        <f>IF('Données projet'!$A$62&gt;35,AI39+AH40-AQ39,IF(A40&lt;'Données projet'!$A$62,$AF$205^A40,IF(A40='Données projet'!$A$62,'Données projet'!$B$62,AI39+AH40-AQ39)))</f>
        <v>487.20000000000016</v>
      </c>
      <c r="AJ40" s="13">
        <f>AI40*VLOOKUP('Données projet'!$B$10,Paramètres!$A$1:$I$89,3,0)*VLOOKUP('Données projet'!$B$10,Paramètres!$A$1:$I$89,5,0)</f>
        <v>272.34480000000008</v>
      </c>
      <c r="AK40" s="13">
        <f t="shared" si="35"/>
        <v>65.346644318451709</v>
      </c>
      <c r="AL40" s="20">
        <f t="shared" si="4"/>
        <v>588.14593218797006</v>
      </c>
      <c r="AM40" s="59">
        <f t="shared" si="5"/>
        <v>881.47926552130343</v>
      </c>
      <c r="AN40" s="59">
        <f ca="1">AVERAGE(OFFSET($AM$3,0,0,'Données projet'!$E$10+1,1))-AVERAGE(OFFSET($H$3,0,0,'Données projet'!$E$10+1,1))</f>
        <v>443.34220761968419</v>
      </c>
      <c r="AO40" s="59">
        <f t="shared" si="36"/>
        <v>546.58234447298014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27.048938752643995</v>
      </c>
      <c r="AV40" s="21">
        <f>EXP(-LN(2)/25)*AV39+(1-EXP(-LN(2)/25))/(LN(2)/25)*Calculateur!AQ40*Calculateur!AS40*VLOOKUP('Données projet'!$B$10,Paramètres!$A$1:$I$89,3,0)*0.475*44/12</f>
        <v>18.067366596389821</v>
      </c>
      <c r="AW40" s="21">
        <f>EXP(-LN(2)/2)*AW39+(1-EXP(-LN(2)/2))/(LN(2)/2)*AQ40*AT40*VLOOKUP('Données projet'!$B$10,Paramètres!$A$1:$I$89,3,0)*0.475*44/12</f>
        <v>0.53402443958021739</v>
      </c>
      <c r="AX40" s="21">
        <f t="shared" si="6"/>
        <v>45.65032978861403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</v>
      </c>
      <c r="BD40" s="12">
        <f>IF('Données projet'!$A$88&gt;35,BD39+BC40-BL39,IF(A40&lt;'Données projet'!$A$88,$BA$205^A40,IF(A40='Données projet'!$A$88,'Données projet'!$B$88,BD39+BC40-BL39)))</f>
        <v>131</v>
      </c>
      <c r="BE40" s="13">
        <f>BD40*VLOOKUP('Données projet'!$B$11,Paramètres!$A$1:$I$89,3,0)*VLOOKUP('Données projet'!$B$11,Paramètres!$A$1:$I$89,5,0)</f>
        <v>112.39800000000002</v>
      </c>
      <c r="BF40" s="13">
        <f t="shared" si="37"/>
        <v>29.895260991861875</v>
      </c>
      <c r="BG40" s="20">
        <f t="shared" si="7"/>
        <v>247.82742956082612</v>
      </c>
      <c r="BH40" s="59">
        <f t="shared" si="8"/>
        <v>541.16076289415946</v>
      </c>
      <c r="BI40" s="59">
        <f ca="1">AVERAGE(OFFSET($BH$3,0,0,'Données projet'!$E$11+1,1))-AVERAGE(OFFSET($H$3,0,0,'Données projet'!$E$11+1,1))</f>
        <v>447.15627913956871</v>
      </c>
      <c r="BJ40" s="59">
        <f t="shared" si="38"/>
        <v>256.77417912163997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13.529027674055845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13.529027674055845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209.80000000000004</v>
      </c>
      <c r="BZ40" s="13">
        <f>BY40*VLOOKUP('Données projet'!$B$12,Paramètres!$A$1:$I$89,3,0)*VLOOKUP('Données projet'!$B$12,Paramètres!$A$1:$I$89,5,0)</f>
        <v>199.64568000000006</v>
      </c>
      <c r="CA40" s="13">
        <f t="shared" si="39"/>
        <v>49.666290879455737</v>
      </c>
      <c r="CB40" s="20">
        <f t="shared" si="10"/>
        <v>434.21834928171887</v>
      </c>
      <c r="CC40" s="59">
        <f t="shared" si="11"/>
        <v>727.55168261505219</v>
      </c>
      <c r="CD40" s="59">
        <f ca="1">AVERAGE(OFFSET($CC$3,0,0,'Données projet'!$E$12+1,1))-AVERAGE(OFFSET($H$3,0,0,'Données projet'!$E$12+1,1))</f>
        <v>448.94764480536713</v>
      </c>
      <c r="CE40" s="59">
        <f t="shared" si="40"/>
        <v>469.26760321719695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12.608583044381351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12.608583044381351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187.80389738728508</v>
      </c>
      <c r="CZ40" s="59">
        <f t="shared" si="42"/>
        <v>439.28159165815265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107.52158057174442</v>
      </c>
      <c r="DG40" s="21">
        <f>EXP(-LN(2)/25)*DG39+(1-EXP(-LN(2)/25))/(LN(2)/25)*Calculateur!DB40*Calculateur!DD40*VLOOKUP('Données projet'!$B$13,Paramètres!$A$1:$I$89,3,0)*0.475*44/12</f>
        <v>11.841023037379017</v>
      </c>
      <c r="DH40" s="21">
        <f>EXP(-LN(2)/2)*DH39+(1-EXP(-LN(2)/2))/(LN(2)/2)*DB40*DE40*VLOOKUP('Données projet'!$B$13,Paramètres!$A$1:$I$89,3,0)*0.475*44/12</f>
        <v>3.9741174175196023E-3</v>
      </c>
      <c r="DI40" s="22">
        <f t="shared" si="15"/>
        <v>119.36657772654095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6.8</v>
      </c>
      <c r="DO40" s="12">
        <f>IF('Données projet'!$A$166&gt;35,DO39+DN40-DW39,IF(A40&lt;'Données projet'!$A$166,$DL$205^A40,IF(A40='Données projet'!$A$166,'Données projet'!$B$166,DO39+DN40-DW39)))</f>
        <v>149.60000000000002</v>
      </c>
      <c r="DP40" s="17">
        <f>DO40*VLOOKUP('Données projet'!$B$14,Paramètres!$A$1:$I$89,3,0)*VLOOKUP('Données projet'!$B$14,Paramètres!$A$1:$I$89,5,0)</f>
        <v>109.68672000000002</v>
      </c>
      <c r="DQ40" s="13">
        <f t="shared" si="43"/>
        <v>29.257161113605147</v>
      </c>
      <c r="DR40" s="20">
        <f t="shared" si="16"/>
        <v>241.9939262728623</v>
      </c>
      <c r="DS40" s="59">
        <f t="shared" si="17"/>
        <v>535.32725960619564</v>
      </c>
      <c r="DT40" s="59">
        <f ca="1">AVERAGE(OFFSET($DS$3,0,0,'Données projet'!$E$14+1,1))-AVERAGE(OFFSET($H$3,0,0,'Données projet'!$E$14+1,1))</f>
        <v>239.25212250019609</v>
      </c>
      <c r="DU40" s="59">
        <f t="shared" si="44"/>
        <v>213.58492101729695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23.6</v>
      </c>
      <c r="EJ40" s="12">
        <f>IF('Données projet'!$A$192&gt;35,EJ39+EI40-ER39,IF(A40&lt;'Données projet'!$A$192,$EG$205^A40,IF(A40='Données projet'!$A$192,'Données projet'!$B$192,EJ39+EI40-ER39)))</f>
        <v>353.2000000000001</v>
      </c>
      <c r="EK40" s="17">
        <f>EJ40*VLOOKUP('Données projet'!$B$15,Paramètres!$A$1:$I$89,3,0)*VLOOKUP('Données projet'!$B$15,Paramètres!$A$1:$I$89,5,0)</f>
        <v>211.2136000000001</v>
      </c>
      <c r="EL40" s="13">
        <f t="shared" si="45"/>
        <v>52.20069882503806</v>
      </c>
      <c r="EM40" s="20">
        <f t="shared" si="19"/>
        <v>458.77990378694136</v>
      </c>
      <c r="EN40" s="59">
        <f t="shared" si="20"/>
        <v>752.11323712027468</v>
      </c>
      <c r="EO40" s="59">
        <f ca="1">AVERAGE(OFFSET($EN$3,0,0,'Données projet'!$E$15+1,1))-AVERAGE(OFFSET($H$3,0,0,'Données projet'!$E$15+1,1))</f>
        <v>504.81063008331739</v>
      </c>
      <c r="EP40" s="59">
        <f t="shared" si="46"/>
        <v>441.82647565372287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21.616276635305354</v>
      </c>
      <c r="EW40" s="21">
        <f>EXP(-LN(2)/25)*EW39+(1-EXP(-LN(2)/25))/(LN(2)/25)*Calculateur!ER40*Calculateur!ET40*VLOOKUP('Données projet'!$B$15,Paramètres!$A$1:$I$89,3,0)*0.475*44/12</f>
        <v>48.492409836340812</v>
      </c>
      <c r="EX40" s="21">
        <f>EXP(-LN(2)/2)*EX39+(1-EXP(-LN(2)/2))/(LN(2)/2)*ER40*EU40*VLOOKUP('Données projet'!$B$15,Paramètres!$A$1:$I$89,3,0)*0.475*44/12</f>
        <v>4.6284417943806546E-3</v>
      </c>
      <c r="EY40" s="22">
        <f t="shared" si="21"/>
        <v>70.113314913440547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16.600000000000001</v>
      </c>
      <c r="FE40" s="12">
        <f>IF('Données projet'!$A$218&gt;35,FE39+FD40-FM39,IF(A40&lt;'Données projet'!$A$218,$FB$205^A40,IF(A40='Données projet'!$A$218,'Données projet'!$B$218,FE39+FD40-FM39)))</f>
        <v>203.1999999999999</v>
      </c>
      <c r="FF40" s="17">
        <f>FE40*VLOOKUP('Données projet'!$B$16,Paramètres!$A$1:$I$89,3,0)*VLOOKUP('Données projet'!$B$16,Paramètres!$A$1:$I$89,5,0)</f>
        <v>116.23039999999995</v>
      </c>
      <c r="FG40" s="13">
        <f t="shared" si="47"/>
        <v>30.794175491293089</v>
      </c>
      <c r="FH40" s="20">
        <f t="shared" si="22"/>
        <v>256.06780231400205</v>
      </c>
      <c r="FI40" s="59">
        <f t="shared" si="23"/>
        <v>549.40113564733542</v>
      </c>
      <c r="FJ40" s="59">
        <f ca="1">AVERAGE(OFFSET($FI$3,0,0,'Données projet'!$E$16+1,1))-AVERAGE(OFFSET($H$3,0,0,'Données projet'!$E$16+1,1))</f>
        <v>393.41577134252316</v>
      </c>
      <c r="FK40" s="59">
        <f t="shared" si="48"/>
        <v>255.54039659391475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13.784292347151233</v>
      </c>
      <c r="FR40" s="21">
        <f>EXP(-LN(2)/25)*FR39+(1-EXP(-LN(2)/25))/(LN(2)/25)*Calculateur!FM40*Calculateur!FO40*VLOOKUP('Données projet'!$B$16,Paramètres!$A$1:$I$89,3,0)*0.475*44/12</f>
        <v>22.006647381309939</v>
      </c>
      <c r="FS40" s="21">
        <f>EXP(-LN(2)/2)*FS39+(1-EXP(-LN(2)/2))/(LN(2)/2)*FM40*FP40*VLOOKUP('Données projet'!$B$16,Paramètres!$A$1:$I$89,3,0)*0.475*44/12</f>
        <v>3.2199498666757295E-2</v>
      </c>
      <c r="FT40" s="22">
        <f t="shared" si="24"/>
        <v>35.823139227127925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30</v>
      </c>
      <c r="FZ40" s="12">
        <f>IF('Données projet'!$A$244&gt;35,FZ39+FY40-GH39,IF(A40&lt;'Données projet'!$A$244,$FW$205^A40,IF(A40='Données projet'!$A$244,'Données projet'!$B$244,FZ39+FY40-GH39)))</f>
        <v>443</v>
      </c>
      <c r="GA40" s="17">
        <f>FZ40*VLOOKUP('Données projet'!$B$17,Paramètres!$A$1:$I$89,3,0)*VLOOKUP('Données projet'!$B$17,Paramètres!$A$1:$I$89,5,0)</f>
        <v>207.32399999999998</v>
      </c>
      <c r="GB40" s="13">
        <f t="shared" si="49"/>
        <v>51.350376612629674</v>
      </c>
      <c r="GC40" s="20">
        <f t="shared" si="25"/>
        <v>450.52453926699656</v>
      </c>
      <c r="GD40" s="59">
        <f t="shared" si="26"/>
        <v>743.85787260032987</v>
      </c>
      <c r="GE40" s="59">
        <f ca="1">AVERAGE(OFFSET($GD$3,0,0,'Données projet'!$E$17+1,1))-AVERAGE(OFFSET($H$3,0,0,'Données projet'!$E$17+1,1))</f>
        <v>488.67934252295686</v>
      </c>
      <c r="GF40" s="59">
        <f t="shared" si="50"/>
        <v>424.50324471331095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25.271202636443935</v>
      </c>
      <c r="GM40" s="21">
        <f>EXP(-LN(2)/25)*GM39+(1-EXP(-LN(2)/25))/(LN(2)/25)*Calculateur!GH40*Calculateur!GJ40*VLOOKUP('Données projet'!$B$17,Paramètres!$A$1:$I$89,3,0)*0.475*44/12</f>
        <v>40.345520199068218</v>
      </c>
      <c r="GN40" s="21">
        <f>EXP(-LN(2)/2)*GN39+(1-EXP(-LN(2)/2))/(LN(2)/2)*GH40*GK40*VLOOKUP('Données projet'!$B$17,Paramètres!$A$1:$I$89,3,0)*0.475*44/12</f>
        <v>7.1717065212323045E-2</v>
      </c>
      <c r="GO40" s="21">
        <f t="shared" si="27"/>
        <v>65.688439900724475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27.4</v>
      </c>
      <c r="GU40" s="12">
        <f>IF('Données projet'!$A$270&gt;35,GU39+GT40-HC39,IF(A40&lt;'Données projet'!$A$270,$GR$205^A40,IF(A40='Données projet'!$A$270,'Données projet'!$B$270,GU39+GT40-HC39)))</f>
        <v>397.8</v>
      </c>
      <c r="GV40" s="17">
        <f>GU40*VLOOKUP('Données projet'!$B$18,Paramètres!$A$1:$I$89,3,0)*VLOOKUP('Données projet'!$B$18,Paramètres!$A$1:$I$89,5,0)</f>
        <v>191.34180000000001</v>
      </c>
      <c r="GW40" s="13">
        <f t="shared" si="51"/>
        <v>47.836484170643416</v>
      </c>
      <c r="GX40" s="20">
        <f t="shared" si="28"/>
        <v>416.5688449305373</v>
      </c>
      <c r="GY40" s="59">
        <f t="shared" si="29"/>
        <v>709.90217826387061</v>
      </c>
      <c r="GZ40" s="59">
        <f ca="1">AVERAGE(OFFSET($GY$3,0,0,'Données projet'!$E$18+1,1))-AVERAGE(OFFSET($H$3,0,0,'Données projet'!$E$18+1,1))</f>
        <v>458.80976193248841</v>
      </c>
      <c r="HA40" s="59">
        <f t="shared" si="52"/>
        <v>396.07405370178759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23.611982261323881</v>
      </c>
      <c r="HH40" s="21">
        <f>EXP(-LN(2)/25)*HH39+(1-EXP(-LN(2)/25))/(LN(2)/25)*Calculateur!HC40*Calculateur!HE40*VLOOKUP('Données projet'!$B$18,Paramètres!$A$1:$I$89,3,0)*0.475*44/12</f>
        <v>37.696571903169804</v>
      </c>
      <c r="HI40" s="21">
        <f>EXP(-LN(2)/2)*HI39+(1-EXP(-LN(2)/2))/(LN(2)/2)*HC40*HF40*VLOOKUP('Données projet'!$B$18,Paramètres!$A$1:$I$89,3,0)*0.475*44/12</f>
        <v>3.3093929185278356E-2</v>
      </c>
      <c r="HJ40" s="22">
        <f t="shared" si="30"/>
        <v>61.341648093678963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533.32608479725729</v>
      </c>
      <c r="S41" s="59">
        <f ca="1">AVERAGE(OFFSET($R$3,0,0,'Données projet'!$E$9+1,1))-AVERAGE(OFFSET($H$3,0,0,'Données projet'!$E$9+1,1))</f>
        <v>364.3481978218424</v>
      </c>
      <c r="T41" s="59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8.5110840933935616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8.5110840933935616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25.6</v>
      </c>
      <c r="AI41" s="13">
        <f>IF('Données projet'!$A$62&gt;35,AI40+AH41-AQ40,IF(A41&lt;'Données projet'!$A$62,$AF$205^A41,IF(A41='Données projet'!$A$62,'Données projet'!$B$62,AI40+AH41-AQ40)))</f>
        <v>512.80000000000018</v>
      </c>
      <c r="AJ41" s="13">
        <f>AI41*VLOOKUP('Données projet'!$B$10,Paramètres!$A$1:$I$89,3,0)*VLOOKUP('Données projet'!$B$10,Paramètres!$A$1:$I$89,5,0)</f>
        <v>286.65520000000009</v>
      </c>
      <c r="AK41" s="13">
        <f t="shared" si="35"/>
        <v>68.37151538584105</v>
      </c>
      <c r="AL41" s="20">
        <f t="shared" si="4"/>
        <v>618.33819596367323</v>
      </c>
      <c r="AM41" s="59">
        <f t="shared" si="5"/>
        <v>911.6715292970066</v>
      </c>
      <c r="AN41" s="59">
        <f ca="1">AVERAGE(OFFSET($AM$3,0,0,'Données projet'!$E$10+1,1))-AVERAGE(OFFSET($H$3,0,0,'Données projet'!$E$10+1,1))</f>
        <v>443.34220761968419</v>
      </c>
      <c r="AO41" s="59">
        <f t="shared" si="36"/>
        <v>546.58234447298014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26.518525561928222</v>
      </c>
      <c r="AV41" s="21">
        <f>EXP(-LN(2)/25)*AV40+(1-EXP(-LN(2)/25))/(LN(2)/25)*Calculateur!AQ41*Calculateur!AS41*VLOOKUP('Données projet'!$B$10,Paramètres!$A$1:$I$89,3,0)*0.475*44/12</f>
        <v>17.573313506690024</v>
      </c>
      <c r="AW41" s="21">
        <f>EXP(-LN(2)/2)*AW40+(1-EXP(-LN(2)/2))/(LN(2)/2)*AQ41*AT41*VLOOKUP('Données projet'!$B$10,Paramètres!$A$1:$I$89,3,0)*0.475*44/12</f>
        <v>0.37761230254651745</v>
      </c>
      <c r="AX41" s="21">
        <f t="shared" si="6"/>
        <v>44.469451371164759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</v>
      </c>
      <c r="BD41" s="12">
        <f>IF('Données projet'!$A$88&gt;35,BD40+BC41-BL40,IF(A41&lt;'Données projet'!$A$88,$BA$205^A41,IF(A41='Données projet'!$A$88,'Données projet'!$B$88,BD40+BC41-BL40)))</f>
        <v>141</v>
      </c>
      <c r="BE41" s="13">
        <f>BD41*VLOOKUP('Données projet'!$B$11,Paramètres!$A$1:$I$89,3,0)*VLOOKUP('Données projet'!$B$11,Paramètres!$A$1:$I$89,5,0)</f>
        <v>120.97800000000002</v>
      </c>
      <c r="BF41" s="13">
        <f t="shared" si="37"/>
        <v>31.902993864447531</v>
      </c>
      <c r="BG41" s="20">
        <f t="shared" si="7"/>
        <v>266.26773098057953</v>
      </c>
      <c r="BH41" s="59">
        <f t="shared" si="8"/>
        <v>559.60106431391284</v>
      </c>
      <c r="BI41" s="59">
        <f ca="1">AVERAGE(OFFSET($BH$3,0,0,'Données projet'!$E$11+1,1))-AVERAGE(OFFSET($H$3,0,0,'Données projet'!$E$11+1,1))</f>
        <v>447.15627913956871</v>
      </c>
      <c r="BJ41" s="59">
        <f t="shared" si="38"/>
        <v>256.77417912163997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13.263731693259684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13.263731693259684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218.20000000000005</v>
      </c>
      <c r="BZ41" s="13">
        <f>BY41*VLOOKUP('Données projet'!$B$12,Paramètres!$A$1:$I$89,3,0)*VLOOKUP('Données projet'!$B$12,Paramètres!$A$1:$I$89,5,0)</f>
        <v>207.63912000000005</v>
      </c>
      <c r="CA41" s="13">
        <f t="shared" si="39"/>
        <v>51.419335037191388</v>
      </c>
      <c r="CB41" s="20">
        <f t="shared" si="10"/>
        <v>451.19347585644169</v>
      </c>
      <c r="CC41" s="59">
        <f t="shared" si="11"/>
        <v>744.52680918977501</v>
      </c>
      <c r="CD41" s="59">
        <f ca="1">AVERAGE(OFFSET($CC$3,0,0,'Données projet'!$E$12+1,1))-AVERAGE(OFFSET($H$3,0,0,'Données projet'!$E$12+1,1))</f>
        <v>448.94764480536713</v>
      </c>
      <c r="CE41" s="59">
        <f t="shared" si="40"/>
        <v>469.26760321719695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12.361336421357318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12.361336421357318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187.80389738728508</v>
      </c>
      <c r="CZ41" s="59">
        <f t="shared" si="42"/>
        <v>439.28159165815265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105.41314795842101</v>
      </c>
      <c r="DG41" s="21">
        <f>EXP(-LN(2)/25)*DG40+(1-EXP(-LN(2)/25))/(LN(2)/25)*Calculateur!DB41*Calculateur!DD41*VLOOKUP('Données projet'!$B$13,Paramètres!$A$1:$I$89,3,0)*0.475*44/12</f>
        <v>11.51722963972955</v>
      </c>
      <c r="DH41" s="21">
        <f>EXP(-LN(2)/2)*DH40+(1-EXP(-LN(2)/2))/(LN(2)/2)*DB41*DE41*VLOOKUP('Données projet'!$B$13,Paramètres!$A$1:$I$89,3,0)*0.475*44/12</f>
        <v>2.8101253751596808E-3</v>
      </c>
      <c r="DI41" s="22">
        <f t="shared" si="15"/>
        <v>116.93318772352572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6.8</v>
      </c>
      <c r="DO41" s="12">
        <f>IF('Données projet'!$A$166&gt;35,DO40+DN41-DW40,IF(A41&lt;'Données projet'!$A$166,$DL$205^A41,IF(A41='Données projet'!$A$166,'Données projet'!$B$166,DO40+DN41-DW40)))</f>
        <v>156.40000000000003</v>
      </c>
      <c r="DP41" s="17">
        <f>DO41*VLOOKUP('Données projet'!$B$14,Paramètres!$A$1:$I$89,3,0)*VLOOKUP('Données projet'!$B$14,Paramètres!$A$1:$I$89,5,0)</f>
        <v>114.67248000000002</v>
      </c>
      <c r="DQ41" s="13">
        <f t="shared" si="43"/>
        <v>30.42917784146039</v>
      </c>
      <c r="DR41" s="20">
        <f t="shared" si="16"/>
        <v>252.71872074054355</v>
      </c>
      <c r="DS41" s="59">
        <f t="shared" si="17"/>
        <v>546.05205407387689</v>
      </c>
      <c r="DT41" s="59">
        <f ca="1">AVERAGE(OFFSET($DS$3,0,0,'Données projet'!$E$14+1,1))-AVERAGE(OFFSET($H$3,0,0,'Données projet'!$E$14+1,1))</f>
        <v>239.25212250019609</v>
      </c>
      <c r="DU41" s="59">
        <f t="shared" si="44"/>
        <v>213.58492101729695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23.6</v>
      </c>
      <c r="EJ41" s="12">
        <f>IF('Données projet'!$A$192&gt;35,EJ40+EI41-ER40,IF(A41&lt;'Données projet'!$A$192,$EG$205^A41,IF(A41='Données projet'!$A$192,'Données projet'!$B$192,EJ40+EI41-ER40)))</f>
        <v>376.80000000000013</v>
      </c>
      <c r="EK41" s="17">
        <f>EJ41*VLOOKUP('Données projet'!$B$15,Paramètres!$A$1:$I$89,3,0)*VLOOKUP('Données projet'!$B$15,Paramètres!$A$1:$I$89,5,0)</f>
        <v>225.32640000000009</v>
      </c>
      <c r="EL41" s="13">
        <f t="shared" si="45"/>
        <v>55.270935716234675</v>
      </c>
      <c r="EM41" s="20">
        <f t="shared" si="19"/>
        <v>488.70702637244216</v>
      </c>
      <c r="EN41" s="59">
        <f t="shared" si="20"/>
        <v>782.04035970577547</v>
      </c>
      <c r="EO41" s="59">
        <f ca="1">AVERAGE(OFFSET($EN$3,0,0,'Données projet'!$E$15+1,1))-AVERAGE(OFFSET($H$3,0,0,'Données projet'!$E$15+1,1))</f>
        <v>504.81063008331739</v>
      </c>
      <c r="EP41" s="59">
        <f t="shared" si="46"/>
        <v>441.82647565372287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21.192394635113889</v>
      </c>
      <c r="EW41" s="21">
        <f>EXP(-LN(2)/25)*EW40+(1-EXP(-LN(2)/25))/(LN(2)/25)*Calculateur!ER41*Calculateur!ET41*VLOOKUP('Données projet'!$B$15,Paramètres!$A$1:$I$89,3,0)*0.475*44/12</f>
        <v>47.166382339261069</v>
      </c>
      <c r="EX41" s="21">
        <f>EXP(-LN(2)/2)*EX40+(1-EXP(-LN(2)/2))/(LN(2)/2)*ER41*EU41*VLOOKUP('Données projet'!$B$15,Paramètres!$A$1:$I$89,3,0)*0.475*44/12</f>
        <v>3.272802579133793E-3</v>
      </c>
      <c r="EY41" s="22">
        <f t="shared" si="21"/>
        <v>68.362049776954095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16.600000000000001</v>
      </c>
      <c r="FE41" s="12">
        <f>IF('Données projet'!$A$218&gt;35,FE40+FD41-FM40,IF(A41&lt;'Données projet'!$A$218,$FB$205^A41,IF(A41='Données projet'!$A$218,'Données projet'!$B$218,FE40+FD41-FM40)))</f>
        <v>219.7999999999999</v>
      </c>
      <c r="FF41" s="17">
        <f>FE41*VLOOKUP('Données projet'!$B$16,Paramètres!$A$1:$I$89,3,0)*VLOOKUP('Données projet'!$B$16,Paramètres!$A$1:$I$89,5,0)</f>
        <v>125.72559999999996</v>
      </c>
      <c r="FG41" s="13">
        <f t="shared" si="47"/>
        <v>33.00675739860857</v>
      </c>
      <c r="FH41" s="20">
        <f t="shared" si="22"/>
        <v>276.45885580257652</v>
      </c>
      <c r="FI41" s="59">
        <f t="shared" si="23"/>
        <v>569.79218913590989</v>
      </c>
      <c r="FJ41" s="59">
        <f ca="1">AVERAGE(OFFSET($FI$3,0,0,'Données projet'!$E$16+1,1))-AVERAGE(OFFSET($H$3,0,0,'Données projet'!$E$16+1,1))</f>
        <v>393.41577134252316</v>
      </c>
      <c r="FK41" s="59">
        <f t="shared" si="48"/>
        <v>255.54039659391475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13.513990781811749</v>
      </c>
      <c r="FR41" s="21">
        <f>EXP(-LN(2)/25)*FR40+(1-EXP(-LN(2)/25))/(LN(2)/25)*Calculateur!FM41*Calculateur!FO41*VLOOKUP('Données projet'!$B$16,Paramètres!$A$1:$I$89,3,0)*0.475*44/12</f>
        <v>21.404874451388729</v>
      </c>
      <c r="FS41" s="21">
        <f>EXP(-LN(2)/2)*FS40+(1-EXP(-LN(2)/2))/(LN(2)/2)*FM41*FP41*VLOOKUP('Données projet'!$B$16,Paramètres!$A$1:$I$89,3,0)*0.475*44/12</f>
        <v>2.276848385807128E-2</v>
      </c>
      <c r="FT41" s="22">
        <f t="shared" si="24"/>
        <v>34.941633717058551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30</v>
      </c>
      <c r="FZ41" s="12">
        <f>IF('Données projet'!$A$244&gt;35,FZ40+FY41-GH40,IF(A41&lt;'Données projet'!$A$244,$FW$205^A41,IF(A41='Données projet'!$A$244,'Données projet'!$B$244,FZ40+FY41-GH40)))</f>
        <v>473</v>
      </c>
      <c r="GA41" s="17">
        <f>FZ41*VLOOKUP('Données projet'!$B$17,Paramètres!$A$1:$I$89,3,0)*VLOOKUP('Données projet'!$B$17,Paramètres!$A$1:$I$89,5,0)</f>
        <v>221.364</v>
      </c>
      <c r="GB41" s="13">
        <f t="shared" si="49"/>
        <v>54.411237653200793</v>
      </c>
      <c r="GC41" s="20">
        <f t="shared" si="25"/>
        <v>480.30853891265809</v>
      </c>
      <c r="GD41" s="59">
        <f t="shared" si="26"/>
        <v>773.64187224599141</v>
      </c>
      <c r="GE41" s="59">
        <f ca="1">AVERAGE(OFFSET($GD$3,0,0,'Données projet'!$E$17+1,1))-AVERAGE(OFFSET($H$3,0,0,'Données projet'!$E$17+1,1))</f>
        <v>488.67934252295686</v>
      </c>
      <c r="GF41" s="59">
        <f t="shared" si="50"/>
        <v>424.50324471331095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24.77564976665488</v>
      </c>
      <c r="GM41" s="21">
        <f>EXP(-LN(2)/25)*GM40+(1-EXP(-LN(2)/25))/(LN(2)/25)*Calculateur!GH41*Calculateur!GJ41*VLOOKUP('Données projet'!$B$17,Paramètres!$A$1:$I$89,3,0)*0.475*44/12</f>
        <v>39.242269827546004</v>
      </c>
      <c r="GN41" s="21">
        <f>EXP(-LN(2)/2)*GN40+(1-EXP(-LN(2)/2))/(LN(2)/2)*GH41*GK41*VLOOKUP('Données projet'!$B$17,Paramètres!$A$1:$I$89,3,0)*0.475*44/12</f>
        <v>5.0711623138431472E-2</v>
      </c>
      <c r="GO41" s="21">
        <f t="shared" si="27"/>
        <v>64.068631217339316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27.4</v>
      </c>
      <c r="GU41" s="12">
        <f>IF('Données projet'!$A$270&gt;35,GU40+GT41-HC40,IF(A41&lt;'Données projet'!$A$270,$GR$205^A41,IF(A41='Données projet'!$A$270,'Données projet'!$B$270,GU40+GT41-HC40)))</f>
        <v>425.2</v>
      </c>
      <c r="GV41" s="17">
        <f>GU41*VLOOKUP('Données projet'!$B$18,Paramètres!$A$1:$I$89,3,0)*VLOOKUP('Données projet'!$B$18,Paramètres!$A$1:$I$89,5,0)</f>
        <v>204.52119999999999</v>
      </c>
      <c r="GW41" s="13">
        <f t="shared" si="51"/>
        <v>50.736494230904746</v>
      </c>
      <c r="GX41" s="20">
        <f t="shared" si="28"/>
        <v>444.57381745215912</v>
      </c>
      <c r="GY41" s="59">
        <f t="shared" si="29"/>
        <v>737.90715078549238</v>
      </c>
      <c r="GZ41" s="59">
        <f ca="1">AVERAGE(OFFSET($GY$3,0,0,'Données projet'!$E$18+1,1))-AVERAGE(OFFSET($H$3,0,0,'Données projet'!$E$18+1,1))</f>
        <v>458.80976193248841</v>
      </c>
      <c r="HA41" s="59">
        <f t="shared" si="52"/>
        <v>396.07405370178759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23.148965691066429</v>
      </c>
      <c r="HH41" s="21">
        <f>EXP(-LN(2)/25)*HH40+(1-EXP(-LN(2)/25))/(LN(2)/25)*Calculateur!HC41*Calculateur!HE41*VLOOKUP('Données projet'!$B$18,Paramètres!$A$1:$I$89,3,0)*0.475*44/12</f>
        <v>36.665757162101066</v>
      </c>
      <c r="HI41" s="21">
        <f>EXP(-LN(2)/2)*HI40+(1-EXP(-LN(2)/2))/(LN(2)/2)*HC41*HF41*VLOOKUP('Données projet'!$B$18,Paramètres!$A$1:$I$89,3,0)*0.475*44/12</f>
        <v>2.3400941743017722E-2</v>
      </c>
      <c r="HJ41" s="22">
        <f t="shared" si="30"/>
        <v>59.838123794910516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364.3481978218424</v>
      </c>
      <c r="T42" s="59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8.344186925570817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8.344186925570817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25.6</v>
      </c>
      <c r="AI42" s="13">
        <f>IF('Données projet'!$A$62&gt;35,AI41+AH42-AQ41,IF(A42&lt;'Données projet'!$A$62,$AF$205^A42,IF(A42='Données projet'!$A$62,'Données projet'!$B$62,AI41+AH42-AQ41)))</f>
        <v>538.4000000000002</v>
      </c>
      <c r="AJ42" s="13">
        <f>AI42*VLOOKUP('Données projet'!$B$10,Paramètres!$A$1:$I$89,3,0)*VLOOKUP('Données projet'!$B$10,Paramètres!$A$1:$I$89,5,0)</f>
        <v>300.96560000000011</v>
      </c>
      <c r="AK42" s="13">
        <f t="shared" si="35"/>
        <v>71.378852450242803</v>
      </c>
      <c r="AL42" s="20">
        <f t="shared" si="4"/>
        <v>648.49992135083971</v>
      </c>
      <c r="AM42" s="59">
        <f t="shared" si="5"/>
        <v>941.83325468417297</v>
      </c>
      <c r="AN42" s="59">
        <f ca="1">AVERAGE(OFFSET($AM$3,0,0,'Données projet'!$E$10+1,1))-AVERAGE(OFFSET($H$3,0,0,'Données projet'!$E$10+1,1))</f>
        <v>443.34220761968419</v>
      </c>
      <c r="AO42" s="59">
        <f t="shared" si="36"/>
        <v>546.58234447298014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25.998513450362282</v>
      </c>
      <c r="AV42" s="21">
        <f>EXP(-LN(2)/25)*AV41+(1-EXP(-LN(2)/25))/(LN(2)/25)*Calculateur!AQ42*Calculateur!AS42*VLOOKUP('Données projet'!$B$10,Paramètres!$A$1:$I$89,3,0)*0.475*44/12</f>
        <v>17.092770324709193</v>
      </c>
      <c r="AW42" s="21">
        <f>EXP(-LN(2)/2)*AW41+(1-EXP(-LN(2)/2))/(LN(2)/2)*AQ42*AT42*VLOOKUP('Données projet'!$B$10,Paramètres!$A$1:$I$89,3,0)*0.475*44/12</f>
        <v>0.2670122197901087</v>
      </c>
      <c r="AX42" s="21">
        <f t="shared" si="6"/>
        <v>43.358295994861585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</v>
      </c>
      <c r="BD42" s="12">
        <f>IF('Données projet'!$A$88&gt;35,BD41+BC42-BL41,IF(A42&lt;'Données projet'!$A$88,$BA$205^A42,IF(A42='Données projet'!$A$88,'Données projet'!$B$88,BD41+BC42-BL41)))</f>
        <v>151</v>
      </c>
      <c r="BE42" s="13">
        <f>BD42*VLOOKUP('Données projet'!$B$11,Paramètres!$A$1:$I$89,3,0)*VLOOKUP('Données projet'!$B$11,Paramètres!$A$1:$I$89,5,0)</f>
        <v>129.55800000000002</v>
      </c>
      <c r="BF42" s="13">
        <f t="shared" si="37"/>
        <v>33.894205874050066</v>
      </c>
      <c r="BG42" s="20">
        <f t="shared" si="7"/>
        <v>284.67925856397056</v>
      </c>
      <c r="BH42" s="59">
        <f t="shared" si="8"/>
        <v>578.01259189730388</v>
      </c>
      <c r="BI42" s="59">
        <f ca="1">AVERAGE(OFFSET($BH$3,0,0,'Données projet'!$E$11+1,1))-AVERAGE(OFFSET($H$3,0,0,'Données projet'!$E$11+1,1))</f>
        <v>447.15627913956871</v>
      </c>
      <c r="BJ42" s="59">
        <f t="shared" si="38"/>
        <v>256.77417912163997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13.003638004832366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13.003638004832366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226.60000000000005</v>
      </c>
      <c r="BZ42" s="13">
        <f>BY42*VLOOKUP('Données projet'!$B$12,Paramètres!$A$1:$I$89,3,0)*VLOOKUP('Données projet'!$B$12,Paramètres!$A$1:$I$89,5,0)</f>
        <v>215.63256000000004</v>
      </c>
      <c r="CA42" s="13">
        <f t="shared" si="39"/>
        <v>53.164539286100229</v>
      </c>
      <c r="CB42" s="20">
        <f t="shared" si="10"/>
        <v>468.15494792329127</v>
      </c>
      <c r="CC42" s="59">
        <f t="shared" si="11"/>
        <v>761.48828125662453</v>
      </c>
      <c r="CD42" s="59">
        <f ca="1">AVERAGE(OFFSET($CC$3,0,0,'Données projet'!$E$12+1,1))-AVERAGE(OFFSET($H$3,0,0,'Données projet'!$E$12+1,1))</f>
        <v>448.94764480536713</v>
      </c>
      <c r="CE42" s="59">
        <f t="shared" si="40"/>
        <v>469.26760321719695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12.118938153805237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12.118938153805237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187.80389738728508</v>
      </c>
      <c r="CZ42" s="59">
        <f t="shared" si="42"/>
        <v>439.28159165815265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103.34606042262796</v>
      </c>
      <c r="DG42" s="21">
        <f>EXP(-LN(2)/25)*DG41+(1-EXP(-LN(2)/25))/(LN(2)/25)*Calculateur!DB42*Calculateur!DD42*VLOOKUP('Données projet'!$B$13,Paramètres!$A$1:$I$89,3,0)*0.475*44/12</f>
        <v>11.202290389566361</v>
      </c>
      <c r="DH42" s="21">
        <f>EXP(-LN(2)/2)*DH41+(1-EXP(-LN(2)/2))/(LN(2)/2)*DB42*DE42*VLOOKUP('Données projet'!$B$13,Paramètres!$A$1:$I$89,3,0)*0.475*44/12</f>
        <v>1.9870587087598012E-3</v>
      </c>
      <c r="DI42" s="22">
        <f t="shared" si="15"/>
        <v>114.55033787090308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6.8</v>
      </c>
      <c r="DO42" s="12">
        <f>IF('Données projet'!$A$166&gt;35,DO41+DN42-DW41,IF(A42&lt;'Données projet'!$A$166,$DL$205^A42,IF(A42='Données projet'!$A$166,'Données projet'!$B$166,DO41+DN42-DW41)))</f>
        <v>163.20000000000005</v>
      </c>
      <c r="DP42" s="17">
        <f>DO42*VLOOKUP('Données projet'!$B$14,Paramètres!$A$1:$I$89,3,0)*VLOOKUP('Données projet'!$B$14,Paramètres!$A$1:$I$89,5,0)</f>
        <v>119.65824000000003</v>
      </c>
      <c r="DQ42" s="13">
        <f t="shared" si="43"/>
        <v>31.595276160231336</v>
      </c>
      <c r="DR42" s="20">
        <f t="shared" si="16"/>
        <v>263.43320731240294</v>
      </c>
      <c r="DS42" s="59">
        <f t="shared" si="17"/>
        <v>556.76654064573631</v>
      </c>
      <c r="DT42" s="59">
        <f ca="1">AVERAGE(OFFSET($DS$3,0,0,'Données projet'!$E$14+1,1))-AVERAGE(OFFSET($H$3,0,0,'Données projet'!$E$14+1,1))</f>
        <v>239.25212250019609</v>
      </c>
      <c r="DU42" s="59">
        <f t="shared" si="44"/>
        <v>213.58492101729695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23.6</v>
      </c>
      <c r="EJ42" s="12">
        <f>IF('Données projet'!$A$192&gt;35,EJ41+EI42-ER41,IF(A42&lt;'Données projet'!$A$192,$EG$205^A42,IF(A42='Données projet'!$A$192,'Données projet'!$B$192,EJ41+EI42-ER41)))</f>
        <v>400.40000000000015</v>
      </c>
      <c r="EK42" s="17">
        <f>EJ42*VLOOKUP('Données projet'!$B$15,Paramètres!$A$1:$I$89,3,0)*VLOOKUP('Données projet'!$B$15,Paramètres!$A$1:$I$89,5,0)</f>
        <v>239.43920000000011</v>
      </c>
      <c r="EL42" s="13">
        <f t="shared" si="45"/>
        <v>58.318855207171957</v>
      </c>
      <c r="EM42" s="20">
        <f t="shared" si="19"/>
        <v>518.59527948582468</v>
      </c>
      <c r="EN42" s="59">
        <f t="shared" si="20"/>
        <v>811.92861281915793</v>
      </c>
      <c r="EO42" s="59">
        <f ca="1">AVERAGE(OFFSET($EN$3,0,0,'Données projet'!$E$15+1,1))-AVERAGE(OFFSET($H$3,0,0,'Données projet'!$E$15+1,1))</f>
        <v>504.81063008331739</v>
      </c>
      <c r="EP42" s="59">
        <f t="shared" si="46"/>
        <v>441.82647565372287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20.776824702403687</v>
      </c>
      <c r="EW42" s="21">
        <f>EXP(-LN(2)/25)*EW41+(1-EXP(-LN(2)/25))/(LN(2)/25)*Calculateur!ER42*Calculateur!ET42*VLOOKUP('Données projet'!$B$15,Paramètres!$A$1:$I$89,3,0)*0.475*44/12</f>
        <v>45.87661513382173</v>
      </c>
      <c r="EX42" s="21">
        <f>EXP(-LN(2)/2)*EX41+(1-EXP(-LN(2)/2))/(LN(2)/2)*ER42*EU42*VLOOKUP('Données projet'!$B$15,Paramètres!$A$1:$I$89,3,0)*0.475*44/12</f>
        <v>2.3142208971903273E-3</v>
      </c>
      <c r="EY42" s="22">
        <f t="shared" si="21"/>
        <v>66.655754057122607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16.600000000000001</v>
      </c>
      <c r="FE42" s="12">
        <f>IF('Données projet'!$A$218&gt;35,FE41+FD42-FM41,IF(A42&lt;'Données projet'!$A$218,$FB$205^A42,IF(A42='Données projet'!$A$218,'Données projet'!$B$218,FE41+FD42-FM41)))</f>
        <v>236.39999999999989</v>
      </c>
      <c r="FF42" s="17">
        <f>FE42*VLOOKUP('Données projet'!$B$16,Paramètres!$A$1:$I$89,3,0)*VLOOKUP('Données projet'!$B$16,Paramètres!$A$1:$I$89,5,0)</f>
        <v>135.22079999999994</v>
      </c>
      <c r="FG42" s="13">
        <f t="shared" si="47"/>
        <v>35.199954520451797</v>
      </c>
      <c r="FH42" s="20">
        <f t="shared" si="22"/>
        <v>296.81614745645339</v>
      </c>
      <c r="FI42" s="59">
        <f t="shared" si="23"/>
        <v>590.14948078978671</v>
      </c>
      <c r="FJ42" s="59">
        <f ca="1">AVERAGE(OFFSET($FI$3,0,0,'Données projet'!$E$16+1,1))-AVERAGE(OFFSET($H$3,0,0,'Données projet'!$E$16+1,1))</f>
        <v>393.41577134252316</v>
      </c>
      <c r="FK42" s="59">
        <f t="shared" si="48"/>
        <v>255.54039659391475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13.248989665300897</v>
      </c>
      <c r="FR42" s="21">
        <f>EXP(-LN(2)/25)*FR41+(1-EXP(-LN(2)/25))/(LN(2)/25)*Calculateur!FM42*Calculateur!FO42*VLOOKUP('Données projet'!$B$16,Paramètres!$A$1:$I$89,3,0)*0.475*44/12</f>
        <v>20.819557033882077</v>
      </c>
      <c r="FS42" s="21">
        <f>EXP(-LN(2)/2)*FS41+(1-EXP(-LN(2)/2))/(LN(2)/2)*FM42*FP42*VLOOKUP('Données projet'!$B$16,Paramètres!$A$1:$I$89,3,0)*0.475*44/12</f>
        <v>1.6099749333378648E-2</v>
      </c>
      <c r="FT42" s="22">
        <f t="shared" si="24"/>
        <v>34.084646448516352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30</v>
      </c>
      <c r="FZ42" s="12">
        <f>IF('Données projet'!$A$244&gt;35,FZ41+FY42-GH41,IF(A42&lt;'Données projet'!$A$244,$FW$205^A42,IF(A42='Données projet'!$A$244,'Données projet'!$B$244,FZ41+FY42-GH41)))</f>
        <v>503</v>
      </c>
      <c r="GA42" s="17">
        <f>FZ42*VLOOKUP('Données projet'!$B$17,Paramètres!$A$1:$I$89,3,0)*VLOOKUP('Données projet'!$B$17,Paramètres!$A$1:$I$89,5,0)</f>
        <v>235.404</v>
      </c>
      <c r="GB42" s="13">
        <f t="shared" si="49"/>
        <v>57.449568653781753</v>
      </c>
      <c r="GC42" s="20">
        <f t="shared" si="25"/>
        <v>510.05329873866987</v>
      </c>
      <c r="GD42" s="59">
        <f t="shared" si="26"/>
        <v>803.38663207200318</v>
      </c>
      <c r="GE42" s="59">
        <f ca="1">AVERAGE(OFFSET($GD$3,0,0,'Données projet'!$E$17+1,1))-AVERAGE(OFFSET($H$3,0,0,'Données projet'!$E$17+1,1))</f>
        <v>488.67934252295686</v>
      </c>
      <c r="GF42" s="59">
        <f t="shared" si="50"/>
        <v>424.50324471331095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24.289814386384982</v>
      </c>
      <c r="GM42" s="21">
        <f>EXP(-LN(2)/25)*GM41+(1-EXP(-LN(2)/25))/(LN(2)/25)*Calculateur!GH42*Calculateur!GJ42*VLOOKUP('Données projet'!$B$17,Paramètres!$A$1:$I$89,3,0)*0.475*44/12</f>
        <v>38.169187895450477</v>
      </c>
      <c r="GN42" s="21">
        <f>EXP(-LN(2)/2)*GN41+(1-EXP(-LN(2)/2))/(LN(2)/2)*GH42*GK42*VLOOKUP('Données projet'!$B$17,Paramètres!$A$1:$I$89,3,0)*0.475*44/12</f>
        <v>3.5858532606161522E-2</v>
      </c>
      <c r="GO42" s="21">
        <f t="shared" si="27"/>
        <v>62.494860814441623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27.4</v>
      </c>
      <c r="GU42" s="12">
        <f>IF('Données projet'!$A$270&gt;35,GU41+GT42-HC41,IF(A42&lt;'Données projet'!$A$270,$GR$205^A42,IF(A42='Données projet'!$A$270,'Données projet'!$B$270,GU41+GT42-HC41)))</f>
        <v>452.59999999999997</v>
      </c>
      <c r="GV42" s="17">
        <f>GU42*VLOOKUP('Données projet'!$B$18,Paramètres!$A$1:$I$89,3,0)*VLOOKUP('Données projet'!$B$18,Paramètres!$A$1:$I$89,5,0)</f>
        <v>217.70059999999998</v>
      </c>
      <c r="GW42" s="13">
        <f t="shared" si="51"/>
        <v>53.614817298606873</v>
      </c>
      <c r="GX42" s="20">
        <f t="shared" si="28"/>
        <v>472.54101846174029</v>
      </c>
      <c r="GY42" s="59">
        <f t="shared" si="29"/>
        <v>765.87435179507361</v>
      </c>
      <c r="GZ42" s="59">
        <f ca="1">AVERAGE(OFFSET($GY$3,0,0,'Données projet'!$E$18+1,1))-AVERAGE(OFFSET($H$3,0,0,'Données projet'!$E$18+1,1))</f>
        <v>458.80976193248841</v>
      </c>
      <c r="HA42" s="59">
        <f t="shared" si="52"/>
        <v>396.07405370178759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22.695028593339504</v>
      </c>
      <c r="HH42" s="21">
        <f>EXP(-LN(2)/25)*HH41+(1-EXP(-LN(2)/25))/(LN(2)/25)*Calculateur!HC42*Calculateur!HE42*VLOOKUP('Données projet'!$B$18,Paramètres!$A$1:$I$89,3,0)*0.475*44/12</f>
        <v>35.663130104335046</v>
      </c>
      <c r="HI42" s="21">
        <f>EXP(-LN(2)/2)*HI41+(1-EXP(-LN(2)/2))/(LN(2)/2)*HC42*HF42*VLOOKUP('Données projet'!$B$18,Paramètres!$A$1:$I$89,3,0)*0.475*44/12</f>
        <v>1.6546964592639178E-2</v>
      </c>
      <c r="HJ42" s="22">
        <f t="shared" si="30"/>
        <v>58.374705662267196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364.3481978218424</v>
      </c>
      <c r="T43" s="59">
        <f t="shared" si="34"/>
        <v>231.36959598460686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17.212635792006616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17.212635792006616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564</v>
      </c>
      <c r="AG43" s="12">
        <f>VLOOKUP(A43,'Données projet'!$A$61:$I$81,9,0)</f>
        <v>25.6</v>
      </c>
      <c r="AH43" s="12">
        <f t="array" ref="AH43">INDEX(AG:AG,MIN(IF(ISNUMBER(AG43:AG239),ROW(AG43:AG239),"")))</f>
        <v>25.6</v>
      </c>
      <c r="AI43" s="13">
        <f>IF('Données projet'!$A$62&gt;35,AI42+AH43-AQ42,IF(A43&lt;'Données projet'!$A$62,$AF$205^A43,IF(A43='Données projet'!$A$62,'Données projet'!$B$62,AI42+AH43-AQ42)))</f>
        <v>564.00000000000023</v>
      </c>
      <c r="AJ43" s="13">
        <f>AI43*VLOOKUP('Données projet'!$B$10,Paramètres!$A$1:$I$89,3,0)*VLOOKUP('Données projet'!$B$10,Paramètres!$A$1:$I$89,5,0)</f>
        <v>315.27600000000012</v>
      </c>
      <c r="AK43" s="13">
        <f t="shared" si="35"/>
        <v>74.36958441265493</v>
      </c>
      <c r="AL43" s="20">
        <f t="shared" si="4"/>
        <v>678.63272618537417</v>
      </c>
      <c r="AM43" s="59">
        <f t="shared" si="5"/>
        <v>971.96605951870743</v>
      </c>
      <c r="AN43" s="59">
        <f ca="1">AVERAGE(OFFSET($AM$3,0,0,'Données projet'!$E$10+1,1))-AVERAGE(OFFSET($H$3,0,0,'Données projet'!$E$10+1,1))</f>
        <v>443.34220761968419</v>
      </c>
      <c r="AO43" s="59">
        <f t="shared" si="36"/>
        <v>546.58234447298014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72</v>
      </c>
      <c r="AR43" s="16">
        <f>IF(ISNA(VLOOKUP(A43,'Données projet'!$A$61:$I$81,5,0)),0%,VLOOKUP(A43,'Données projet'!$A$61:$I$81,5,0)*VLOOKUP('Données projet'!$B$10,Paramètres!$A$1:$I$89,7,0))</f>
        <v>0.55000000000000004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54.854059870519919</v>
      </c>
      <c r="AV43" s="21">
        <f>EXP(-LN(2)/25)*AV42+(1-EXP(-LN(2)/25))/(LN(2)/25)*Calculateur!AQ43*Calculateur!AS43*VLOOKUP('Données projet'!$B$10,Paramètres!$A$1:$I$89,3,0)*0.475*44/12</f>
        <v>16.625367621310293</v>
      </c>
      <c r="AW43" s="21">
        <f>EXP(-LN(2)/2)*AW42+(1-EXP(-LN(2)/2))/(LN(2)/2)*AQ43*AT43*VLOOKUP('Données projet'!$B$10,Paramètres!$A$1:$I$89,3,0)*0.475*44/12</f>
        <v>0.18880615127325873</v>
      </c>
      <c r="AX43" s="21">
        <f t="shared" si="6"/>
        <v>71.668233643103463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161</v>
      </c>
      <c r="BB43" s="12">
        <f>VLOOKUP(A43,'Données projet'!$A$87:$I$107,9,0)</f>
        <v>10</v>
      </c>
      <c r="BC43" s="12">
        <f t="array" ref="BC43">INDEX(BB:BB,MIN(IF(ISNUMBER(BB43:BB239),ROW(BB43:BB239),"")))</f>
        <v>10</v>
      </c>
      <c r="BD43" s="12">
        <f>IF('Données projet'!$A$88&gt;35,BD42+BC43-BL42,IF(A43&lt;'Données projet'!$A$88,$BA$205^A43,IF(A43='Données projet'!$A$88,'Données projet'!$B$88,BD42+BC43-BL42)))</f>
        <v>161</v>
      </c>
      <c r="BE43" s="13">
        <f>BD43*VLOOKUP('Données projet'!$B$11,Paramètres!$A$1:$I$89,3,0)*VLOOKUP('Données projet'!$B$11,Paramètres!$A$1:$I$89,5,0)</f>
        <v>138.13800000000003</v>
      </c>
      <c r="BF43" s="13">
        <f t="shared" si="37"/>
        <v>35.870115614757175</v>
      </c>
      <c r="BG43" s="20">
        <f t="shared" si="7"/>
        <v>303.06413469570208</v>
      </c>
      <c r="BH43" s="59">
        <f t="shared" si="8"/>
        <v>596.39746802903539</v>
      </c>
      <c r="BI43" s="59">
        <f ca="1">AVERAGE(OFFSET($BH$3,0,0,'Données projet'!$E$11+1,1))-AVERAGE(OFFSET($H$3,0,0,'Données projet'!$E$11+1,1))</f>
        <v>447.15627913956871</v>
      </c>
      <c r="BJ43" s="59">
        <f t="shared" si="38"/>
        <v>256.77417912163997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26.82428940588041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26.82428940588041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235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235.00000000000006</v>
      </c>
      <c r="BZ43" s="13">
        <f>BY43*VLOOKUP('Données projet'!$B$12,Paramètres!$A$1:$I$89,3,0)*VLOOKUP('Données projet'!$B$12,Paramètres!$A$1:$I$89,5,0)</f>
        <v>223.62600000000003</v>
      </c>
      <c r="CA43" s="13">
        <f t="shared" si="39"/>
        <v>54.902227529974944</v>
      </c>
      <c r="CB43" s="20">
        <f t="shared" si="10"/>
        <v>485.10332961470635</v>
      </c>
      <c r="CC43" s="59">
        <f t="shared" si="11"/>
        <v>778.43666294803961</v>
      </c>
      <c r="CD43" s="59">
        <f ca="1">AVERAGE(OFFSET($CC$3,0,0,'Données projet'!$E$12+1,1))-AVERAGE(OFFSET($H$3,0,0,'Données projet'!$E$12+1,1))</f>
        <v>448.94764480536713</v>
      </c>
      <c r="CE43" s="59">
        <f t="shared" si="40"/>
        <v>469.26760321719695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30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25.451649578241373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25.451649578241373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187.80389738728508</v>
      </c>
      <c r="CZ43" s="59">
        <f t="shared" si="42"/>
        <v>439.28159165815265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101.3195072126129</v>
      </c>
      <c r="DG43" s="21">
        <f>EXP(-LN(2)/25)*DG42+(1-EXP(-LN(2)/25))/(LN(2)/25)*Calculateur!DB43*Calculateur!DD43*VLOOKUP('Données projet'!$B$13,Paramètres!$A$1:$I$89,3,0)*0.475*44/12</f>
        <v>10.895963169760821</v>
      </c>
      <c r="DH43" s="21">
        <f>EXP(-LN(2)/2)*DH42+(1-EXP(-LN(2)/2))/(LN(2)/2)*DB43*DE43*VLOOKUP('Données projet'!$B$13,Paramètres!$A$1:$I$89,3,0)*0.475*44/12</f>
        <v>1.4050626875798404E-3</v>
      </c>
      <c r="DI43" s="22">
        <f t="shared" si="15"/>
        <v>112.21687544506131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170</v>
      </c>
      <c r="DM43" s="12">
        <f>VLOOKUP(A43,'Données projet'!$A$165:$I$185,9,0)</f>
        <v>6.8</v>
      </c>
      <c r="DN43" s="12">
        <f t="array" ref="DN43">INDEX(DM:DM,MIN(IF(ISNUMBER(DM43:DM239),ROW(DM43:DM239),"")))</f>
        <v>6.8</v>
      </c>
      <c r="DO43" s="12">
        <f>IF('Données projet'!$A$166&gt;35,DO42+DN43-DW42,IF(A43&lt;'Données projet'!$A$166,$DL$205^A43,IF(A43='Données projet'!$A$166,'Données projet'!$B$166,DO42+DN43-DW42)))</f>
        <v>170.00000000000006</v>
      </c>
      <c r="DP43" s="17">
        <f>DO43*VLOOKUP('Données projet'!$B$14,Paramètres!$A$1:$I$89,3,0)*VLOOKUP('Données projet'!$B$14,Paramètres!$A$1:$I$89,5,0)</f>
        <v>124.64400000000003</v>
      </c>
      <c r="DQ43" s="13">
        <f t="shared" si="43"/>
        <v>32.755730870217214</v>
      </c>
      <c r="DR43" s="20">
        <f t="shared" si="16"/>
        <v>274.1378645989617</v>
      </c>
      <c r="DS43" s="59">
        <f t="shared" si="17"/>
        <v>567.47119793229501</v>
      </c>
      <c r="DT43" s="59">
        <f ca="1">AVERAGE(OFFSET($DS$3,0,0,'Données projet'!$E$14+1,1))-AVERAGE(OFFSET($H$3,0,0,'Données projet'!$E$14+1,1))</f>
        <v>239.25212250019609</v>
      </c>
      <c r="DU43" s="59">
        <f t="shared" si="44"/>
        <v>213.58492101729695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424</v>
      </c>
      <c r="EH43" s="12">
        <f>VLOOKUP(A43,'Données projet'!$A$191:$I$211,9,0)</f>
        <v>23.6</v>
      </c>
      <c r="EI43" s="12">
        <f t="array" ref="EI43">INDEX(EH:EH,MIN(IF(ISNUMBER(EH43:EH239),ROW(EH43:EH239),"")))</f>
        <v>23.6</v>
      </c>
      <c r="EJ43" s="12">
        <f>IF('Données projet'!$A$192&gt;35,EJ42+EI43-ER42,IF(A43&lt;'Données projet'!$A$192,$EG$205^A43,IF(A43='Données projet'!$A$192,'Données projet'!$B$192,EJ42+EI43-ER42)))</f>
        <v>424.00000000000017</v>
      </c>
      <c r="EK43" s="17">
        <f>EJ43*VLOOKUP('Données projet'!$B$15,Paramètres!$A$1:$I$89,3,0)*VLOOKUP('Données projet'!$B$15,Paramètres!$A$1:$I$89,5,0)</f>
        <v>253.55200000000011</v>
      </c>
      <c r="EL43" s="13">
        <f t="shared" si="45"/>
        <v>61.345922542613536</v>
      </c>
      <c r="EM43" s="20">
        <f t="shared" si="19"/>
        <v>548.447215095052</v>
      </c>
      <c r="EN43" s="59">
        <f t="shared" si="20"/>
        <v>841.78054842838537</v>
      </c>
      <c r="EO43" s="59">
        <f ca="1">AVERAGE(OFFSET($EN$3,0,0,'Données projet'!$E$15+1,1))-AVERAGE(OFFSET($H$3,0,0,'Données projet'!$E$15+1,1))</f>
        <v>504.81063008331739</v>
      </c>
      <c r="EP43" s="59">
        <f t="shared" si="46"/>
        <v>441.82647565372287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63</v>
      </c>
      <c r="ES43" s="16">
        <f>IF(ISNA(VLOOKUP(A43,'Données projet'!$A$191:$I$211,5,0)),0%,VLOOKUP(A43,'Données projet'!$A$191:$I$211,5,0)*VLOOKUP('Données projet'!$B$15,Paramètres!$A$1:$I$89,7,0))</f>
        <v>0.45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42.859049025004467</v>
      </c>
      <c r="EW43" s="21">
        <f>EXP(-LN(2)/25)*EW42+(1-EXP(-LN(2)/25))/(LN(2)/25)*Calculateur!ER43*Calculateur!ET43*VLOOKUP('Données projet'!$B$15,Paramètres!$A$1:$I$89,3,0)*0.475*44/12</f>
        <v>44.622116680441039</v>
      </c>
      <c r="EX43" s="21">
        <f>EXP(-LN(2)/2)*EX42+(1-EXP(-LN(2)/2))/(LN(2)/2)*ER43*EU43*VLOOKUP('Données projet'!$B$15,Paramètres!$A$1:$I$89,3,0)*0.475*44/12</f>
        <v>1.6364012895668965E-3</v>
      </c>
      <c r="EY43" s="22">
        <f t="shared" si="21"/>
        <v>87.482802106735079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253</v>
      </c>
      <c r="FC43" s="12">
        <f>VLOOKUP(A43,'Données projet'!$A$217:$I$237,9,0)</f>
        <v>16.600000000000001</v>
      </c>
      <c r="FD43" s="12">
        <f t="array" ref="FD43">INDEX(FC:FC,MIN(IF(ISNUMBER(FC43:FC239),ROW(FC43:FC239),"")))</f>
        <v>16.600000000000001</v>
      </c>
      <c r="FE43" s="12">
        <f>IF('Données projet'!$A$218&gt;35,FE42+FD43-FM42,IF(A43&lt;'Données projet'!$A$218,$FB$205^A43,IF(A43='Données projet'!$A$218,'Données projet'!$B$218,FE42+FD43-FM42)))</f>
        <v>252.99999999999989</v>
      </c>
      <c r="FF43" s="17">
        <f>FE43*VLOOKUP('Données projet'!$B$16,Paramètres!$A$1:$I$89,3,0)*VLOOKUP('Données projet'!$B$16,Paramètres!$A$1:$I$89,5,0)</f>
        <v>144.71599999999995</v>
      </c>
      <c r="FG43" s="13">
        <f t="shared" si="47"/>
        <v>37.375282885096105</v>
      </c>
      <c r="FH43" s="20">
        <f t="shared" si="22"/>
        <v>317.14231769154225</v>
      </c>
      <c r="FI43" s="59">
        <f t="shared" si="23"/>
        <v>610.47565102487556</v>
      </c>
      <c r="FJ43" s="59">
        <f ca="1">AVERAGE(OFFSET($FI$3,0,0,'Données projet'!$E$16+1,1))-AVERAGE(OFFSET($H$3,0,0,'Données projet'!$E$16+1,1))</f>
        <v>393.41577134252316</v>
      </c>
      <c r="FK43" s="59">
        <f t="shared" si="48"/>
        <v>255.54039659391475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42</v>
      </c>
      <c r="FN43" s="16">
        <f>IF(ISNA(VLOOKUP(A43,'Données projet'!$A$217:$I$237,5,0)),0%,VLOOKUP(A43,'Données projet'!$A$217:$I$237,5,0)*VLOOKUP('Données projet'!$B$16,Paramètres!$A$1:$I$89,7,0))</f>
        <v>0.45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27.330408073915876</v>
      </c>
      <c r="FR43" s="21">
        <f>EXP(-LN(2)/25)*FR42+(1-EXP(-LN(2)/25))/(LN(2)/25)*Calculateur!FM43*Calculateur!FO43*VLOOKUP('Données projet'!$B$16,Paramètres!$A$1:$I$89,3,0)*0.475*44/12</f>
        <v>20.250245151937651</v>
      </c>
      <c r="FS43" s="21">
        <f>EXP(-LN(2)/2)*FS42+(1-EXP(-LN(2)/2))/(LN(2)/2)*FM43*FP43*VLOOKUP('Données projet'!$B$16,Paramètres!$A$1:$I$89,3,0)*0.475*44/12</f>
        <v>1.138424192903564E-2</v>
      </c>
      <c r="FT43" s="22">
        <f t="shared" si="24"/>
        <v>47.592037467782561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533</v>
      </c>
      <c r="FX43" s="12">
        <f>VLOOKUP(A43,'Données projet'!$A$243:$I$263,9,0)</f>
        <v>30</v>
      </c>
      <c r="FY43" s="12">
        <f t="array" ref="FY43">INDEX(FX:FX,MIN(IF(ISNUMBER(FX43:FX239),ROW(FX43:FX239),"")))</f>
        <v>30</v>
      </c>
      <c r="FZ43" s="12">
        <f>IF('Données projet'!$A$244&gt;35,FZ42+FY43-GH42,IF(A43&lt;'Données projet'!$A$244,$FW$205^A43,IF(A43='Données projet'!$A$244,'Données projet'!$B$244,FZ42+FY43-GH42)))</f>
        <v>533</v>
      </c>
      <c r="GA43" s="17">
        <f>FZ43*VLOOKUP('Données projet'!$B$17,Paramètres!$A$1:$I$89,3,0)*VLOOKUP('Données projet'!$B$17,Paramètres!$A$1:$I$89,5,0)</f>
        <v>249.44400000000002</v>
      </c>
      <c r="GB43" s="13">
        <f t="shared" si="49"/>
        <v>60.466866397117656</v>
      </c>
      <c r="GC43" s="20">
        <f t="shared" si="25"/>
        <v>539.76142564164661</v>
      </c>
      <c r="GD43" s="59">
        <f t="shared" si="26"/>
        <v>833.09475897497987</v>
      </c>
      <c r="GE43" s="59">
        <f ca="1">AVERAGE(OFFSET($GD$3,0,0,'Données projet'!$E$17+1,1))-AVERAGE(OFFSET($H$3,0,0,'Données projet'!$E$17+1,1))</f>
        <v>488.67934252295686</v>
      </c>
      <c r="GF43" s="59">
        <f t="shared" si="50"/>
        <v>424.50324471331095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77</v>
      </c>
      <c r="GI43" s="16">
        <f>IF(ISNA(VLOOKUP(A43,'Données projet'!$A$243:$I$263,5,0)),0%,VLOOKUP(A43,'Données projet'!$A$243:$I$263,5,0)*VLOOKUP('Données projet'!$B$17,Paramètres!$A$1:$I$89,7,0))</f>
        <v>0.55000000000000004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50.105748135512457</v>
      </c>
      <c r="GM43" s="21">
        <f>EXP(-LN(2)/25)*GM42+(1-EXP(-LN(2)/25))/(LN(2)/25)*Calculateur!GH43*Calculateur!GJ43*VLOOKUP('Données projet'!$B$17,Paramètres!$A$1:$I$89,3,0)*0.475*44/12</f>
        <v>37.125449445219033</v>
      </c>
      <c r="GN43" s="21">
        <f>EXP(-LN(2)/2)*GN42+(1-EXP(-LN(2)/2))/(LN(2)/2)*GH43*GK43*VLOOKUP('Données projet'!$B$17,Paramètres!$A$1:$I$89,3,0)*0.475*44/12</f>
        <v>2.5355811569215736E-2</v>
      </c>
      <c r="GO43" s="21">
        <f t="shared" si="27"/>
        <v>87.256553392300702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480</v>
      </c>
      <c r="GS43" s="12">
        <f>VLOOKUP(A43,'Données projet'!$A$269:$I$289,9,0)</f>
        <v>27.4</v>
      </c>
      <c r="GT43" s="12">
        <f t="array" ref="GT43">INDEX(GS:GS,MIN(IF(ISNUMBER(GS43:GS239),ROW(GS43:GS239),"")))</f>
        <v>27.4</v>
      </c>
      <c r="GU43" s="12">
        <f>IF('Données projet'!$A$270&gt;35,GU42+GT43-HC42,IF(A43&lt;'Données projet'!$A$270,$GR$205^A43,IF(A43='Données projet'!$A$270,'Données projet'!$B$270,GU42+GT43-HC42)))</f>
        <v>479.99999999999994</v>
      </c>
      <c r="GV43" s="17">
        <f>GU43*VLOOKUP('Données projet'!$B$18,Paramètres!$A$1:$I$89,3,0)*VLOOKUP('Données projet'!$B$18,Paramètres!$A$1:$I$89,5,0)</f>
        <v>230.87999999999997</v>
      </c>
      <c r="GW43" s="13">
        <f t="shared" si="51"/>
        <v>56.472915795293673</v>
      </c>
      <c r="GX43" s="20">
        <f t="shared" si="28"/>
        <v>500.4729950101364</v>
      </c>
      <c r="GY43" s="59">
        <f t="shared" si="29"/>
        <v>793.80632834346966</v>
      </c>
      <c r="GZ43" s="59">
        <f ca="1">AVERAGE(OFFSET($GY$3,0,0,'Données projet'!$E$18+1,1))-AVERAGE(OFFSET($H$3,0,0,'Données projet'!$E$18+1,1))</f>
        <v>458.80976193248841</v>
      </c>
      <c r="HA43" s="59">
        <f t="shared" si="52"/>
        <v>396.07405370178759</v>
      </c>
      <c r="HB43" s="15">
        <f>IF(ISNA(VLOOKUP(A43,'Données projet'!$A$269:$I$289,3,0)),0,VLOOKUP(A43,'Données projet'!$A$269:$I$289,3,0))</f>
        <v>5</v>
      </c>
      <c r="HC43" s="15">
        <f>IF(ISNA(VLOOKUP(A43,'Données projet'!$A$269:$I$289,4,0)),0,VLOOKUP(A43,'Données projet'!$A$269:$I$289,4,0))</f>
        <v>70</v>
      </c>
      <c r="HD43" s="16">
        <f>IF(ISNA(VLOOKUP(A43,'Données projet'!$A$269:$I$289,5,0)),0%,VLOOKUP(A43,'Données projet'!$A$269:$I$289,5,0)*VLOOKUP('Données projet'!$B$18,Paramètres!$A$1:$I$89,7,0))</f>
        <v>0.55000000000000004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46.815976793281848</v>
      </c>
      <c r="HH43" s="21">
        <f>EXP(-LN(2)/25)*HH42+(1-EXP(-LN(2)/25))/(LN(2)/25)*Calculateur!HC43*Calculateur!HE43*VLOOKUP('Données projet'!$B$18,Paramètres!$A$1:$I$89,3,0)*0.475*44/12</f>
        <v>34.687919936189502</v>
      </c>
      <c r="HI43" s="21">
        <f>EXP(-LN(2)/2)*HI42+(1-EXP(-LN(2)/2))/(LN(2)/2)*HC43*HF43*VLOOKUP('Données projet'!$B$18,Paramètres!$A$1:$I$89,3,0)*0.475*44/12</f>
        <v>1.1700470871508861E-2</v>
      </c>
      <c r="HJ43" s="22">
        <f t="shared" si="30"/>
        <v>81.515597200342853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541.50302276112825</v>
      </c>
      <c r="S44" s="59">
        <f ca="1">AVERAGE(OFFSET($R$3,0,0,'Données projet'!$E$9+1,1))-AVERAGE(OFFSET($H$3,0,0,'Données projet'!$E$9+1,1))</f>
        <v>364.3481978218424</v>
      </c>
      <c r="T44" s="59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16.875106502796541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16.875106502796541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22.8</v>
      </c>
      <c r="AI44" s="13">
        <f>IF('Données projet'!$A$62&gt;35,AI43+AH44-AQ43,IF(A44&lt;'Données projet'!$A$62,$AF$205^A44,IF(A44='Données projet'!$A$62,'Données projet'!$B$62,AI43+AH44-AQ43)))</f>
        <v>514.80000000000018</v>
      </c>
      <c r="AJ44" s="13">
        <f>AI44*VLOOKUP('Données projet'!$B$10,Paramètres!$A$1:$I$89,3,0)*VLOOKUP('Données projet'!$B$10,Paramètres!$A$1:$I$89,5,0)</f>
        <v>287.77320000000009</v>
      </c>
      <c r="AK44" s="13">
        <f t="shared" si="35"/>
        <v>68.607082381743922</v>
      </c>
      <c r="AL44" s="20">
        <f t="shared" si="4"/>
        <v>620.69565848153741</v>
      </c>
      <c r="AM44" s="59">
        <f t="shared" si="5"/>
        <v>914.02899181487078</v>
      </c>
      <c r="AN44" s="59">
        <f ca="1">AVERAGE(OFFSET($AM$3,0,0,'Données projet'!$E$10+1,1))-AVERAGE(OFFSET($H$3,0,0,'Données projet'!$E$10+1,1))</f>
        <v>443.34220761968419</v>
      </c>
      <c r="AO44" s="59">
        <f t="shared" si="36"/>
        <v>546.58234447298014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53.778405214131872</v>
      </c>
      <c r="AV44" s="21">
        <f>EXP(-LN(2)/25)*AV43+(1-EXP(-LN(2)/25))/(LN(2)/25)*Calculateur!AQ44*Calculateur!AS44*VLOOKUP('Données projet'!$B$10,Paramètres!$A$1:$I$89,3,0)*0.475*44/12</f>
        <v>16.170746069415479</v>
      </c>
      <c r="AW44" s="21">
        <f>EXP(-LN(2)/2)*AW43+(1-EXP(-LN(2)/2))/(LN(2)/2)*AQ44*AT44*VLOOKUP('Données projet'!$B$10,Paramètres!$A$1:$I$89,3,0)*0.475*44/12</f>
        <v>0.13350610989505435</v>
      </c>
      <c r="AX44" s="21">
        <f t="shared" si="6"/>
        <v>70.082657393442403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144.4</v>
      </c>
      <c r="BE44" s="13">
        <f>BD44*VLOOKUP('Données projet'!$B$11,Paramètres!$A$1:$I$89,3,0)*VLOOKUP('Données projet'!$B$11,Paramètres!$A$1:$I$89,5,0)</f>
        <v>123.89520000000003</v>
      </c>
      <c r="BF44" s="13">
        <f t="shared" si="37"/>
        <v>32.581794813999061</v>
      </c>
      <c r="BG44" s="20">
        <f t="shared" si="7"/>
        <v>272.53076596771507</v>
      </c>
      <c r="BH44" s="59">
        <f t="shared" si="8"/>
        <v>565.86409930104833</v>
      </c>
      <c r="BI44" s="59">
        <f ca="1">AVERAGE(OFFSET($BH$3,0,0,'Données projet'!$E$11+1,1))-AVERAGE(OFFSET($H$3,0,0,'Données projet'!$E$11+1,1))</f>
        <v>447.15627913956871</v>
      </c>
      <c r="BJ44" s="59">
        <f t="shared" si="38"/>
        <v>256.77417912163997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26.2982814518321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26.2982814518321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7.6</v>
      </c>
      <c r="BY44" s="12">
        <f>IF('Données projet'!$A$114&gt;35,BY43+BX44-CG43,IF(A44&lt;'Données projet'!$A$114,$BV$205^A44,IF(A44='Données projet'!$A$114,'Données projet'!$B$114,BY43+BX44-CG43)))</f>
        <v>212.60000000000005</v>
      </c>
      <c r="BZ44" s="13">
        <f>BY44*VLOOKUP('Données projet'!$B$12,Paramètres!$A$1:$I$89,3,0)*VLOOKUP('Données projet'!$B$12,Paramètres!$A$1:$I$89,5,0)</f>
        <v>202.31016000000005</v>
      </c>
      <c r="CA44" s="13">
        <f t="shared" si="39"/>
        <v>50.251531123141397</v>
      </c>
      <c r="CB44" s="20">
        <f t="shared" si="10"/>
        <v>439.87827870613802</v>
      </c>
      <c r="CC44" s="59">
        <f t="shared" si="11"/>
        <v>733.21161203947133</v>
      </c>
      <c r="CD44" s="59">
        <f ca="1">AVERAGE(OFFSET($CC$3,0,0,'Données projet'!$E$12+1,1))-AVERAGE(OFFSET($H$3,0,0,'Données projet'!$E$12+1,1))</f>
        <v>448.94764480536713</v>
      </c>
      <c r="CE44" s="59">
        <f t="shared" si="40"/>
        <v>469.26760321719695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24.952558253985437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24.952558253985437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187.80389738728508</v>
      </c>
      <c r="CZ44" s="59">
        <f t="shared" si="42"/>
        <v>439.28159165815265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99.332693474970839</v>
      </c>
      <c r="DG44" s="21">
        <f>EXP(-LN(2)/25)*DG43+(1-EXP(-LN(2)/25))/(LN(2)/25)*Calculateur!DB44*Calculateur!DD44*VLOOKUP('Données projet'!$B$13,Paramètres!$A$1:$I$89,3,0)*0.475*44/12</f>
        <v>10.59801248388991</v>
      </c>
      <c r="DH44" s="21">
        <f>EXP(-LN(2)/2)*DH43+(1-EXP(-LN(2)/2))/(LN(2)/2)*DB44*DE44*VLOOKUP('Données projet'!$B$13,Paramètres!$A$1:$I$89,3,0)*0.475*44/12</f>
        <v>9.9352935437990058E-4</v>
      </c>
      <c r="DI44" s="22">
        <f t="shared" si="15"/>
        <v>109.93169948821513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</v>
      </c>
      <c r="DO44" s="12">
        <f>IF('Données projet'!$A$166&gt;35,DO43+DN44-DW43,IF(A44&lt;'Données projet'!$A$166,$DL$205^A44,IF(A44='Données projet'!$A$166,'Données projet'!$B$166,DO43+DN44-DW43)))</f>
        <v>178.00000000000006</v>
      </c>
      <c r="DP44" s="17">
        <f>DO44*VLOOKUP('Données projet'!$B$14,Paramètres!$A$1:$I$89,3,0)*VLOOKUP('Données projet'!$B$14,Paramètres!$A$1:$I$89,5,0)</f>
        <v>130.50960000000003</v>
      </c>
      <c r="DQ44" s="13">
        <f t="shared" si="43"/>
        <v>34.11408610445698</v>
      </c>
      <c r="DR44" s="20">
        <f t="shared" si="16"/>
        <v>286.7195866319293</v>
      </c>
      <c r="DS44" s="59">
        <f t="shared" si="17"/>
        <v>580.05291996526262</v>
      </c>
      <c r="DT44" s="59">
        <f ca="1">AVERAGE(OFFSET($DS$3,0,0,'Données projet'!$E$14+1,1))-AVERAGE(OFFSET($H$3,0,0,'Données projet'!$E$14+1,1))</f>
        <v>239.25212250019609</v>
      </c>
      <c r="DU44" s="59">
        <f t="shared" si="44"/>
        <v>213.58492101729695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21.6</v>
      </c>
      <c r="EJ44" s="12">
        <f>IF('Données projet'!$A$192&gt;35,EJ43+EI44-ER43,IF(A44&lt;'Données projet'!$A$192,$EG$205^A44,IF(A44='Données projet'!$A$192,'Données projet'!$B$192,EJ43+EI44-ER43)))</f>
        <v>382.60000000000019</v>
      </c>
      <c r="EK44" s="17">
        <f>EJ44*VLOOKUP('Données projet'!$B$15,Paramètres!$A$1:$I$89,3,0)*VLOOKUP('Données projet'!$B$15,Paramètres!$A$1:$I$89,5,0)</f>
        <v>228.79480000000012</v>
      </c>
      <c r="EL44" s="13">
        <f t="shared" si="45"/>
        <v>56.022009485811381</v>
      </c>
      <c r="EM44" s="20">
        <f t="shared" si="19"/>
        <v>496.05594318778844</v>
      </c>
      <c r="EN44" s="59">
        <f t="shared" si="20"/>
        <v>789.3892765211217</v>
      </c>
      <c r="EO44" s="59">
        <f ca="1">AVERAGE(OFFSET($EN$3,0,0,'Données projet'!$E$15+1,1))-AVERAGE(OFFSET($H$3,0,0,'Données projet'!$E$15+1,1))</f>
        <v>504.81063008331739</v>
      </c>
      <c r="EP44" s="59">
        <f t="shared" si="46"/>
        <v>441.82647565372287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42.018609215062781</v>
      </c>
      <c r="EW44" s="21">
        <f>EXP(-LN(2)/25)*EW43+(1-EXP(-LN(2)/25))/(LN(2)/25)*Calculateur!ER44*Calculateur!ET44*VLOOKUP('Données projet'!$B$15,Paramètres!$A$1:$I$89,3,0)*0.475*44/12</f>
        <v>43.401922553239245</v>
      </c>
      <c r="EX44" s="21">
        <f>EXP(-LN(2)/2)*EX43+(1-EXP(-LN(2)/2))/(LN(2)/2)*ER44*EU44*VLOOKUP('Données projet'!$B$15,Paramètres!$A$1:$I$89,3,0)*0.475*44/12</f>
        <v>1.1571104485951637E-3</v>
      </c>
      <c r="EY44" s="22">
        <f t="shared" si="21"/>
        <v>85.421688878750615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16.8</v>
      </c>
      <c r="FE44" s="12">
        <f>IF('Données projet'!$A$218&gt;35,FE43+FD44-FM43,IF(A44&lt;'Données projet'!$A$218,$FB$205^A44,IF(A44='Données projet'!$A$218,'Données projet'!$B$218,FE43+FD44-FM43)))</f>
        <v>227.7999999999999</v>
      </c>
      <c r="FF44" s="17">
        <f>FE44*VLOOKUP('Données projet'!$B$16,Paramètres!$A$1:$I$89,3,0)*VLOOKUP('Données projet'!$B$16,Paramètres!$A$1:$I$89,5,0)</f>
        <v>130.30159999999995</v>
      </c>
      <c r="FG44" s="13">
        <f t="shared" si="47"/>
        <v>34.066040835325218</v>
      </c>
      <c r="FH44" s="20">
        <f t="shared" si="22"/>
        <v>286.27364112152469</v>
      </c>
      <c r="FI44" s="59">
        <f t="shared" si="23"/>
        <v>579.606974454858</v>
      </c>
      <c r="FJ44" s="59">
        <f ca="1">AVERAGE(OFFSET($FI$3,0,0,'Données projet'!$E$16+1,1))-AVERAGE(OFFSET($H$3,0,0,'Données projet'!$E$16+1,1))</f>
        <v>393.41577134252316</v>
      </c>
      <c r="FK44" s="59">
        <f t="shared" si="48"/>
        <v>255.54039659391475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26.794475441489293</v>
      </c>
      <c r="FR44" s="21">
        <f>EXP(-LN(2)/25)*FR43+(1-EXP(-LN(2)/25))/(LN(2)/25)*Calculateur!FM44*Calculateur!FO44*VLOOKUP('Données projet'!$B$16,Paramètres!$A$1:$I$89,3,0)*0.475*44/12</f>
        <v>19.696501133343805</v>
      </c>
      <c r="FS44" s="21">
        <f>EXP(-LN(2)/2)*FS43+(1-EXP(-LN(2)/2))/(LN(2)/2)*FM44*FP44*VLOOKUP('Données projet'!$B$16,Paramètres!$A$1:$I$89,3,0)*0.475*44/12</f>
        <v>8.0498746666893238E-3</v>
      </c>
      <c r="FT44" s="22">
        <f t="shared" si="24"/>
        <v>46.499026449499787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28</v>
      </c>
      <c r="FZ44" s="12">
        <f>IF('Données projet'!$A$244&gt;35,FZ43+FY44-GH43,IF(A44&lt;'Données projet'!$A$244,$FW$205^A44,IF(A44='Données projet'!$A$244,'Données projet'!$B$244,FZ43+FY44-GH43)))</f>
        <v>484</v>
      </c>
      <c r="GA44" s="17">
        <f>FZ44*VLOOKUP('Données projet'!$B$17,Paramètres!$A$1:$I$89,3,0)*VLOOKUP('Données projet'!$B$17,Paramètres!$A$1:$I$89,5,0)</f>
        <v>226.51199999999997</v>
      </c>
      <c r="GB44" s="13">
        <f t="shared" si="49"/>
        <v>55.527824937247544</v>
      </c>
      <c r="GC44" s="20">
        <f t="shared" si="25"/>
        <v>491.21936176570608</v>
      </c>
      <c r="GD44" s="59">
        <f t="shared" si="26"/>
        <v>784.5526950990394</v>
      </c>
      <c r="GE44" s="59">
        <f ca="1">AVERAGE(OFFSET($GD$3,0,0,'Données projet'!$E$17+1,1))-AVERAGE(OFFSET($H$3,0,0,'Données projet'!$E$17+1,1))</f>
        <v>488.67934252295686</v>
      </c>
      <c r="GF44" s="59">
        <f t="shared" si="50"/>
        <v>424.50324471331095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49.123204976063725</v>
      </c>
      <c r="GM44" s="21">
        <f>EXP(-LN(2)/25)*GM43+(1-EXP(-LN(2)/25))/(LN(2)/25)*Calculateur!GH44*Calculateur!GJ44*VLOOKUP('Données projet'!$B$17,Paramètres!$A$1:$I$89,3,0)*0.475*44/12</f>
        <v>36.110252077796986</v>
      </c>
      <c r="GN44" s="21">
        <f>EXP(-LN(2)/2)*GN43+(1-EXP(-LN(2)/2))/(LN(2)/2)*GH44*GK44*VLOOKUP('Données projet'!$B$17,Paramètres!$A$1:$I$89,3,0)*0.475*44/12</f>
        <v>1.7929266303080761E-2</v>
      </c>
      <c r="GO44" s="21">
        <f t="shared" si="27"/>
        <v>85.251386320163803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26</v>
      </c>
      <c r="GU44" s="12">
        <f>IF('Données projet'!$A$270&gt;35,GU43+GT44-HC43,IF(A44&lt;'Données projet'!$A$270,$GR$205^A44,IF(A44='Données projet'!$A$270,'Données projet'!$B$270,GU43+GT44-HC43)))</f>
        <v>435.99999999999994</v>
      </c>
      <c r="GV44" s="17">
        <f>GU44*VLOOKUP('Données projet'!$B$18,Paramètres!$A$1:$I$89,3,0)*VLOOKUP('Données projet'!$B$18,Paramètres!$A$1:$I$89,5,0)</f>
        <v>209.71599999999995</v>
      </c>
      <c r="GW44" s="13">
        <f t="shared" si="51"/>
        <v>51.873519665760895</v>
      </c>
      <c r="GX44" s="20">
        <f t="shared" si="28"/>
        <v>455.60174675120015</v>
      </c>
      <c r="GY44" s="59">
        <f t="shared" si="29"/>
        <v>748.93508008453341</v>
      </c>
      <c r="GZ44" s="59">
        <f ca="1">AVERAGE(OFFSET($GY$3,0,0,'Données projet'!$E$18+1,1))-AVERAGE(OFFSET($H$3,0,0,'Données projet'!$E$18+1,1))</f>
        <v>458.80976193248841</v>
      </c>
      <c r="HA44" s="59">
        <f t="shared" si="52"/>
        <v>396.07405370178759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45.897944043291872</v>
      </c>
      <c r="HH44" s="21">
        <f>EXP(-LN(2)/25)*HH43+(1-EXP(-LN(2)/25))/(LN(2)/25)*Calculateur!HC44*Calculateur!HE44*VLOOKUP('Données projet'!$B$18,Paramètres!$A$1:$I$89,3,0)*0.475*44/12</f>
        <v>33.739376941375973</v>
      </c>
      <c r="HI44" s="21">
        <f>EXP(-LN(2)/2)*HI43+(1-EXP(-LN(2)/2))/(LN(2)/2)*HC44*HF44*VLOOKUP('Données projet'!$B$18,Paramètres!$A$1:$I$89,3,0)*0.475*44/12</f>
        <v>8.2734822963195891E-3</v>
      </c>
      <c r="HJ44" s="22">
        <f t="shared" si="30"/>
        <v>79.645594466964155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557.83878140250954</v>
      </c>
      <c r="S45" s="59">
        <f ca="1">AVERAGE(OFFSET($R$3,0,0,'Données projet'!$E$9+1,1))-AVERAGE(OFFSET($H$3,0,0,'Données projet'!$E$9+1,1))</f>
        <v>364.3481978218424</v>
      </c>
      <c r="T45" s="59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16.544195957075338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16.544195957075338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22.8</v>
      </c>
      <c r="AI45" s="13">
        <f>IF('Données projet'!$A$62&gt;35,AI44+AH45-AQ44,IF(A45&lt;'Données projet'!$A$62,$AF$205^A45,IF(A45='Données projet'!$A$62,'Données projet'!$B$62,AI44+AH45-AQ44)))</f>
        <v>537.60000000000014</v>
      </c>
      <c r="AJ45" s="13">
        <f>AI45*VLOOKUP('Données projet'!$B$10,Paramètres!$A$1:$I$89,3,0)*VLOOKUP('Données projet'!$B$10,Paramètres!$A$1:$I$89,5,0)</f>
        <v>300.5184000000001</v>
      </c>
      <c r="AK45" s="13">
        <f t="shared" si="35"/>
        <v>71.285129105116411</v>
      </c>
      <c r="AL45" s="20">
        <f t="shared" si="4"/>
        <v>647.55781319141124</v>
      </c>
      <c r="AM45" s="59">
        <f t="shared" si="5"/>
        <v>940.8911465247445</v>
      </c>
      <c r="AN45" s="59">
        <f ca="1">AVERAGE(OFFSET($AM$3,0,0,'Données projet'!$E$10+1,1))-AVERAGE(OFFSET($H$3,0,0,'Données projet'!$E$10+1,1))</f>
        <v>443.34220761968419</v>
      </c>
      <c r="AO45" s="59">
        <f t="shared" si="36"/>
        <v>546.58234447298014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52.723843489471037</v>
      </c>
      <c r="AV45" s="21">
        <f>EXP(-LN(2)/25)*AV44+(1-EXP(-LN(2)/25))/(LN(2)/25)*Calculateur!AQ45*Calculateur!AS45*VLOOKUP('Données projet'!$B$10,Paramètres!$A$1:$I$89,3,0)*0.475*44/12</f>
        <v>15.728556167764737</v>
      </c>
      <c r="AW45" s="21">
        <f>EXP(-LN(2)/2)*AW44+(1-EXP(-LN(2)/2))/(LN(2)/2)*AQ45*AT45*VLOOKUP('Données projet'!$B$10,Paramètres!$A$1:$I$89,3,0)*0.475*44/12</f>
        <v>9.4403075636629363E-2</v>
      </c>
      <c r="AX45" s="21">
        <f t="shared" si="6"/>
        <v>68.546802732872408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155.80000000000001</v>
      </c>
      <c r="BE45" s="13">
        <f>BD45*VLOOKUP('Données projet'!$B$11,Paramètres!$A$1:$I$89,3,0)*VLOOKUP('Données projet'!$B$11,Paramètres!$A$1:$I$89,5,0)</f>
        <v>133.67640000000003</v>
      </c>
      <c r="BF45" s="13">
        <f t="shared" si="37"/>
        <v>34.844483726822681</v>
      </c>
      <c r="BG45" s="20">
        <f t="shared" si="7"/>
        <v>293.50720582421621</v>
      </c>
      <c r="BH45" s="59">
        <f t="shared" si="8"/>
        <v>586.84053915754953</v>
      </c>
      <c r="BI45" s="59">
        <f ca="1">AVERAGE(OFFSET($BH$3,0,0,'Données projet'!$E$11+1,1))-AVERAGE(OFFSET($H$3,0,0,'Données projet'!$E$11+1,1))</f>
        <v>447.15627913956871</v>
      </c>
      <c r="BJ45" s="59">
        <f t="shared" si="38"/>
        <v>256.77417912163997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25.782588192929502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25.782588192929502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7.6</v>
      </c>
      <c r="BY45" s="12">
        <f>IF('Données projet'!$A$114&gt;35,BY44+BX45-CG44,IF(A45&lt;'Données projet'!$A$114,$BV$205^A45,IF(A45='Données projet'!$A$114,'Données projet'!$B$114,BY44+BX45-CG44)))</f>
        <v>220.20000000000005</v>
      </c>
      <c r="BZ45" s="13">
        <f>BY45*VLOOKUP('Données projet'!$B$12,Paramètres!$A$1:$I$89,3,0)*VLOOKUP('Données projet'!$B$12,Paramètres!$A$1:$I$89,5,0)</f>
        <v>209.54232000000005</v>
      </c>
      <c r="CA45" s="13">
        <f t="shared" si="39"/>
        <v>51.835558406813547</v>
      </c>
      <c r="CB45" s="20">
        <f t="shared" si="10"/>
        <v>455.23313822520032</v>
      </c>
      <c r="CC45" s="59">
        <f t="shared" si="11"/>
        <v>748.56647155853364</v>
      </c>
      <c r="CD45" s="59">
        <f ca="1">AVERAGE(OFFSET($CC$3,0,0,'Données projet'!$E$12+1,1))-AVERAGE(OFFSET($H$3,0,0,'Données projet'!$E$12+1,1))</f>
        <v>448.94764480536713</v>
      </c>
      <c r="CE45" s="59">
        <f t="shared" si="40"/>
        <v>469.26760321719695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24.463253806182511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24.463253806182511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187.80389738728508</v>
      </c>
      <c r="CZ45" s="59">
        <f t="shared" si="42"/>
        <v>439.28159165815265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97.384839942887211</v>
      </c>
      <c r="DG45" s="21">
        <f>EXP(-LN(2)/25)*DG44+(1-EXP(-LN(2)/25))/(LN(2)/25)*Calculateur!DB45*Calculateur!DD45*VLOOKUP('Données projet'!$B$13,Paramètres!$A$1:$I$89,3,0)*0.475*44/12</f>
        <v>10.308209275192686</v>
      </c>
      <c r="DH45" s="21">
        <f>EXP(-LN(2)/2)*DH44+(1-EXP(-LN(2)/2))/(LN(2)/2)*DB45*DE45*VLOOKUP('Données projet'!$B$13,Paramètres!$A$1:$I$89,3,0)*0.475*44/12</f>
        <v>7.025313437899202E-4</v>
      </c>
      <c r="DI45" s="22">
        <f t="shared" si="15"/>
        <v>107.69375174942368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</v>
      </c>
      <c r="DO45" s="12">
        <f>IF('Données projet'!$A$166&gt;35,DO44+DN45-DW44,IF(A45&lt;'Données projet'!$A$166,$DL$205^A45,IF(A45='Données projet'!$A$166,'Données projet'!$B$166,DO44+DN45-DW44)))</f>
        <v>186.00000000000006</v>
      </c>
      <c r="DP45" s="17">
        <f>DO45*VLOOKUP('Données projet'!$B$14,Paramètres!$A$1:$I$89,3,0)*VLOOKUP('Données projet'!$B$14,Paramètres!$A$1:$I$89,5,0)</f>
        <v>136.37520000000004</v>
      </c>
      <c r="DQ45" s="13">
        <f t="shared" si="43"/>
        <v>35.465351191684015</v>
      </c>
      <c r="DR45" s="20">
        <f t="shared" si="16"/>
        <v>299.28895999218304</v>
      </c>
      <c r="DS45" s="59">
        <f t="shared" si="17"/>
        <v>592.62229332551635</v>
      </c>
      <c r="DT45" s="59">
        <f ca="1">AVERAGE(OFFSET($DS$3,0,0,'Données projet'!$E$14+1,1))-AVERAGE(OFFSET($H$3,0,0,'Données projet'!$E$14+1,1))</f>
        <v>239.25212250019609</v>
      </c>
      <c r="DU45" s="59">
        <f t="shared" si="44"/>
        <v>213.58492101729695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21.6</v>
      </c>
      <c r="EJ45" s="12">
        <f>IF('Données projet'!$A$192&gt;35,EJ44+EI45-ER44,IF(A45&lt;'Données projet'!$A$192,$EG$205^A45,IF(A45='Données projet'!$A$192,'Données projet'!$B$192,EJ44+EI45-ER44)))</f>
        <v>404.20000000000022</v>
      </c>
      <c r="EK45" s="17">
        <f>EJ45*VLOOKUP('Données projet'!$B$15,Paramètres!$A$1:$I$89,3,0)*VLOOKUP('Données projet'!$B$15,Paramètres!$A$1:$I$89,5,0)</f>
        <v>241.71160000000015</v>
      </c>
      <c r="EL45" s="13">
        <f t="shared" si="45"/>
        <v>58.807637113502857</v>
      </c>
      <c r="EM45" s="20">
        <f t="shared" si="19"/>
        <v>523.40433797268429</v>
      </c>
      <c r="EN45" s="59">
        <f t="shared" si="20"/>
        <v>816.73767130601755</v>
      </c>
      <c r="EO45" s="59">
        <f ca="1">AVERAGE(OFFSET($EN$3,0,0,'Données projet'!$E$15+1,1))-AVERAGE(OFFSET($H$3,0,0,'Données projet'!$E$15+1,1))</f>
        <v>504.81063008331739</v>
      </c>
      <c r="EP45" s="59">
        <f t="shared" si="46"/>
        <v>441.82647565372287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41.194649917176385</v>
      </c>
      <c r="EW45" s="21">
        <f>EXP(-LN(2)/25)*EW44+(1-EXP(-LN(2)/25))/(LN(2)/25)*Calculateur!ER45*Calculateur!ET45*VLOOKUP('Données projet'!$B$15,Paramètres!$A$1:$I$89,3,0)*0.475*44/12</f>
        <v>42.215094698613008</v>
      </c>
      <c r="EX45" s="21">
        <f>EXP(-LN(2)/2)*EX44+(1-EXP(-LN(2)/2))/(LN(2)/2)*ER45*EU45*VLOOKUP('Données projet'!$B$15,Paramètres!$A$1:$I$89,3,0)*0.475*44/12</f>
        <v>8.1820064478344825E-4</v>
      </c>
      <c r="EY45" s="22">
        <f t="shared" si="21"/>
        <v>83.410562816434179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16.8</v>
      </c>
      <c r="FE45" s="12">
        <f>IF('Données projet'!$A$218&gt;35,FE44+FD45-FM44,IF(A45&lt;'Données projet'!$A$218,$FB$205^A45,IF(A45='Données projet'!$A$218,'Données projet'!$B$218,FE44+FD45-FM44)))</f>
        <v>244.59999999999991</v>
      </c>
      <c r="FF45" s="17">
        <f>FE45*VLOOKUP('Données projet'!$B$16,Paramètres!$A$1:$I$89,3,0)*VLOOKUP('Données projet'!$B$16,Paramètres!$A$1:$I$89,5,0)</f>
        <v>139.91119999999995</v>
      </c>
      <c r="FG45" s="13">
        <f t="shared" si="47"/>
        <v>36.27666191083685</v>
      </c>
      <c r="FH45" s="20">
        <f t="shared" si="22"/>
        <v>306.86052616137408</v>
      </c>
      <c r="FI45" s="59">
        <f t="shared" si="23"/>
        <v>600.19385949470734</v>
      </c>
      <c r="FJ45" s="59">
        <f ca="1">AVERAGE(OFFSET($FI$3,0,0,'Données projet'!$E$16+1,1))-AVERAGE(OFFSET($H$3,0,0,'Données projet'!$E$16+1,1))</f>
        <v>393.41577134252316</v>
      </c>
      <c r="FK45" s="59">
        <f t="shared" si="48"/>
        <v>255.54039659391475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26.269052121097968</v>
      </c>
      <c r="FR45" s="21">
        <f>EXP(-LN(2)/25)*FR44+(1-EXP(-LN(2)/25))/(LN(2)/25)*Calculateur!FM45*Calculateur!FO45*VLOOKUP('Données projet'!$B$16,Paramètres!$A$1:$I$89,3,0)*0.475*44/12</f>
        <v>19.15789927405854</v>
      </c>
      <c r="FS45" s="21">
        <f>EXP(-LN(2)/2)*FS44+(1-EXP(-LN(2)/2))/(LN(2)/2)*FM45*FP45*VLOOKUP('Données projet'!$B$16,Paramètres!$A$1:$I$89,3,0)*0.475*44/12</f>
        <v>5.6921209645178199E-3</v>
      </c>
      <c r="FT45" s="22">
        <f t="shared" si="24"/>
        <v>45.432643516121026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28</v>
      </c>
      <c r="FZ45" s="12">
        <f>IF('Données projet'!$A$244&gt;35,FZ44+FY45-GH44,IF(A45&lt;'Données projet'!$A$244,$FW$205^A45,IF(A45='Données projet'!$A$244,'Données projet'!$B$244,FZ44+FY45-GH44)))</f>
        <v>512</v>
      </c>
      <c r="GA45" s="17">
        <f>FZ45*VLOOKUP('Données projet'!$B$17,Paramètres!$A$1:$I$89,3,0)*VLOOKUP('Données projet'!$B$17,Paramètres!$A$1:$I$89,5,0)</f>
        <v>239.61599999999999</v>
      </c>
      <c r="GB45" s="13">
        <f t="shared" si="49"/>
        <v>58.356903313490157</v>
      </c>
      <c r="GC45" s="20">
        <f t="shared" si="25"/>
        <v>518.96947327099531</v>
      </c>
      <c r="GD45" s="59">
        <f t="shared" si="26"/>
        <v>812.30280660432868</v>
      </c>
      <c r="GE45" s="59">
        <f ca="1">AVERAGE(OFFSET($GD$3,0,0,'Données projet'!$E$17+1,1))-AVERAGE(OFFSET($H$3,0,0,'Données projet'!$E$17+1,1))</f>
        <v>488.67934252295686</v>
      </c>
      <c r="GF45" s="59">
        <f t="shared" si="50"/>
        <v>424.50324471331095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48.15992888867963</v>
      </c>
      <c r="GM45" s="21">
        <f>EXP(-LN(2)/25)*GM44+(1-EXP(-LN(2)/25))/(LN(2)/25)*Calculateur!GH45*Calculateur!GJ45*VLOOKUP('Données projet'!$B$17,Paramètres!$A$1:$I$89,3,0)*0.475*44/12</f>
        <v>35.122815335774</v>
      </c>
      <c r="GN45" s="21">
        <f>EXP(-LN(2)/2)*GN44+(1-EXP(-LN(2)/2))/(LN(2)/2)*GH45*GK45*VLOOKUP('Données projet'!$B$17,Paramètres!$A$1:$I$89,3,0)*0.475*44/12</f>
        <v>1.2677905784607868E-2</v>
      </c>
      <c r="GO45" s="21">
        <f t="shared" si="27"/>
        <v>83.295422130238251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26</v>
      </c>
      <c r="GU45" s="12">
        <f>IF('Données projet'!$A$270&gt;35,GU44+GT45-HC44,IF(A45&lt;'Données projet'!$A$270,$GR$205^A45,IF(A45='Données projet'!$A$270,'Données projet'!$B$270,GU44+GT45-HC44)))</f>
        <v>461.99999999999994</v>
      </c>
      <c r="GV45" s="17">
        <f>GU45*VLOOKUP('Données projet'!$B$18,Paramètres!$A$1:$I$89,3,0)*VLOOKUP('Données projet'!$B$18,Paramètres!$A$1:$I$89,5,0)</f>
        <v>222.22199999999998</v>
      </c>
      <c r="GW45" s="13">
        <f t="shared" si="51"/>
        <v>54.597543621228866</v>
      </c>
      <c r="GX45" s="20">
        <f t="shared" si="28"/>
        <v>482.12737180697349</v>
      </c>
      <c r="GY45" s="59">
        <f t="shared" si="29"/>
        <v>775.4607051403068</v>
      </c>
      <c r="GZ45" s="59">
        <f ca="1">AVERAGE(OFFSET($GY$3,0,0,'Données projet'!$E$18+1,1))-AVERAGE(OFFSET($H$3,0,0,'Données projet'!$E$18+1,1))</f>
        <v>458.80976193248841</v>
      </c>
      <c r="HA45" s="59">
        <f t="shared" si="52"/>
        <v>396.07405370178759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44.997913355584508</v>
      </c>
      <c r="HH45" s="21">
        <f>EXP(-LN(2)/25)*HH44+(1-EXP(-LN(2)/25))/(LN(2)/25)*Calculateur!HC45*Calculateur!HE45*VLOOKUP('Données projet'!$B$18,Paramètres!$A$1:$I$89,3,0)*0.475*44/12</f>
        <v>32.816771904637328</v>
      </c>
      <c r="HI45" s="21">
        <f>EXP(-LN(2)/2)*HI44+(1-EXP(-LN(2)/2))/(LN(2)/2)*HC45*HF45*VLOOKUP('Données projet'!$B$18,Paramètres!$A$1:$I$89,3,0)*0.475*44/12</f>
        <v>5.8502354357544304E-3</v>
      </c>
      <c r="HJ45" s="22">
        <f t="shared" si="30"/>
        <v>77.820535495657595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574.15179438724942</v>
      </c>
      <c r="S46" s="59">
        <f ca="1">AVERAGE(OFFSET($R$3,0,0,'Données projet'!$E$9+1,1))-AVERAGE(OFFSET($H$3,0,0,'Données projet'!$E$9+1,1))</f>
        <v>364.3481978218424</v>
      </c>
      <c r="T46" s="59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16.219774365320227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16.219774365320227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22.8</v>
      </c>
      <c r="AI46" s="13">
        <f>IF('Données projet'!$A$62&gt;35,AI45+AH46-AQ45,IF(A46&lt;'Données projet'!$A$62,$AF$205^A46,IF(A46='Données projet'!$A$62,'Données projet'!$B$62,AI45+AH46-AQ45)))</f>
        <v>560.40000000000009</v>
      </c>
      <c r="AJ46" s="13">
        <f>AI46*VLOOKUP('Données projet'!$B$10,Paramètres!$A$1:$I$89,3,0)*VLOOKUP('Données projet'!$B$10,Paramètres!$A$1:$I$89,5,0)</f>
        <v>313.26360000000005</v>
      </c>
      <c r="AK46" s="13">
        <f t="shared" si="35"/>
        <v>73.949983766039026</v>
      </c>
      <c r="AL46" s="20">
        <f t="shared" si="4"/>
        <v>674.39699172585131</v>
      </c>
      <c r="AM46" s="59">
        <f t="shared" si="5"/>
        <v>967.73032505918468</v>
      </c>
      <c r="AN46" s="59">
        <f ca="1">AVERAGE(OFFSET($AM$3,0,0,'Données projet'!$E$10+1,1))-AVERAGE(OFFSET($H$3,0,0,'Données projet'!$E$10+1,1))</f>
        <v>443.34220761968419</v>
      </c>
      <c r="AO46" s="59">
        <f t="shared" si="36"/>
        <v>546.58234447298014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51.68996107701166</v>
      </c>
      <c r="AV46" s="21">
        <f>EXP(-LN(2)/25)*AV45+(1-EXP(-LN(2)/25))/(LN(2)/25)*Calculateur!AQ46*Calculateur!AS46*VLOOKUP('Données projet'!$B$10,Paramètres!$A$1:$I$89,3,0)*0.475*44/12</f>
        <v>15.298457972228389</v>
      </c>
      <c r="AW46" s="21">
        <f>EXP(-LN(2)/2)*AW45+(1-EXP(-LN(2)/2))/(LN(2)/2)*AQ46*AT46*VLOOKUP('Données projet'!$B$10,Paramètres!$A$1:$I$89,3,0)*0.475*44/12</f>
        <v>6.6753054947527174E-2</v>
      </c>
      <c r="AX46" s="21">
        <f t="shared" si="6"/>
        <v>67.055172104187577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167.20000000000002</v>
      </c>
      <c r="BE46" s="13">
        <f>BD46*VLOOKUP('Données projet'!$B$11,Paramètres!$A$1:$I$89,3,0)*VLOOKUP('Données projet'!$B$11,Paramètres!$A$1:$I$89,5,0)</f>
        <v>143.45760000000004</v>
      </c>
      <c r="BF46" s="13">
        <f t="shared" si="37"/>
        <v>37.087964904995097</v>
      </c>
      <c r="BG46" s="20">
        <f t="shared" si="7"/>
        <v>314.45019220953321</v>
      </c>
      <c r="BH46" s="59">
        <f t="shared" si="8"/>
        <v>607.78352554286653</v>
      </c>
      <c r="BI46" s="59">
        <f ca="1">AVERAGE(OFFSET($BH$3,0,0,'Données projet'!$E$11+1,1))-AVERAGE(OFFSET($H$3,0,0,'Données projet'!$E$11+1,1))</f>
        <v>447.15627913956871</v>
      </c>
      <c r="BJ46" s="59">
        <f t="shared" si="38"/>
        <v>256.77417912163997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25.277007364292157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25.277007364292157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7.6</v>
      </c>
      <c r="BY46" s="12">
        <f>IF('Données projet'!$A$114&gt;35,BY45+BX46-CG45,IF(A46&lt;'Données projet'!$A$114,$BV$205^A46,IF(A46='Données projet'!$A$114,'Données projet'!$B$114,BY45+BX46-CG45)))</f>
        <v>227.80000000000004</v>
      </c>
      <c r="BZ46" s="13">
        <f>BY46*VLOOKUP('Données projet'!$B$12,Paramètres!$A$1:$I$89,3,0)*VLOOKUP('Données projet'!$B$12,Paramètres!$A$1:$I$89,5,0)</f>
        <v>216.77448000000004</v>
      </c>
      <c r="CA46" s="13">
        <f t="shared" si="39"/>
        <v>53.41323339156682</v>
      </c>
      <c r="CB46" s="20">
        <f t="shared" si="10"/>
        <v>470.57693415697889</v>
      </c>
      <c r="CC46" s="59">
        <f t="shared" si="11"/>
        <v>763.91026749031221</v>
      </c>
      <c r="CD46" s="59">
        <f ca="1">AVERAGE(OFFSET($CC$3,0,0,'Données projet'!$E$12+1,1))-AVERAGE(OFFSET($H$3,0,0,'Données projet'!$E$12+1,1))</f>
        <v>448.94764480536713</v>
      </c>
      <c r="CE46" s="59">
        <f t="shared" si="40"/>
        <v>469.26760321719695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23.983544320154756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23.983544320154756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187.80389738728508</v>
      </c>
      <c r="CZ46" s="59">
        <f t="shared" si="42"/>
        <v>439.28159165815265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95.475182630494402</v>
      </c>
      <c r="DG46" s="21">
        <f>EXP(-LN(2)/25)*DG45+(1-EXP(-LN(2)/25))/(LN(2)/25)*Calculateur!DB46*Calculateur!DD46*VLOOKUP('Données projet'!$B$13,Paramètres!$A$1:$I$89,3,0)*0.475*44/12</f>
        <v>10.026330750477376</v>
      </c>
      <c r="DH46" s="21">
        <f>EXP(-LN(2)/2)*DH45+(1-EXP(-LN(2)/2))/(LN(2)/2)*DB46*DE46*VLOOKUP('Données projet'!$B$13,Paramètres!$A$1:$I$89,3,0)*0.475*44/12</f>
        <v>4.9676467718995029E-4</v>
      </c>
      <c r="DI46" s="22">
        <f t="shared" si="15"/>
        <v>105.50201014564897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</v>
      </c>
      <c r="DO46" s="12">
        <f>IF('Données projet'!$A$166&gt;35,DO45+DN46-DW45,IF(A46&lt;'Données projet'!$A$166,$DL$205^A46,IF(A46='Données projet'!$A$166,'Données projet'!$B$166,DO45+DN46-DW45)))</f>
        <v>194.00000000000006</v>
      </c>
      <c r="DP46" s="17">
        <f>DO46*VLOOKUP('Données projet'!$B$14,Paramètres!$A$1:$I$89,3,0)*VLOOKUP('Données projet'!$B$14,Paramètres!$A$1:$I$89,5,0)</f>
        <v>142.24080000000004</v>
      </c>
      <c r="DQ46" s="13">
        <f t="shared" si="43"/>
        <v>36.809865943965384</v>
      </c>
      <c r="DR46" s="20">
        <f t="shared" si="16"/>
        <v>311.8465765190731</v>
      </c>
      <c r="DS46" s="59">
        <f t="shared" si="17"/>
        <v>605.17990985240635</v>
      </c>
      <c r="DT46" s="59">
        <f ca="1">AVERAGE(OFFSET($DS$3,0,0,'Données projet'!$E$14+1,1))-AVERAGE(OFFSET($H$3,0,0,'Données projet'!$E$14+1,1))</f>
        <v>239.25212250019609</v>
      </c>
      <c r="DU46" s="59">
        <f t="shared" si="44"/>
        <v>213.58492101729695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21.6</v>
      </c>
      <c r="EJ46" s="12">
        <f>IF('Données projet'!$A$192&gt;35,EJ45+EI46-ER45,IF(A46&lt;'Données projet'!$A$192,$EG$205^A46,IF(A46='Données projet'!$A$192,'Données projet'!$B$192,EJ45+EI46-ER45)))</f>
        <v>425.80000000000024</v>
      </c>
      <c r="EK46" s="17">
        <f>EJ46*VLOOKUP('Données projet'!$B$15,Paramètres!$A$1:$I$89,3,0)*VLOOKUP('Données projet'!$B$15,Paramètres!$A$1:$I$89,5,0)</f>
        <v>254.62840000000014</v>
      </c>
      <c r="EL46" s="13">
        <f t="shared" si="45"/>
        <v>61.575982433801578</v>
      </c>
      <c r="EM46" s="20">
        <f t="shared" si="19"/>
        <v>550.7226327388712</v>
      </c>
      <c r="EN46" s="59">
        <f t="shared" si="20"/>
        <v>844.05596607220446</v>
      </c>
      <c r="EO46" s="59">
        <f ca="1">AVERAGE(OFFSET($EN$3,0,0,'Données projet'!$E$15+1,1))-AVERAGE(OFFSET($H$3,0,0,'Données projet'!$E$15+1,1))</f>
        <v>504.81063008331739</v>
      </c>
      <c r="EP46" s="59">
        <f t="shared" si="46"/>
        <v>441.82647565372287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40.386847958555997</v>
      </c>
      <c r="EW46" s="21">
        <f>EXP(-LN(2)/25)*EW45+(1-EXP(-LN(2)/25))/(LN(2)/25)*Calculateur!ER46*Calculateur!ET46*VLOOKUP('Données projet'!$B$15,Paramètres!$A$1:$I$89,3,0)*0.475*44/12</f>
        <v>41.060720714084091</v>
      </c>
      <c r="EX46" s="21">
        <f>EXP(-LN(2)/2)*EX45+(1-EXP(-LN(2)/2))/(LN(2)/2)*ER46*EU46*VLOOKUP('Données projet'!$B$15,Paramètres!$A$1:$I$89,3,0)*0.475*44/12</f>
        <v>5.7855522429758183E-4</v>
      </c>
      <c r="EY46" s="22">
        <f t="shared" si="21"/>
        <v>81.448147227864382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16.8</v>
      </c>
      <c r="FE46" s="12">
        <f>IF('Données projet'!$A$218&gt;35,FE45+FD46-FM45,IF(A46&lt;'Données projet'!$A$218,$FB$205^A46,IF(A46='Données projet'!$A$218,'Données projet'!$B$218,FE45+FD46-FM45)))</f>
        <v>261.39999999999992</v>
      </c>
      <c r="FF46" s="17">
        <f>FE46*VLOOKUP('Données projet'!$B$16,Paramètres!$A$1:$I$89,3,0)*VLOOKUP('Données projet'!$B$16,Paramètres!$A$1:$I$89,5,0)</f>
        <v>149.52079999999995</v>
      </c>
      <c r="FG46" s="13">
        <f t="shared" si="47"/>
        <v>38.469665429479107</v>
      </c>
      <c r="FH46" s="20">
        <f t="shared" si="22"/>
        <v>327.41672728967603</v>
      </c>
      <c r="FI46" s="59">
        <f t="shared" si="23"/>
        <v>620.7500606230094</v>
      </c>
      <c r="FJ46" s="59">
        <f ca="1">AVERAGE(OFFSET($FI$3,0,0,'Données projet'!$E$16+1,1))-AVERAGE(OFFSET($H$3,0,0,'Données projet'!$E$16+1,1))</f>
        <v>393.41577134252316</v>
      </c>
      <c r="FK46" s="59">
        <f t="shared" si="48"/>
        <v>255.54039659391475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25.753932031542934</v>
      </c>
      <c r="FR46" s="21">
        <f>EXP(-LN(2)/25)*FR45+(1-EXP(-LN(2)/25))/(LN(2)/25)*Calculateur!FM46*Calculateur!FO46*VLOOKUP('Données projet'!$B$16,Paramètres!$A$1:$I$89,3,0)*0.475*44/12</f>
        <v>18.634025510939271</v>
      </c>
      <c r="FS46" s="21">
        <f>EXP(-LN(2)/2)*FS45+(1-EXP(-LN(2)/2))/(LN(2)/2)*FM46*FP46*VLOOKUP('Données projet'!$B$16,Paramètres!$A$1:$I$89,3,0)*0.475*44/12</f>
        <v>4.0249373333446619E-3</v>
      </c>
      <c r="FT46" s="22">
        <f t="shared" si="24"/>
        <v>44.391982479815553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28</v>
      </c>
      <c r="FZ46" s="12">
        <f>IF('Données projet'!$A$244&gt;35,FZ45+FY46-GH45,IF(A46&lt;'Données projet'!$A$244,$FW$205^A46,IF(A46='Données projet'!$A$244,'Données projet'!$B$244,FZ45+FY46-GH45)))</f>
        <v>540</v>
      </c>
      <c r="GA46" s="17">
        <f>FZ46*VLOOKUP('Données projet'!$B$17,Paramètres!$A$1:$I$89,3,0)*VLOOKUP('Données projet'!$B$17,Paramètres!$A$1:$I$89,5,0)</f>
        <v>252.72000000000003</v>
      </c>
      <c r="GB46" s="13">
        <f t="shared" si="49"/>
        <v>61.168020584496823</v>
      </c>
      <c r="GC46" s="20">
        <f t="shared" si="25"/>
        <v>546.68830251799864</v>
      </c>
      <c r="GD46" s="59">
        <f t="shared" si="26"/>
        <v>840.02163585133189</v>
      </c>
      <c r="GE46" s="59">
        <f ca="1">AVERAGE(OFFSET($GD$3,0,0,'Données projet'!$E$17+1,1))-AVERAGE(OFFSET($H$3,0,0,'Données projet'!$E$17+1,1))</f>
        <v>488.67934252295686</v>
      </c>
      <c r="GF46" s="59">
        <f t="shared" si="50"/>
        <v>424.50324471331095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47.215542057828735</v>
      </c>
      <c r="GM46" s="21">
        <f>EXP(-LN(2)/25)*GM45+(1-EXP(-LN(2)/25))/(LN(2)/25)*Calculateur!GH46*Calculateur!GJ46*VLOOKUP('Données projet'!$B$17,Paramètres!$A$1:$I$89,3,0)*0.475*44/12</f>
        <v>34.162380103388678</v>
      </c>
      <c r="GN46" s="21">
        <f>EXP(-LN(2)/2)*GN45+(1-EXP(-LN(2)/2))/(LN(2)/2)*GH46*GK46*VLOOKUP('Données projet'!$B$17,Paramètres!$A$1:$I$89,3,0)*0.475*44/12</f>
        <v>8.9646331515403806E-3</v>
      </c>
      <c r="GO46" s="21">
        <f t="shared" si="27"/>
        <v>81.386886794368948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26</v>
      </c>
      <c r="GU46" s="12">
        <f>IF('Données projet'!$A$270&gt;35,GU45+GT46-HC45,IF(A46&lt;'Données projet'!$A$270,$GR$205^A46,IF(A46='Données projet'!$A$270,'Données projet'!$B$270,GU45+GT46-HC45)))</f>
        <v>487.99999999999994</v>
      </c>
      <c r="GV46" s="17">
        <f>GU46*VLOOKUP('Données projet'!$B$18,Paramètres!$A$1:$I$89,3,0)*VLOOKUP('Données projet'!$B$18,Paramètres!$A$1:$I$89,5,0)</f>
        <v>234.72799999999998</v>
      </c>
      <c r="GW46" s="13">
        <f t="shared" si="51"/>
        <v>57.30377185354768</v>
      </c>
      <c r="GX46" s="20">
        <f t="shared" si="28"/>
        <v>508.62200264492884</v>
      </c>
      <c r="GY46" s="59">
        <f t="shared" si="29"/>
        <v>801.95533597826216</v>
      </c>
      <c r="GZ46" s="59">
        <f ca="1">AVERAGE(OFFSET($GY$3,0,0,'Données projet'!$E$18+1,1))-AVERAGE(OFFSET($H$3,0,0,'Données projet'!$E$18+1,1))</f>
        <v>458.80976193248841</v>
      </c>
      <c r="HA46" s="59">
        <f t="shared" si="52"/>
        <v>396.07405370178759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44.115531720698577</v>
      </c>
      <c r="HH46" s="21">
        <f>EXP(-LN(2)/25)*HH45+(1-EXP(-LN(2)/25))/(LN(2)/25)*Calculateur!HC46*Calculateur!HE46*VLOOKUP('Données projet'!$B$18,Paramètres!$A$1:$I$89,3,0)*0.475*44/12</f>
        <v>31.919395551145989</v>
      </c>
      <c r="HI46" s="21">
        <f>EXP(-LN(2)/2)*HI45+(1-EXP(-LN(2)/2))/(LN(2)/2)*HC46*HF46*VLOOKUP('Données projet'!$B$18,Paramètres!$A$1:$I$89,3,0)*0.475*44/12</f>
        <v>4.1367411481597945E-3</v>
      </c>
      <c r="HJ46" s="22">
        <f t="shared" si="30"/>
        <v>76.039064012992725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590.44356897369653</v>
      </c>
      <c r="S47" s="59">
        <f ca="1">AVERAGE(OFFSET($R$3,0,0,'Données projet'!$E$9+1,1))-AVERAGE(OFFSET($H$3,0,0,'Données projet'!$E$9+1,1))</f>
        <v>364.3481978218424</v>
      </c>
      <c r="T47" s="59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15.901714483101799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15.901714483101799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22.8</v>
      </c>
      <c r="AI47" s="13">
        <f>IF('Données projet'!$A$62&gt;35,AI46+AH47-AQ46,IF(A47&lt;'Données projet'!$A$62,$AF$205^A47,IF(A47='Données projet'!$A$62,'Données projet'!$B$62,AI46+AH47-AQ46)))</f>
        <v>583.20000000000005</v>
      </c>
      <c r="AJ47" s="13">
        <f>AI47*VLOOKUP('Données projet'!$B$10,Paramètres!$A$1:$I$89,3,0)*VLOOKUP('Données projet'!$B$10,Paramètres!$A$1:$I$89,5,0)</f>
        <v>326.00880000000001</v>
      </c>
      <c r="AK47" s="13">
        <f t="shared" si="35"/>
        <v>76.602244480772981</v>
      </c>
      <c r="AL47" s="20">
        <f t="shared" si="4"/>
        <v>701.2142358040129</v>
      </c>
      <c r="AM47" s="59">
        <f t="shared" si="5"/>
        <v>994.54756913734627</v>
      </c>
      <c r="AN47" s="59">
        <f ca="1">AVERAGE(OFFSET($AM$3,0,0,'Données projet'!$E$10+1,1))-AVERAGE(OFFSET($H$3,0,0,'Données projet'!$E$10+1,1))</f>
        <v>443.34220761968419</v>
      </c>
      <c r="AO47" s="59">
        <f t="shared" si="36"/>
        <v>546.58234447298014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50.67635246805461</v>
      </c>
      <c r="AV47" s="21">
        <f>EXP(-LN(2)/25)*AV46+(1-EXP(-LN(2)/25))/(LN(2)/25)*Calculateur!AQ47*Calculateur!AS47*VLOOKUP('Données projet'!$B$10,Paramètres!$A$1:$I$89,3,0)*0.475*44/12</f>
        <v>14.880120834466865</v>
      </c>
      <c r="AW47" s="21">
        <f>EXP(-LN(2)/2)*AW46+(1-EXP(-LN(2)/2))/(LN(2)/2)*AQ47*AT47*VLOOKUP('Données projet'!$B$10,Paramètres!$A$1:$I$89,3,0)*0.475*44/12</f>
        <v>4.7201537818314682E-2</v>
      </c>
      <c r="AX47" s="21">
        <f t="shared" si="6"/>
        <v>65.603674840339792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178.60000000000002</v>
      </c>
      <c r="BE47" s="13">
        <f>BD47*VLOOKUP('Données projet'!$B$11,Paramètres!$A$1:$I$89,3,0)*VLOOKUP('Données projet'!$B$11,Paramètres!$A$1:$I$89,5,0)</f>
        <v>153.23880000000003</v>
      </c>
      <c r="BF47" s="13">
        <f t="shared" si="37"/>
        <v>39.31369695702417</v>
      </c>
      <c r="BG47" s="20">
        <f t="shared" si="7"/>
        <v>335.36226553348382</v>
      </c>
      <c r="BH47" s="59">
        <f t="shared" si="8"/>
        <v>628.69559886681714</v>
      </c>
      <c r="BI47" s="59">
        <f ca="1">AVERAGE(OFFSET($BH$3,0,0,'Données projet'!$E$11+1,1))-AVERAGE(OFFSET($H$3,0,0,'Données projet'!$E$11+1,1))</f>
        <v>447.15627913956871</v>
      </c>
      <c r="BJ47" s="59">
        <f t="shared" si="38"/>
        <v>256.77417912163997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24.781340667330532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24.781340667330532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7.6</v>
      </c>
      <c r="BY47" s="12">
        <f>IF('Données projet'!$A$114&gt;35,BY46+BX47-CG46,IF(A47&lt;'Données projet'!$A$114,$BV$205^A47,IF(A47='Données projet'!$A$114,'Données projet'!$B$114,BY46+BX47-CG46)))</f>
        <v>235.40000000000003</v>
      </c>
      <c r="BZ47" s="13">
        <f>BY47*VLOOKUP('Données projet'!$B$12,Paramètres!$A$1:$I$89,3,0)*VLOOKUP('Données projet'!$B$12,Paramètres!$A$1:$I$89,5,0)</f>
        <v>224.00664000000003</v>
      </c>
      <c r="CA47" s="13">
        <f t="shared" si="39"/>
        <v>54.984792305364024</v>
      </c>
      <c r="CB47" s="20">
        <f t="shared" si="10"/>
        <v>485.91007793184241</v>
      </c>
      <c r="CC47" s="59">
        <f t="shared" si="11"/>
        <v>779.24341126517572</v>
      </c>
      <c r="CD47" s="59">
        <f ca="1">AVERAGE(OFFSET($CC$3,0,0,'Données projet'!$E$12+1,1))-AVERAGE(OFFSET($H$3,0,0,'Données projet'!$E$12+1,1))</f>
        <v>448.94764480536713</v>
      </c>
      <c r="CE47" s="59">
        <f t="shared" si="40"/>
        <v>469.26760321719695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23.51324164455411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23.51324164455411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187.80389738728508</v>
      </c>
      <c r="CZ47" s="59">
        <f t="shared" si="42"/>
        <v>439.28159165815265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93.602972533221674</v>
      </c>
      <c r="DG47" s="21">
        <f>EXP(-LN(2)/25)*DG46+(1-EXP(-LN(2)/25))/(LN(2)/25)*Calculateur!DB47*Calculateur!DD47*VLOOKUP('Données projet'!$B$13,Paramètres!$A$1:$I$89,3,0)*0.475*44/12</f>
        <v>9.7521602088437529</v>
      </c>
      <c r="DH47" s="21">
        <f>EXP(-LN(2)/2)*DH46+(1-EXP(-LN(2)/2))/(LN(2)/2)*DB47*DE47*VLOOKUP('Données projet'!$B$13,Paramètres!$A$1:$I$89,3,0)*0.475*44/12</f>
        <v>3.512656718949601E-4</v>
      </c>
      <c r="DI47" s="22">
        <f t="shared" si="15"/>
        <v>103.35548400773732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</v>
      </c>
      <c r="DO47" s="12">
        <f>IF('Données projet'!$A$166&gt;35,DO46+DN47-DW46,IF(A47&lt;'Données projet'!$A$166,$DL$205^A47,IF(A47='Données projet'!$A$166,'Données projet'!$B$166,DO46+DN47-DW46)))</f>
        <v>202.00000000000006</v>
      </c>
      <c r="DP47" s="17">
        <f>DO47*VLOOKUP('Données projet'!$B$14,Paramètres!$A$1:$I$89,3,0)*VLOOKUP('Données projet'!$B$14,Paramètres!$A$1:$I$89,5,0)</f>
        <v>148.10640000000004</v>
      </c>
      <c r="DQ47" s="13">
        <f t="shared" si="43"/>
        <v>38.147940561860452</v>
      </c>
      <c r="DR47" s="20">
        <f t="shared" si="16"/>
        <v>324.39297647857364</v>
      </c>
      <c r="DS47" s="59">
        <f t="shared" si="17"/>
        <v>617.72630981190696</v>
      </c>
      <c r="DT47" s="59">
        <f ca="1">AVERAGE(OFFSET($DS$3,0,0,'Données projet'!$E$14+1,1))-AVERAGE(OFFSET($H$3,0,0,'Données projet'!$E$14+1,1))</f>
        <v>239.25212250019609</v>
      </c>
      <c r="DU47" s="59">
        <f t="shared" si="44"/>
        <v>213.58492101729695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21.6</v>
      </c>
      <c r="EJ47" s="12">
        <f>IF('Données projet'!$A$192&gt;35,EJ46+EI47-ER46,IF(A47&lt;'Données projet'!$A$192,$EG$205^A47,IF(A47='Données projet'!$A$192,'Données projet'!$B$192,EJ46+EI47-ER46)))</f>
        <v>447.40000000000026</v>
      </c>
      <c r="EK47" s="17">
        <f>EJ47*VLOOKUP('Données projet'!$B$15,Paramètres!$A$1:$I$89,3,0)*VLOOKUP('Données projet'!$B$15,Paramètres!$A$1:$I$89,5,0)</f>
        <v>267.54520000000014</v>
      </c>
      <c r="EL47" s="13">
        <f t="shared" si="45"/>
        <v>64.328022166288974</v>
      </c>
      <c r="EM47" s="20">
        <f t="shared" si="19"/>
        <v>578.01252860628688</v>
      </c>
      <c r="EN47" s="59">
        <f t="shared" si="20"/>
        <v>871.34586193962014</v>
      </c>
      <c r="EO47" s="59">
        <f ca="1">AVERAGE(OFFSET($EN$3,0,0,'Données projet'!$E$15+1,1))-AVERAGE(OFFSET($H$3,0,0,'Données projet'!$E$15+1,1))</f>
        <v>504.81063008331739</v>
      </c>
      <c r="EP47" s="59">
        <f t="shared" si="46"/>
        <v>441.82647565372287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39.59488650363361</v>
      </c>
      <c r="EW47" s="21">
        <f>EXP(-LN(2)/25)*EW46+(1-EXP(-LN(2)/25))/(LN(2)/25)*Calculateur!ER47*Calculateur!ET47*VLOOKUP('Données projet'!$B$15,Paramètres!$A$1:$I$89,3,0)*0.475*44/12</f>
        <v>39.937913146868006</v>
      </c>
      <c r="EX47" s="21">
        <f>EXP(-LN(2)/2)*EX46+(1-EXP(-LN(2)/2))/(LN(2)/2)*ER47*EU47*VLOOKUP('Données projet'!$B$15,Paramètres!$A$1:$I$89,3,0)*0.475*44/12</f>
        <v>4.0910032239172413E-4</v>
      </c>
      <c r="EY47" s="22">
        <f t="shared" si="21"/>
        <v>79.533208750824002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16.8</v>
      </c>
      <c r="FE47" s="12">
        <f>IF('Données projet'!$A$218&gt;35,FE46+FD47-FM46,IF(A47&lt;'Données projet'!$A$218,$FB$205^A47,IF(A47='Données projet'!$A$218,'Données projet'!$B$218,FE46+FD47-FM46)))</f>
        <v>278.19999999999993</v>
      </c>
      <c r="FF47" s="17">
        <f>FE47*VLOOKUP('Données projet'!$B$16,Paramètres!$A$1:$I$89,3,0)*VLOOKUP('Données projet'!$B$16,Paramètres!$A$1:$I$89,5,0)</f>
        <v>159.13039999999998</v>
      </c>
      <c r="FG47" s="13">
        <f t="shared" si="47"/>
        <v>40.646312530866012</v>
      </c>
      <c r="FH47" s="20">
        <f t="shared" si="22"/>
        <v>347.94444099125826</v>
      </c>
      <c r="FI47" s="59">
        <f t="shared" si="23"/>
        <v>641.27777432459152</v>
      </c>
      <c r="FJ47" s="59">
        <f ca="1">AVERAGE(OFFSET($FI$3,0,0,'Données projet'!$E$16+1,1))-AVERAGE(OFFSET($H$3,0,0,'Données projet'!$E$16+1,1))</f>
        <v>393.41577134252316</v>
      </c>
      <c r="FK47" s="59">
        <f t="shared" si="48"/>
        <v>255.54039659391475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25.248913132751845</v>
      </c>
      <c r="FR47" s="21">
        <f>EXP(-LN(2)/25)*FR46+(1-EXP(-LN(2)/25))/(LN(2)/25)*Calculateur!FM47*Calculateur!FO47*VLOOKUP('Données projet'!$B$16,Paramètres!$A$1:$I$89,3,0)*0.475*44/12</f>
        <v>18.124477103421825</v>
      </c>
      <c r="FS47" s="21">
        <f>EXP(-LN(2)/2)*FS46+(1-EXP(-LN(2)/2))/(LN(2)/2)*FM47*FP47*VLOOKUP('Données projet'!$B$16,Paramètres!$A$1:$I$89,3,0)*0.475*44/12</f>
        <v>2.84606048225891E-3</v>
      </c>
      <c r="FT47" s="22">
        <f t="shared" si="24"/>
        <v>43.376236296655925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28</v>
      </c>
      <c r="FZ47" s="12">
        <f>IF('Données projet'!$A$244&gt;35,FZ46+FY47-GH46,IF(A47&lt;'Données projet'!$A$244,$FW$205^A47,IF(A47='Données projet'!$A$244,'Données projet'!$B$244,FZ46+FY47-GH46)))</f>
        <v>568</v>
      </c>
      <c r="GA47" s="17">
        <f>FZ47*VLOOKUP('Données projet'!$B$17,Paramètres!$A$1:$I$89,3,0)*VLOOKUP('Données projet'!$B$17,Paramètres!$A$1:$I$89,5,0)</f>
        <v>265.82400000000001</v>
      </c>
      <c r="GB47" s="13">
        <f t="shared" si="49"/>
        <v>63.962214293903529</v>
      </c>
      <c r="GC47" s="20">
        <f t="shared" si="25"/>
        <v>574.37765656188196</v>
      </c>
      <c r="GD47" s="59">
        <f t="shared" si="26"/>
        <v>867.71098989521533</v>
      </c>
      <c r="GE47" s="59">
        <f ca="1">AVERAGE(OFFSET($GD$3,0,0,'Données projet'!$E$17+1,1))-AVERAGE(OFFSET($H$3,0,0,'Données projet'!$E$17+1,1))</f>
        <v>488.67934252295686</v>
      </c>
      <c r="GF47" s="59">
        <f t="shared" si="50"/>
        <v>424.50324471331095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46.289674076711741</v>
      </c>
      <c r="GM47" s="21">
        <f>EXP(-LN(2)/25)*GM46+(1-EXP(-LN(2)/25))/(LN(2)/25)*Calculateur!GH47*Calculateur!GJ47*VLOOKUP('Données projet'!$B$17,Paramètres!$A$1:$I$89,3,0)*0.475*44/12</f>
        <v>33.228208022940024</v>
      </c>
      <c r="GN47" s="21">
        <f>EXP(-LN(2)/2)*GN46+(1-EXP(-LN(2)/2))/(LN(2)/2)*GH47*GK47*VLOOKUP('Données projet'!$B$17,Paramètres!$A$1:$I$89,3,0)*0.475*44/12</f>
        <v>6.338952892303934E-3</v>
      </c>
      <c r="GO47" s="21">
        <f t="shared" si="27"/>
        <v>79.524221052544064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26</v>
      </c>
      <c r="GU47" s="12">
        <f>IF('Données projet'!$A$270&gt;35,GU46+GT47-HC46,IF(A47&lt;'Données projet'!$A$270,$GR$205^A47,IF(A47='Données projet'!$A$270,'Données projet'!$B$270,GU46+GT47-HC46)))</f>
        <v>514</v>
      </c>
      <c r="GV47" s="17">
        <f>GU47*VLOOKUP('Données projet'!$B$18,Paramètres!$A$1:$I$89,3,0)*VLOOKUP('Données projet'!$B$18,Paramètres!$A$1:$I$89,5,0)</f>
        <v>247.23400000000001</v>
      </c>
      <c r="GW47" s="13">
        <f t="shared" si="51"/>
        <v>59.993260607978399</v>
      </c>
      <c r="GX47" s="20">
        <f t="shared" si="28"/>
        <v>535.087478892229</v>
      </c>
      <c r="GY47" s="59">
        <f t="shared" si="29"/>
        <v>828.42081222556226</v>
      </c>
      <c r="GZ47" s="59">
        <f ca="1">AVERAGE(OFFSET($GY$3,0,0,'Données projet'!$E$18+1,1))-AVERAGE(OFFSET($H$3,0,0,'Données projet'!$E$18+1,1))</f>
        <v>458.80976193248841</v>
      </c>
      <c r="HA47" s="59">
        <f t="shared" si="52"/>
        <v>396.07405370178759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43.250453051473102</v>
      </c>
      <c r="HH47" s="21">
        <f>EXP(-LN(2)/25)*HH46+(1-EXP(-LN(2)/25))/(LN(2)/25)*Calculateur!HC47*Calculateur!HE47*VLOOKUP('Données projet'!$B$18,Paramètres!$A$1:$I$89,3,0)*0.475*44/12</f>
        <v>31.046558001231844</v>
      </c>
      <c r="HI47" s="21">
        <f>EXP(-LN(2)/2)*HI46+(1-EXP(-LN(2)/2))/(LN(2)/2)*HC47*HF47*VLOOKUP('Données projet'!$B$18,Paramètres!$A$1:$I$89,3,0)*0.475*44/12</f>
        <v>2.9251177178772152E-3</v>
      </c>
      <c r="HJ47" s="22">
        <f t="shared" si="30"/>
        <v>74.299936170422825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606.71543359582972</v>
      </c>
      <c r="S48" s="59">
        <f ca="1">AVERAGE(OFFSET($R$3,0,0,'Données projet'!$E$9+1,1))-AVERAGE(OFFSET($H$3,0,0,'Données projet'!$E$9+1,1))</f>
        <v>364.3481978218424</v>
      </c>
      <c r="T48" s="59">
        <f t="shared" si="34"/>
        <v>231.36959598460686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24.62196484377106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24.62196484377106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606</v>
      </c>
      <c r="AG48" s="12">
        <f>VLOOKUP(A48,'Données projet'!$A$61:$I$81,9,0)</f>
        <v>22.8</v>
      </c>
      <c r="AH48" s="12">
        <f t="array" ref="AH48">INDEX(AG:AG,MIN(IF(ISNUMBER(AG48:AG244),ROW(AG48:AG244),"")))</f>
        <v>22.8</v>
      </c>
      <c r="AI48" s="13">
        <f>IF('Données projet'!$A$62&gt;35,AI47+AH48-AQ47,IF(A48&lt;'Données projet'!$A$62,$AF$205^A48,IF(A48='Données projet'!$A$62,'Données projet'!$B$62,AI47+AH48-AQ47)))</f>
        <v>606</v>
      </c>
      <c r="AJ48" s="13">
        <f>AI48*VLOOKUP('Données projet'!$B$10,Paramètres!$A$1:$I$89,3,0)*VLOOKUP('Données projet'!$B$10,Paramètres!$A$1:$I$89,5,0)</f>
        <v>338.75400000000002</v>
      </c>
      <c r="AK48" s="13">
        <f t="shared" si="35"/>
        <v>79.242459951408904</v>
      </c>
      <c r="AL48" s="20">
        <f t="shared" si="4"/>
        <v>728.01050108203719</v>
      </c>
      <c r="AM48" s="59">
        <f t="shared" si="5"/>
        <v>1021.3438344153706</v>
      </c>
      <c r="AN48" s="59">
        <f ca="1">AVERAGE(OFFSET($AM$3,0,0,'Données projet'!$E$10+1,1))-AVERAGE(OFFSET($H$3,0,0,'Données projet'!$E$10+1,1))</f>
        <v>443.34220761968419</v>
      </c>
      <c r="AO48" s="59">
        <f t="shared" si="36"/>
        <v>546.58234447298014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66</v>
      </c>
      <c r="AR48" s="16">
        <f>IF(ISNA(VLOOKUP(A48,'Données projet'!$A$61:$I$81,5,0)),0%,VLOOKUP(A48,'Données projet'!$A$61:$I$81,5,0)*VLOOKUP('Données projet'!$B$10,Paramètres!$A$1:$I$89,7,0))</f>
        <v>0.55000000000000004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76.600868066121521</v>
      </c>
      <c r="AV48" s="21">
        <f>EXP(-LN(2)/25)*AV47+(1-EXP(-LN(2)/25))/(LN(2)/25)*Calculateur!AQ48*Calculateur!AS48*VLOOKUP('Données projet'!$B$10,Paramètres!$A$1:$I$89,3,0)*0.475*44/12</f>
        <v>14.473223147736823</v>
      </c>
      <c r="AW48" s="21">
        <f>EXP(-LN(2)/2)*AW47+(1-EXP(-LN(2)/2))/(LN(2)/2)*AQ48*AT48*VLOOKUP('Données projet'!$B$10,Paramètres!$A$1:$I$89,3,0)*0.475*44/12</f>
        <v>3.3376527473763587E-2</v>
      </c>
      <c r="AX48" s="21">
        <f t="shared" si="6"/>
        <v>91.107467741332101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190.00000000000003</v>
      </c>
      <c r="BE48" s="13">
        <f>BD48*VLOOKUP('Données projet'!$B$11,Paramètres!$A$1:$I$89,3,0)*VLOOKUP('Données projet'!$B$11,Paramètres!$A$1:$I$89,5,0)</f>
        <v>163.02000000000004</v>
      </c>
      <c r="BF48" s="13">
        <f t="shared" si="37"/>
        <v>41.52294175893757</v>
      </c>
      <c r="BG48" s="20">
        <f t="shared" si="7"/>
        <v>356.24562356348298</v>
      </c>
      <c r="BH48" s="59">
        <f t="shared" si="8"/>
        <v>649.57895689681629</v>
      </c>
      <c r="BI48" s="59">
        <f ca="1">AVERAGE(OFFSET($BH$3,0,0,'Données projet'!$E$11+1,1))-AVERAGE(OFFSET($H$3,0,0,'Données projet'!$E$11+1,1))</f>
        <v>447.15627913956871</v>
      </c>
      <c r="BJ48" s="59">
        <f t="shared" si="38"/>
        <v>256.77417912163997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38.37103850285628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38.37103850285628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243</v>
      </c>
      <c r="BW48" s="12">
        <f>VLOOKUP(A48,'Données projet'!$A$113:$I$133,9,0)</f>
        <v>7.6</v>
      </c>
      <c r="BX48" s="12">
        <f t="array" ref="BX48">INDEX(BW:BW,MIN(IF(ISNUMBER(BW48:BW244),ROW(BW48:BW244),"")))</f>
        <v>7.6</v>
      </c>
      <c r="BY48" s="12">
        <f>IF('Données projet'!$A$114&gt;35,BY47+BX48-CG47,IF(A48&lt;'Données projet'!$A$114,$BV$205^A48,IF(A48='Données projet'!$A$114,'Données projet'!$B$114,BY47+BX48-CG47)))</f>
        <v>243.00000000000003</v>
      </c>
      <c r="BZ48" s="13">
        <f>BY48*VLOOKUP('Données projet'!$B$12,Paramètres!$A$1:$I$89,3,0)*VLOOKUP('Données projet'!$B$12,Paramètres!$A$1:$I$89,5,0)</f>
        <v>231.23880000000003</v>
      </c>
      <c r="CA48" s="13">
        <f t="shared" si="39"/>
        <v>56.55045525673966</v>
      </c>
      <c r="CB48" s="20">
        <f t="shared" si="10"/>
        <v>501.23295290548822</v>
      </c>
      <c r="CC48" s="59">
        <f t="shared" si="11"/>
        <v>794.56628623882148</v>
      </c>
      <c r="CD48" s="59">
        <f ca="1">AVERAGE(OFFSET($CC$3,0,0,'Données projet'!$E$12+1,1))-AVERAGE(OFFSET($H$3,0,0,'Données projet'!$E$12+1,1))</f>
        <v>448.94764480536713</v>
      </c>
      <c r="CE48" s="59">
        <f t="shared" si="40"/>
        <v>469.26760321719695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30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36.622517727375552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36.622517727375552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187.80389738728508</v>
      </c>
      <c r="CZ48" s="59">
        <f t="shared" si="42"/>
        <v>439.28159165815265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91.767475334021057</v>
      </c>
      <c r="DG48" s="21">
        <f>EXP(-LN(2)/25)*DG47+(1-EXP(-LN(2)/25))/(LN(2)/25)*Calculateur!DB48*Calculateur!DD48*VLOOKUP('Données projet'!$B$13,Paramètres!$A$1:$I$89,3,0)*0.475*44/12</f>
        <v>9.4854868750891033</v>
      </c>
      <c r="DH48" s="21">
        <f>EXP(-LN(2)/2)*DH47+(1-EXP(-LN(2)/2))/(LN(2)/2)*DB48*DE48*VLOOKUP('Données projet'!$B$13,Paramètres!$A$1:$I$89,3,0)*0.475*44/12</f>
        <v>2.4838233859497515E-4</v>
      </c>
      <c r="DI48" s="22">
        <f t="shared" si="15"/>
        <v>101.25321059144876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210</v>
      </c>
      <c r="DM48" s="12">
        <f>VLOOKUP(A48,'Données projet'!$A$165:$I$185,9,0)</f>
        <v>8</v>
      </c>
      <c r="DN48" s="12">
        <f t="array" ref="DN48">INDEX(DM:DM,MIN(IF(ISNUMBER(DM48:DM244),ROW(DM48:DM244),"")))</f>
        <v>8</v>
      </c>
      <c r="DO48" s="12">
        <f>IF('Données projet'!$A$166&gt;35,DO47+DN48-DW47,IF(A48&lt;'Données projet'!$A$166,$DL$205^A48,IF(A48='Données projet'!$A$166,'Données projet'!$B$166,DO47+DN48-DW47)))</f>
        <v>210.00000000000006</v>
      </c>
      <c r="DP48" s="17">
        <f>DO48*VLOOKUP('Données projet'!$B$14,Paramètres!$A$1:$I$89,3,0)*VLOOKUP('Données projet'!$B$14,Paramètres!$A$1:$I$89,5,0)</f>
        <v>153.97200000000004</v>
      </c>
      <c r="DQ48" s="13">
        <f t="shared" si="43"/>
        <v>39.479859284656413</v>
      </c>
      <c r="DR48" s="20">
        <f t="shared" si="16"/>
        <v>336.92865492077664</v>
      </c>
      <c r="DS48" s="59">
        <f t="shared" si="17"/>
        <v>630.26198825410995</v>
      </c>
      <c r="DT48" s="59">
        <f ca="1">AVERAGE(OFFSET($DS$3,0,0,'Données projet'!$E$14+1,1))-AVERAGE(OFFSET($H$3,0,0,'Données projet'!$E$14+1,1))</f>
        <v>239.25212250019609</v>
      </c>
      <c r="DU48" s="59">
        <f t="shared" si="44"/>
        <v>213.58492101729695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469</v>
      </c>
      <c r="EH48" s="12">
        <f>VLOOKUP(A48,'Données projet'!$A$191:$I$211,9,0)</f>
        <v>21.6</v>
      </c>
      <c r="EI48" s="12">
        <f t="array" ref="EI48">INDEX(EH:EH,MIN(IF(ISNUMBER(EH48:EH244),ROW(EH48:EH244),"")))</f>
        <v>21.6</v>
      </c>
      <c r="EJ48" s="12">
        <f>IF('Données projet'!$A$192&gt;35,EJ47+EI48-ER47,IF(A48&lt;'Données projet'!$A$192,$EG$205^A48,IF(A48='Données projet'!$A$192,'Données projet'!$B$192,EJ47+EI48-ER47)))</f>
        <v>469.00000000000028</v>
      </c>
      <c r="EK48" s="17">
        <f>EJ48*VLOOKUP('Données projet'!$B$15,Paramètres!$A$1:$I$89,3,0)*VLOOKUP('Données projet'!$B$15,Paramètres!$A$1:$I$89,5,0)</f>
        <v>280.46200000000022</v>
      </c>
      <c r="EL48" s="13">
        <f t="shared" si="45"/>
        <v>67.064633392006456</v>
      </c>
      <c r="EM48" s="20">
        <f t="shared" si="19"/>
        <v>605.27555315774487</v>
      </c>
      <c r="EN48" s="59">
        <f t="shared" si="20"/>
        <v>898.60888649107824</v>
      </c>
      <c r="EO48" s="59">
        <f ca="1">AVERAGE(OFFSET($EN$3,0,0,'Données projet'!$E$15+1,1))-AVERAGE(OFFSET($H$3,0,0,'Données projet'!$E$15+1,1))</f>
        <v>504.81063008331739</v>
      </c>
      <c r="EP48" s="59">
        <f t="shared" si="46"/>
        <v>441.82647565372287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60</v>
      </c>
      <c r="ES48" s="16">
        <f>IF(ISNA(VLOOKUP(A48,'Données projet'!$A$191:$I$211,5,0)),0%,VLOOKUP(A48,'Données projet'!$A$191:$I$211,5,0)*VLOOKUP('Données projet'!$B$15,Paramètres!$A$1:$I$89,7,0))</f>
        <v>0.45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60.237164627320283</v>
      </c>
      <c r="EW48" s="21">
        <f>EXP(-LN(2)/25)*EW47+(1-EXP(-LN(2)/25))/(LN(2)/25)*Calculateur!ER48*Calculateur!ET48*VLOOKUP('Données projet'!$B$15,Paramètres!$A$1:$I$89,3,0)*0.475*44/12</f>
        <v>38.845808811623328</v>
      </c>
      <c r="EX48" s="21">
        <f>EXP(-LN(2)/2)*EX47+(1-EXP(-LN(2)/2))/(LN(2)/2)*ER48*EU48*VLOOKUP('Données projet'!$B$15,Paramètres!$A$1:$I$89,3,0)*0.475*44/12</f>
        <v>2.8927761214879091E-4</v>
      </c>
      <c r="EY48" s="22">
        <f t="shared" si="21"/>
        <v>99.083262716555765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295</v>
      </c>
      <c r="FC48" s="12">
        <f>VLOOKUP(A48,'Données projet'!$A$217:$I$237,9,0)</f>
        <v>16.8</v>
      </c>
      <c r="FD48" s="12">
        <f t="array" ref="FD48">INDEX(FC:FC,MIN(IF(ISNUMBER(FC48:FC244),ROW(FC48:FC244),"")))</f>
        <v>16.8</v>
      </c>
      <c r="FE48" s="12">
        <f>IF('Données projet'!$A$218&gt;35,FE47+FD48-FM47,IF(A48&lt;'Données projet'!$A$218,$FB$205^A48,IF(A48='Données projet'!$A$218,'Données projet'!$B$218,FE47+FD48-FM47)))</f>
        <v>294.99999999999994</v>
      </c>
      <c r="FF48" s="17">
        <f>FE48*VLOOKUP('Données projet'!$B$16,Paramètres!$A$1:$I$89,3,0)*VLOOKUP('Données projet'!$B$16,Paramètres!$A$1:$I$89,5,0)</f>
        <v>168.73999999999998</v>
      </c>
      <c r="FG48" s="13">
        <f t="shared" si="47"/>
        <v>42.807703432658492</v>
      </c>
      <c r="FH48" s="20">
        <f t="shared" si="22"/>
        <v>368.44558347854678</v>
      </c>
      <c r="FI48" s="59">
        <f t="shared" si="23"/>
        <v>661.77891681188009</v>
      </c>
      <c r="FJ48" s="59">
        <f ca="1">AVERAGE(OFFSET($FI$3,0,0,'Données projet'!$E$16+1,1))-AVERAGE(OFFSET($H$3,0,0,'Données projet'!$E$16+1,1))</f>
        <v>393.41577134252316</v>
      </c>
      <c r="FK48" s="59">
        <f t="shared" si="48"/>
        <v>255.54039659391475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42</v>
      </c>
      <c r="FN48" s="16">
        <f>IF(ISNA(VLOOKUP(A48,'Données projet'!$A$217:$I$237,5,0)),0%,VLOOKUP(A48,'Données projet'!$A$217:$I$237,5,0)*VLOOKUP('Données projet'!$B$16,Paramètres!$A$1:$I$89,7,0))</f>
        <v>0.45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39.095020361400714</v>
      </c>
      <c r="FR48" s="21">
        <f>EXP(-LN(2)/25)*FR47+(1-EXP(-LN(2)/25))/(LN(2)/25)*Calculateur!FM48*Calculateur!FO48*VLOOKUP('Données projet'!$B$16,Paramètres!$A$1:$I$89,3,0)*0.475*44/12</f>
        <v>17.628862323903927</v>
      </c>
      <c r="FS48" s="21">
        <f>EXP(-LN(2)/2)*FS47+(1-EXP(-LN(2)/2))/(LN(2)/2)*FM48*FP48*VLOOKUP('Données projet'!$B$16,Paramètres!$A$1:$I$89,3,0)*0.475*44/12</f>
        <v>2.012468666672331E-3</v>
      </c>
      <c r="FT48" s="22">
        <f t="shared" si="24"/>
        <v>56.725895153971315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596</v>
      </c>
      <c r="FX48" s="12">
        <f>VLOOKUP(A48,'Données projet'!$A$243:$I$263,9,0)</f>
        <v>28</v>
      </c>
      <c r="FY48" s="12">
        <f t="array" ref="FY48">INDEX(FX:FX,MIN(IF(ISNUMBER(FX48:FX244),ROW(FX48:FX244),"")))</f>
        <v>28</v>
      </c>
      <c r="FZ48" s="12">
        <f>IF('Données projet'!$A$244&gt;35,FZ47+FY48-GH47,IF(A48&lt;'Données projet'!$A$244,$FW$205^A48,IF(A48='Données projet'!$A$244,'Données projet'!$B$244,FZ47+FY48-GH47)))</f>
        <v>596</v>
      </c>
      <c r="GA48" s="17">
        <f>FZ48*VLOOKUP('Données projet'!$B$17,Paramètres!$A$1:$I$89,3,0)*VLOOKUP('Données projet'!$B$17,Paramètres!$A$1:$I$89,5,0)</f>
        <v>278.928</v>
      </c>
      <c r="GB48" s="13">
        <f t="shared" si="49"/>
        <v>66.740413913415367</v>
      </c>
      <c r="GC48" s="20">
        <f t="shared" si="25"/>
        <v>602.0391542325317</v>
      </c>
      <c r="GD48" s="59">
        <f t="shared" si="26"/>
        <v>895.37248756586496</v>
      </c>
      <c r="GE48" s="59">
        <f ca="1">AVERAGE(OFFSET($GD$3,0,0,'Données projet'!$E$17+1,1))-AVERAGE(OFFSET($H$3,0,0,'Données projet'!$E$17+1,1))</f>
        <v>488.67934252295686</v>
      </c>
      <c r="GF48" s="59">
        <f t="shared" si="50"/>
        <v>424.50324471331095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77</v>
      </c>
      <c r="GI48" s="16">
        <f>IF(ISNA(VLOOKUP(A48,'Données projet'!$A$243:$I$263,5,0)),0%,VLOOKUP(A48,'Données projet'!$A$243:$I$263,5,0)*VLOOKUP('Données projet'!$B$17,Paramètres!$A$1:$I$89,7,0))</f>
        <v>0.55000000000000004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71.674203995901337</v>
      </c>
      <c r="GM48" s="21">
        <f>EXP(-LN(2)/25)*GM47+(1-EXP(-LN(2)/25))/(LN(2)/25)*Calculateur!GH48*Calculateur!GJ48*VLOOKUP('Données projet'!$B$17,Paramètres!$A$1:$I$89,3,0)*0.475*44/12</f>
        <v>32.319580927157212</v>
      </c>
      <c r="GN48" s="21">
        <f>EXP(-LN(2)/2)*GN47+(1-EXP(-LN(2)/2))/(LN(2)/2)*GH48*GK48*VLOOKUP('Données projet'!$B$17,Paramètres!$A$1:$I$89,3,0)*0.475*44/12</f>
        <v>4.4823165757701903E-3</v>
      </c>
      <c r="GO48" s="21">
        <f t="shared" si="27"/>
        <v>103.99826723963432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540</v>
      </c>
      <c r="GS48" s="12">
        <f>VLOOKUP(A48,'Données projet'!$A$269:$I$289,9,0)</f>
        <v>26</v>
      </c>
      <c r="GT48" s="12">
        <f t="array" ref="GT48">INDEX(GS:GS,MIN(IF(ISNUMBER(GS48:GS244),ROW(GS48:GS244),"")))</f>
        <v>26</v>
      </c>
      <c r="GU48" s="12">
        <f>IF('Données projet'!$A$270&gt;35,GU47+GT48-HC47,IF(A48&lt;'Données projet'!$A$270,$GR$205^A48,IF(A48='Données projet'!$A$270,'Données projet'!$B$270,GU47+GT48-HC47)))</f>
        <v>540</v>
      </c>
      <c r="GV48" s="17">
        <f>GU48*VLOOKUP('Données projet'!$B$18,Paramètres!$A$1:$I$89,3,0)*VLOOKUP('Données projet'!$B$18,Paramètres!$A$1:$I$89,5,0)</f>
        <v>259.74</v>
      </c>
      <c r="GW48" s="13">
        <f t="shared" si="51"/>
        <v>62.666953236268725</v>
      </c>
      <c r="GX48" s="20">
        <f t="shared" si="28"/>
        <v>561.52544355316797</v>
      </c>
      <c r="GY48" s="59">
        <f t="shared" si="29"/>
        <v>854.85877688650135</v>
      </c>
      <c r="GZ48" s="59">
        <f ca="1">AVERAGE(OFFSET($GY$3,0,0,'Données projet'!$E$18+1,1))-AVERAGE(OFFSET($H$3,0,0,'Données projet'!$E$18+1,1))</f>
        <v>458.80976193248841</v>
      </c>
      <c r="HA48" s="59">
        <f t="shared" si="52"/>
        <v>396.07405370178759</v>
      </c>
      <c r="HB48" s="15">
        <f>IF(ISNA(VLOOKUP(A48,'Données projet'!$A$269:$I$289,3,0)),0,VLOOKUP(A48,'Données projet'!$A$269:$I$289,3,0))</f>
        <v>6</v>
      </c>
      <c r="HC48" s="15">
        <f>IF(ISNA(VLOOKUP(A48,'Données projet'!$A$269:$I$289,4,0)),0,VLOOKUP(A48,'Données projet'!$A$269:$I$289,4,0))</f>
        <v>70</v>
      </c>
      <c r="HD48" s="16">
        <f>IF(ISNA(VLOOKUP(A48,'Données projet'!$A$269:$I$289,5,0)),0%,VLOOKUP(A48,'Données projet'!$A$269:$I$289,5,0)*VLOOKUP('Données projet'!$B$18,Paramètres!$A$1:$I$89,7,0))</f>
        <v>0.55000000000000004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66.968321915362381</v>
      </c>
      <c r="HH48" s="21">
        <f>EXP(-LN(2)/25)*HH47+(1-EXP(-LN(2)/25))/(LN(2)/25)*Calculateur!HC48*Calculateur!HE48*VLOOKUP('Données projet'!$B$18,Paramètres!$A$1:$I$89,3,0)*0.475*44/12</f>
        <v>30.197588240020632</v>
      </c>
      <c r="HI48" s="21">
        <f>EXP(-LN(2)/2)*HI47+(1-EXP(-LN(2)/2))/(LN(2)/2)*HC48*HF48*VLOOKUP('Données projet'!$B$18,Paramètres!$A$1:$I$89,3,0)*0.475*44/12</f>
        <v>2.0683705740798973E-3</v>
      </c>
      <c r="HJ48" s="22">
        <f t="shared" si="30"/>
        <v>97.167978525957096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364.3481978218424</v>
      </c>
      <c r="T49" s="59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24.139143131100369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24.139143131100369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17.8</v>
      </c>
      <c r="AI49" s="13">
        <f>IF('Données projet'!$A$62&gt;35,AI48+AH49-AQ48,IF(A49&lt;'Données projet'!$A$62,$AF$205^A49,IF(A49='Données projet'!$A$62,'Données projet'!$B$62,AI48+AH49-AQ48)))</f>
        <v>557.79999999999995</v>
      </c>
      <c r="AJ49" s="13">
        <f>AI49*VLOOKUP('Données projet'!$B$10,Paramètres!$A$1:$I$89,3,0)*VLOOKUP('Données projet'!$B$10,Paramètres!$A$1:$I$89,5,0)</f>
        <v>311.81020000000001</v>
      </c>
      <c r="AK49" s="13">
        <f t="shared" si="35"/>
        <v>73.646743780370684</v>
      </c>
      <c r="AL49" s="20">
        <f t="shared" si="4"/>
        <v>671.33751041747894</v>
      </c>
      <c r="AM49" s="59">
        <f t="shared" si="5"/>
        <v>964.67084375081231</v>
      </c>
      <c r="AN49" s="59">
        <f ca="1">AVERAGE(OFFSET($AM$3,0,0,'Données projet'!$E$10+1,1))-AVERAGE(OFFSET($H$3,0,0,'Données projet'!$E$10+1,1))</f>
        <v>443.34220761968419</v>
      </c>
      <c r="AO49" s="59">
        <f t="shared" si="36"/>
        <v>546.58234447298014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75.098771765260992</v>
      </c>
      <c r="AV49" s="21">
        <f>EXP(-LN(2)/25)*AV48+(1-EXP(-LN(2)/25))/(LN(2)/25)*Calculateur!AQ49*Calculateur!AS49*VLOOKUP('Données projet'!$B$10,Paramètres!$A$1:$I$89,3,0)*0.475*44/12</f>
        <v>14.077452099648234</v>
      </c>
      <c r="AW49" s="21">
        <f>EXP(-LN(2)/2)*AW48+(1-EXP(-LN(2)/2))/(LN(2)/2)*AQ49*AT49*VLOOKUP('Données projet'!$B$10,Paramètres!$A$1:$I$89,3,0)*0.475*44/12</f>
        <v>2.3600768909157341E-2</v>
      </c>
      <c r="AX49" s="21">
        <f t="shared" si="6"/>
        <v>89.19982463381838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173.00000000000003</v>
      </c>
      <c r="BE49" s="13">
        <f>BD49*VLOOKUP('Données projet'!$B$11,Paramètres!$A$1:$I$89,3,0)*VLOOKUP('Données projet'!$B$11,Paramètres!$A$1:$I$89,5,0)</f>
        <v>148.43400000000003</v>
      </c>
      <c r="BF49" s="13">
        <f t="shared" si="37"/>
        <v>38.222489421716382</v>
      </c>
      <c r="BG49" s="20">
        <f t="shared" si="7"/>
        <v>325.0933857428227</v>
      </c>
      <c r="BH49" s="59">
        <f t="shared" si="8"/>
        <v>618.42671907615602</v>
      </c>
      <c r="BI49" s="59">
        <f ca="1">AVERAGE(OFFSET($BH$3,0,0,'Données projet'!$E$11+1,1))-AVERAGE(OFFSET($H$3,0,0,'Données projet'!$E$11+1,1))</f>
        <v>447.15627913956871</v>
      </c>
      <c r="BJ49" s="59">
        <f t="shared" si="38"/>
        <v>256.77417912163997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37.618605841837798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37.618605841837798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220.20000000000002</v>
      </c>
      <c r="BZ49" s="13">
        <f>BY49*VLOOKUP('Données projet'!$B$12,Paramètres!$A$1:$I$89,3,0)*VLOOKUP('Données projet'!$B$12,Paramètres!$A$1:$I$89,5,0)</f>
        <v>209.54232000000002</v>
      </c>
      <c r="CA49" s="13">
        <f t="shared" si="39"/>
        <v>51.835558406813547</v>
      </c>
      <c r="CB49" s="20">
        <f t="shared" si="10"/>
        <v>455.23313822520032</v>
      </c>
      <c r="CC49" s="59">
        <f t="shared" si="11"/>
        <v>748.56647155853364</v>
      </c>
      <c r="CD49" s="59">
        <f ca="1">AVERAGE(OFFSET($CC$3,0,0,'Données projet'!$E$12+1,1))-AVERAGE(OFFSET($H$3,0,0,'Données projet'!$E$12+1,1))</f>
        <v>448.94764480536713</v>
      </c>
      <c r="CE49" s="59">
        <f t="shared" si="40"/>
        <v>469.26760321719695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35.904372492271882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35.904372492271882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187.80389738728508</v>
      </c>
      <c r="CZ49" s="59">
        <f t="shared" si="42"/>
        <v>439.28159165815265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89.967971115354018</v>
      </c>
      <c r="DG49" s="21">
        <f>EXP(-LN(2)/25)*DG48+(1-EXP(-LN(2)/25))/(LN(2)/25)*Calculateur!DB49*Calculateur!DD49*VLOOKUP('Données projet'!$B$13,Paramètres!$A$1:$I$89,3,0)*0.475*44/12</f>
        <v>9.226105737669716</v>
      </c>
      <c r="DH49" s="21">
        <f>EXP(-LN(2)/2)*DH48+(1-EXP(-LN(2)/2))/(LN(2)/2)*DB49*DE49*VLOOKUP('Données projet'!$B$13,Paramètres!$A$1:$I$89,3,0)*0.475*44/12</f>
        <v>1.7563283594748005E-4</v>
      </c>
      <c r="DI49" s="22">
        <f t="shared" si="15"/>
        <v>99.194252485859678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</v>
      </c>
      <c r="DO49" s="12">
        <f>IF('Données projet'!$A$166&gt;35,DO48+DN49-DW48,IF(A49&lt;'Données projet'!$A$166,$DL$205^A49,IF(A49='Données projet'!$A$166,'Données projet'!$B$166,DO48+DN49-DW48)))</f>
        <v>219.00000000000006</v>
      </c>
      <c r="DP49" s="17">
        <f>DO49*VLOOKUP('Données projet'!$B$14,Paramètres!$A$1:$I$89,3,0)*VLOOKUP('Données projet'!$B$14,Paramètres!$A$1:$I$89,5,0)</f>
        <v>160.57080000000005</v>
      </c>
      <c r="DQ49" s="13">
        <f t="shared" si="43"/>
        <v>40.971234244168215</v>
      </c>
      <c r="DR49" s="20">
        <f t="shared" si="16"/>
        <v>351.01904297525971</v>
      </c>
      <c r="DS49" s="59">
        <f t="shared" si="17"/>
        <v>644.35237630859297</v>
      </c>
      <c r="DT49" s="59">
        <f ca="1">AVERAGE(OFFSET($DS$3,0,0,'Données projet'!$E$14+1,1))-AVERAGE(OFFSET($H$3,0,0,'Données projet'!$E$14+1,1))</f>
        <v>239.25212250019609</v>
      </c>
      <c r="DU49" s="59">
        <f t="shared" si="44"/>
        <v>213.58492101729695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20</v>
      </c>
      <c r="EJ49" s="12">
        <f>IF('Données projet'!$A$192&gt;35,EJ48+EI49-ER48,IF(A49&lt;'Données projet'!$A$192,$EG$205^A49,IF(A49='Données projet'!$A$192,'Données projet'!$B$192,EJ48+EI49-ER48)))</f>
        <v>429.00000000000028</v>
      </c>
      <c r="EK49" s="17">
        <f>EJ49*VLOOKUP('Données projet'!$B$15,Paramètres!$A$1:$I$89,3,0)*VLOOKUP('Données projet'!$B$15,Paramètres!$A$1:$I$89,5,0)</f>
        <v>256.5420000000002</v>
      </c>
      <c r="EL49" s="13">
        <f t="shared" si="45"/>
        <v>61.984698688972557</v>
      </c>
      <c r="EM49" s="20">
        <f t="shared" si="19"/>
        <v>554.76733354996088</v>
      </c>
      <c r="EN49" s="59">
        <f t="shared" si="20"/>
        <v>848.10066688329425</v>
      </c>
      <c r="EO49" s="59">
        <f ca="1">AVERAGE(OFFSET($EN$3,0,0,'Données projet'!$E$15+1,1))-AVERAGE(OFFSET($H$3,0,0,'Données projet'!$E$15+1,1))</f>
        <v>504.81063008331739</v>
      </c>
      <c r="EP49" s="59">
        <f t="shared" si="46"/>
        <v>441.82647565372287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59.055950570021075</v>
      </c>
      <c r="EW49" s="21">
        <f>EXP(-LN(2)/25)*EW48+(1-EXP(-LN(2)/25))/(LN(2)/25)*Calculateur!ER49*Calculateur!ET49*VLOOKUP('Données projet'!$B$15,Paramètres!$A$1:$I$89,3,0)*0.475*44/12</f>
        <v>37.783568126857183</v>
      </c>
      <c r="EX49" s="21">
        <f>EXP(-LN(2)/2)*EX48+(1-EXP(-LN(2)/2))/(LN(2)/2)*ER49*EU49*VLOOKUP('Données projet'!$B$15,Paramètres!$A$1:$I$89,3,0)*0.475*44/12</f>
        <v>2.0455016119586206E-4</v>
      </c>
      <c r="EY49" s="22">
        <f t="shared" si="21"/>
        <v>96.839723247039458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16.2</v>
      </c>
      <c r="FE49" s="12">
        <f>IF('Données projet'!$A$218&gt;35,FE48+FD49-FM48,IF(A49&lt;'Données projet'!$A$218,$FB$205^A49,IF(A49='Données projet'!$A$218,'Données projet'!$B$218,FE48+FD49-FM48)))</f>
        <v>269.19999999999993</v>
      </c>
      <c r="FF49" s="17">
        <f>FE49*VLOOKUP('Données projet'!$B$16,Paramètres!$A$1:$I$89,3,0)*VLOOKUP('Données projet'!$B$16,Paramètres!$A$1:$I$89,5,0)</f>
        <v>153.98239999999996</v>
      </c>
      <c r="FG49" s="13">
        <f t="shared" si="47"/>
        <v>39.482215533662355</v>
      </c>
      <c r="FH49" s="20">
        <f t="shared" si="22"/>
        <v>336.95087205446185</v>
      </c>
      <c r="FI49" s="59">
        <f t="shared" si="23"/>
        <v>630.28420538779517</v>
      </c>
      <c r="FJ49" s="59">
        <f ca="1">AVERAGE(OFFSET($FI$3,0,0,'Données projet'!$E$16+1,1))-AVERAGE(OFFSET($H$3,0,0,'Données projet'!$E$16+1,1))</f>
        <v>393.41577134252316</v>
      </c>
      <c r="FK49" s="59">
        <f t="shared" si="48"/>
        <v>255.54039659391475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38.328390857721509</v>
      </c>
      <c r="FR49" s="21">
        <f>EXP(-LN(2)/25)*FR48+(1-EXP(-LN(2)/25))/(LN(2)/25)*Calculateur!FM49*Calculateur!FO49*VLOOKUP('Données projet'!$B$16,Paramètres!$A$1:$I$89,3,0)*0.475*44/12</f>
        <v>17.146800156595198</v>
      </c>
      <c r="FS49" s="21">
        <f>EXP(-LN(2)/2)*FS48+(1-EXP(-LN(2)/2))/(LN(2)/2)*FM49*FP49*VLOOKUP('Données projet'!$B$16,Paramètres!$A$1:$I$89,3,0)*0.475*44/12</f>
        <v>1.423030241129455E-3</v>
      </c>
      <c r="FT49" s="22">
        <f t="shared" si="24"/>
        <v>55.476614044557834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26.4</v>
      </c>
      <c r="FZ49" s="12">
        <f>IF('Données projet'!$A$244&gt;35,FZ48+FY49-GH48,IF(A49&lt;'Données projet'!$A$244,$FW$205^A49,IF(A49='Données projet'!$A$244,'Données projet'!$B$244,FZ48+FY49-GH48)))</f>
        <v>545.4</v>
      </c>
      <c r="GA49" s="17">
        <f>FZ49*VLOOKUP('Données projet'!$B$17,Paramètres!$A$1:$I$89,3,0)*VLOOKUP('Données projet'!$B$17,Paramètres!$A$1:$I$89,5,0)</f>
        <v>255.24719999999999</v>
      </c>
      <c r="GB49" s="13">
        <f t="shared" si="49"/>
        <v>61.708187819081218</v>
      </c>
      <c r="GC49" s="20">
        <f t="shared" si="25"/>
        <v>552.03063378489981</v>
      </c>
      <c r="GD49" s="59">
        <f t="shared" si="26"/>
        <v>845.36396711823318</v>
      </c>
      <c r="GE49" s="59">
        <f ca="1">AVERAGE(OFFSET($GD$3,0,0,'Données projet'!$E$17+1,1))-AVERAGE(OFFSET($H$3,0,0,'Données projet'!$E$17+1,1))</f>
        <v>488.67934252295686</v>
      </c>
      <c r="GF49" s="59">
        <f t="shared" si="50"/>
        <v>424.50324471331095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70.268716572489453</v>
      </c>
      <c r="GM49" s="21">
        <f>EXP(-LN(2)/25)*GM48+(1-EXP(-LN(2)/25))/(LN(2)/25)*Calculateur!GH49*Calculateur!GJ49*VLOOKUP('Données projet'!$B$17,Paramètres!$A$1:$I$89,3,0)*0.475*44/12</f>
        <v>31.435800287091205</v>
      </c>
      <c r="GN49" s="21">
        <f>EXP(-LN(2)/2)*GN48+(1-EXP(-LN(2)/2))/(LN(2)/2)*GH49*GK49*VLOOKUP('Données projet'!$B$17,Paramètres!$A$1:$I$89,3,0)*0.475*44/12</f>
        <v>3.169476446151967E-3</v>
      </c>
      <c r="GO49" s="21">
        <f t="shared" si="27"/>
        <v>101.7076863360268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24.6</v>
      </c>
      <c r="GU49" s="12">
        <f>IF('Données projet'!$A$270&gt;35,GU48+GT49-HC48,IF(A49&lt;'Données projet'!$A$270,$GR$205^A49,IF(A49='Données projet'!$A$270,'Données projet'!$B$270,GU48+GT49-HC48)))</f>
        <v>494.6</v>
      </c>
      <c r="GV49" s="17">
        <f>GU49*VLOOKUP('Données projet'!$B$18,Paramètres!$A$1:$I$89,3,0)*VLOOKUP('Données projet'!$B$18,Paramètres!$A$1:$I$89,5,0)</f>
        <v>237.90260000000001</v>
      </c>
      <c r="GW49" s="13">
        <f t="shared" si="51"/>
        <v>57.988034382448568</v>
      </c>
      <c r="GX49" s="20">
        <f t="shared" si="28"/>
        <v>515.34285488276453</v>
      </c>
      <c r="GY49" s="59">
        <f t="shared" si="29"/>
        <v>808.6761882160979</v>
      </c>
      <c r="GZ49" s="59">
        <f ca="1">AVERAGE(OFFSET($GY$3,0,0,'Données projet'!$E$18+1,1))-AVERAGE(OFFSET($H$3,0,0,'Données projet'!$E$18+1,1))</f>
        <v>458.80976193248841</v>
      </c>
      <c r="HA49" s="59">
        <f t="shared" si="52"/>
        <v>396.07405370178759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65.655113969245221</v>
      </c>
      <c r="HH49" s="21">
        <f>EXP(-LN(2)/25)*HH48+(1-EXP(-LN(2)/25))/(LN(2)/25)*Calculateur!HC49*Calculateur!HE49*VLOOKUP('Données projet'!$B$18,Paramètres!$A$1:$I$89,3,0)*0.475*44/12</f>
        <v>29.371833601575119</v>
      </c>
      <c r="HI49" s="21">
        <f>EXP(-LN(2)/2)*HI48+(1-EXP(-LN(2)/2))/(LN(2)/2)*HC49*HF49*VLOOKUP('Données projet'!$B$18,Paramètres!$A$1:$I$89,3,0)*0.475*44/12</f>
        <v>1.4625588589386076E-3</v>
      </c>
      <c r="HJ49" s="22">
        <f t="shared" si="30"/>
        <v>95.028410129679273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597.80704287706749</v>
      </c>
      <c r="S50" s="59">
        <f ca="1">AVERAGE(OFFSET($R$3,0,0,'Données projet'!$E$9+1,1))-AVERAGE(OFFSET($H$3,0,0,'Données projet'!$E$9+1,1))</f>
        <v>364.3481978218424</v>
      </c>
      <c r="T50" s="59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23.665789257722984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23.665789257722984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17.8</v>
      </c>
      <c r="AI50" s="13">
        <f>IF('Données projet'!$A$62&gt;35,AI49+AH50-AQ49,IF(A50&lt;'Données projet'!$A$62,$AF$205^A50,IF(A50='Données projet'!$A$62,'Données projet'!$B$62,AI49+AH50-AQ49)))</f>
        <v>575.59999999999991</v>
      </c>
      <c r="AJ50" s="13">
        <f>AI50*VLOOKUP('Données projet'!$B$10,Paramètres!$A$1:$I$89,3,0)*VLOOKUP('Données projet'!$B$10,Paramètres!$A$1:$I$89,5,0)</f>
        <v>321.76039999999995</v>
      </c>
      <c r="AK50" s="13">
        <f t="shared" si="35"/>
        <v>75.719522083505169</v>
      </c>
      <c r="AL50" s="20">
        <f t="shared" si="4"/>
        <v>692.27753096210472</v>
      </c>
      <c r="AM50" s="59">
        <f t="shared" si="5"/>
        <v>985.61086429543798</v>
      </c>
      <c r="AN50" s="59">
        <f ca="1">AVERAGE(OFFSET($AM$3,0,0,'Données projet'!$E$10+1,1))-AVERAGE(OFFSET($H$3,0,0,'Données projet'!$E$10+1,1))</f>
        <v>443.34220761968419</v>
      </c>
      <c r="AO50" s="59">
        <f t="shared" si="36"/>
        <v>546.58234447298014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73.626130656672061</v>
      </c>
      <c r="AV50" s="21">
        <f>EXP(-LN(2)/25)*AV49+(1-EXP(-LN(2)/25))/(LN(2)/25)*Calculateur!AQ50*Calculateur!AS50*VLOOKUP('Données projet'!$B$10,Paramètres!$A$1:$I$89,3,0)*0.475*44/12</f>
        <v>13.692503431682322</v>
      </c>
      <c r="AW50" s="21">
        <f>EXP(-LN(2)/2)*AW49+(1-EXP(-LN(2)/2))/(LN(2)/2)*AQ50*AT50*VLOOKUP('Données projet'!$B$10,Paramètres!$A$1:$I$89,3,0)*0.475*44/12</f>
        <v>1.6688263736881793E-2</v>
      </c>
      <c r="AX50" s="21">
        <f t="shared" si="6"/>
        <v>87.335322352091268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184.00000000000003</v>
      </c>
      <c r="BE50" s="13">
        <f>BD50*VLOOKUP('Données projet'!$B$11,Paramètres!$A$1:$I$89,3,0)*VLOOKUP('Données projet'!$B$11,Paramètres!$A$1:$I$89,5,0)</f>
        <v>157.87200000000004</v>
      </c>
      <c r="BF50" s="13">
        <f t="shared" si="37"/>
        <v>40.362165684361159</v>
      </c>
      <c r="BG50" s="20">
        <f t="shared" si="7"/>
        <v>345.25783856692902</v>
      </c>
      <c r="BH50" s="59">
        <f t="shared" si="8"/>
        <v>638.59117190026234</v>
      </c>
      <c r="BI50" s="59">
        <f ca="1">AVERAGE(OFFSET($BH$3,0,0,'Données projet'!$E$11+1,1))-AVERAGE(OFFSET($H$3,0,0,'Données projet'!$E$11+1,1))</f>
        <v>447.15627913956871</v>
      </c>
      <c r="BJ50" s="59">
        <f t="shared" si="38"/>
        <v>256.77417912163997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36.880927926363285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36.880927926363285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227.4</v>
      </c>
      <c r="BZ50" s="13">
        <f>BY50*VLOOKUP('Données projet'!$B$12,Paramètres!$A$1:$I$89,3,0)*VLOOKUP('Données projet'!$B$12,Paramètres!$A$1:$I$89,5,0)</f>
        <v>216.39384000000001</v>
      </c>
      <c r="CA50" s="13">
        <f t="shared" si="39"/>
        <v>53.330352339128915</v>
      </c>
      <c r="CB50" s="20">
        <f t="shared" si="10"/>
        <v>469.76963499064959</v>
      </c>
      <c r="CC50" s="59">
        <f t="shared" si="11"/>
        <v>763.10296832398285</v>
      </c>
      <c r="CD50" s="59">
        <f ca="1">AVERAGE(OFFSET($CC$3,0,0,'Données projet'!$E$12+1,1))-AVERAGE(OFFSET($H$3,0,0,'Données projet'!$E$12+1,1))</f>
        <v>448.94764480536713</v>
      </c>
      <c r="CE50" s="59">
        <f t="shared" si="40"/>
        <v>469.26760321719695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35.200309647203255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35.200309647203255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187.80389738728508</v>
      </c>
      <c r="CZ50" s="59">
        <f t="shared" si="42"/>
        <v>439.28159165815265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88.203754076825845</v>
      </c>
      <c r="DG50" s="21">
        <f>EXP(-LN(2)/25)*DG49+(1-EXP(-LN(2)/25))/(LN(2)/25)*Calculateur!DB50*Calculateur!DD50*VLOOKUP('Données projet'!$B$13,Paramètres!$A$1:$I$89,3,0)*0.475*44/12</f>
        <v>8.9738173910933234</v>
      </c>
      <c r="DH50" s="21">
        <f>EXP(-LN(2)/2)*DH49+(1-EXP(-LN(2)/2))/(LN(2)/2)*DB50*DE50*VLOOKUP('Données projet'!$B$13,Paramètres!$A$1:$I$89,3,0)*0.475*44/12</f>
        <v>1.2419116929748757E-4</v>
      </c>
      <c r="DI50" s="22">
        <f t="shared" si="15"/>
        <v>97.177695659088457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</v>
      </c>
      <c r="DO50" s="12">
        <f>IF('Données projet'!$A$166&gt;35,DO49+DN50-DW49,IF(A50&lt;'Données projet'!$A$166,$DL$205^A50,IF(A50='Données projet'!$A$166,'Données projet'!$B$166,DO49+DN50-DW49)))</f>
        <v>228.00000000000006</v>
      </c>
      <c r="DP50" s="17">
        <f>DO50*VLOOKUP('Données projet'!$B$14,Paramètres!$A$1:$I$89,3,0)*VLOOKUP('Données projet'!$B$14,Paramètres!$A$1:$I$89,5,0)</f>
        <v>167.16960000000003</v>
      </c>
      <c r="DQ50" s="13">
        <f t="shared" si="43"/>
        <v>42.455490039298851</v>
      </c>
      <c r="DR50" s="20">
        <f t="shared" si="16"/>
        <v>365.09703181844549</v>
      </c>
      <c r="DS50" s="59">
        <f t="shared" si="17"/>
        <v>658.4303651517788</v>
      </c>
      <c r="DT50" s="59">
        <f ca="1">AVERAGE(OFFSET($DS$3,0,0,'Données projet'!$E$14+1,1))-AVERAGE(OFFSET($H$3,0,0,'Données projet'!$E$14+1,1))</f>
        <v>239.25212250019609</v>
      </c>
      <c r="DU50" s="59">
        <f t="shared" si="44"/>
        <v>213.58492101729695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20</v>
      </c>
      <c r="EJ50" s="12">
        <f>IF('Données projet'!$A$192&gt;35,EJ49+EI50-ER49,IF(A50&lt;'Données projet'!$A$192,$EG$205^A50,IF(A50='Données projet'!$A$192,'Données projet'!$B$192,EJ49+EI50-ER49)))</f>
        <v>449.00000000000028</v>
      </c>
      <c r="EK50" s="17">
        <f>EJ50*VLOOKUP('Données projet'!$B$15,Paramètres!$A$1:$I$89,3,0)*VLOOKUP('Données projet'!$B$15,Paramètres!$A$1:$I$89,5,0)</f>
        <v>268.50200000000018</v>
      </c>
      <c r="EL50" s="13">
        <f t="shared" si="45"/>
        <v>64.531253013339224</v>
      </c>
      <c r="EM50" s="20">
        <f t="shared" si="19"/>
        <v>580.03291566489941</v>
      </c>
      <c r="EN50" s="59">
        <f t="shared" si="20"/>
        <v>873.36624899823278</v>
      </c>
      <c r="EO50" s="59">
        <f ca="1">AVERAGE(OFFSET($EN$3,0,0,'Données projet'!$E$15+1,1))-AVERAGE(OFFSET($H$3,0,0,'Données projet'!$E$15+1,1))</f>
        <v>504.81063008331739</v>
      </c>
      <c r="EP50" s="59">
        <f t="shared" si="46"/>
        <v>441.82647565372287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57.897899399916071</v>
      </c>
      <c r="EW50" s="21">
        <f>EXP(-LN(2)/25)*EW49+(1-EXP(-LN(2)/25))/(LN(2)/25)*Calculateur!ER50*Calculateur!ET50*VLOOKUP('Données projet'!$B$15,Paramètres!$A$1:$I$89,3,0)*0.475*44/12</f>
        <v>36.750374469476782</v>
      </c>
      <c r="EX50" s="21">
        <f>EXP(-LN(2)/2)*EX49+(1-EXP(-LN(2)/2))/(LN(2)/2)*ER50*EU50*VLOOKUP('Données projet'!$B$15,Paramètres!$A$1:$I$89,3,0)*0.475*44/12</f>
        <v>1.4463880607439546E-4</v>
      </c>
      <c r="EY50" s="22">
        <f t="shared" si="21"/>
        <v>94.64841850819893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16.2</v>
      </c>
      <c r="FE50" s="12">
        <f>IF('Données projet'!$A$218&gt;35,FE49+FD50-FM49,IF(A50&lt;'Données projet'!$A$218,$FB$205^A50,IF(A50='Données projet'!$A$218,'Données projet'!$B$218,FE49+FD50-FM49)))</f>
        <v>285.39999999999992</v>
      </c>
      <c r="FF50" s="17">
        <f>FE50*VLOOKUP('Données projet'!$B$16,Paramètres!$A$1:$I$89,3,0)*VLOOKUP('Données projet'!$B$16,Paramètres!$A$1:$I$89,5,0)</f>
        <v>163.24879999999996</v>
      </c>
      <c r="FG50" s="13">
        <f t="shared" si="47"/>
        <v>41.574431830425986</v>
      </c>
      <c r="FH50" s="20">
        <f t="shared" si="22"/>
        <v>356.73379543799183</v>
      </c>
      <c r="FI50" s="59">
        <f t="shared" si="23"/>
        <v>650.06712877132509</v>
      </c>
      <c r="FJ50" s="59">
        <f ca="1">AVERAGE(OFFSET($FI$3,0,0,'Données projet'!$E$16+1,1))-AVERAGE(OFFSET($H$3,0,0,'Données projet'!$E$16+1,1))</f>
        <v>393.41577134252316</v>
      </c>
      <c r="FK50" s="59">
        <f t="shared" si="48"/>
        <v>255.54039659391475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37.576794491011626</v>
      </c>
      <c r="FR50" s="21">
        <f>EXP(-LN(2)/25)*FR49+(1-EXP(-LN(2)/25))/(LN(2)/25)*Calculateur!FM50*Calculateur!FO50*VLOOKUP('Données projet'!$B$16,Paramètres!$A$1:$I$89,3,0)*0.475*44/12</f>
        <v>16.677920004602072</v>
      </c>
      <c r="FS50" s="21">
        <f>EXP(-LN(2)/2)*FS49+(1-EXP(-LN(2)/2))/(LN(2)/2)*FM50*FP50*VLOOKUP('Données projet'!$B$16,Paramètres!$A$1:$I$89,3,0)*0.475*44/12</f>
        <v>1.0062343333361655E-3</v>
      </c>
      <c r="FT50" s="22">
        <f t="shared" si="24"/>
        <v>54.255720729947036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26.4</v>
      </c>
      <c r="FZ50" s="12">
        <f>IF('Données projet'!$A$244&gt;35,FZ49+FY50-GH49,IF(A50&lt;'Données projet'!$A$244,$FW$205^A50,IF(A50='Données projet'!$A$244,'Données projet'!$B$244,FZ49+FY50-GH49)))</f>
        <v>571.79999999999995</v>
      </c>
      <c r="GA50" s="17">
        <f>FZ50*VLOOKUP('Données projet'!$B$17,Paramètres!$A$1:$I$89,3,0)*VLOOKUP('Données projet'!$B$17,Paramètres!$A$1:$I$89,5,0)</f>
        <v>267.60239999999999</v>
      </c>
      <c r="GB50" s="13">
        <f t="shared" si="49"/>
        <v>64.340174211244943</v>
      </c>
      <c r="GC50" s="20">
        <f t="shared" si="25"/>
        <v>578.13331675125153</v>
      </c>
      <c r="GD50" s="59">
        <f t="shared" si="26"/>
        <v>871.4666500845849</v>
      </c>
      <c r="GE50" s="59">
        <f ca="1">AVERAGE(OFFSET($GD$3,0,0,'Données projet'!$E$17+1,1))-AVERAGE(OFFSET($H$3,0,0,'Données projet'!$E$17+1,1))</f>
        <v>488.67934252295686</v>
      </c>
      <c r="GF50" s="59">
        <f t="shared" si="50"/>
        <v>424.50324471331095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68.890789900187997</v>
      </c>
      <c r="GM50" s="21">
        <f>EXP(-LN(2)/25)*GM49+(1-EXP(-LN(2)/25))/(LN(2)/25)*Calculateur!GH50*Calculateur!GJ50*VLOOKUP('Données projet'!$B$17,Paramètres!$A$1:$I$89,3,0)*0.475*44/12</f>
        <v>30.576186675103806</v>
      </c>
      <c r="GN50" s="21">
        <f>EXP(-LN(2)/2)*GN49+(1-EXP(-LN(2)/2))/(LN(2)/2)*GH50*GK50*VLOOKUP('Données projet'!$B$17,Paramètres!$A$1:$I$89,3,0)*0.475*44/12</f>
        <v>2.2411582878850951E-3</v>
      </c>
      <c r="GO50" s="21">
        <f t="shared" si="27"/>
        <v>99.469217733579683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24.6</v>
      </c>
      <c r="GU50" s="12">
        <f>IF('Données projet'!$A$270&gt;35,GU49+GT50-HC49,IF(A50&lt;'Données projet'!$A$270,$GR$205^A50,IF(A50='Données projet'!$A$270,'Données projet'!$B$270,GU49+GT50-HC49)))</f>
        <v>519.20000000000005</v>
      </c>
      <c r="GV50" s="17">
        <f>GU50*VLOOKUP('Données projet'!$B$18,Paramètres!$A$1:$I$89,3,0)*VLOOKUP('Données projet'!$B$18,Paramètres!$A$1:$I$89,5,0)</f>
        <v>249.73520000000002</v>
      </c>
      <c r="GW50" s="13">
        <f t="shared" si="51"/>
        <v>60.529234420901339</v>
      </c>
      <c r="GX50" s="20">
        <f t="shared" si="28"/>
        <v>540.37722328306984</v>
      </c>
      <c r="GY50" s="59">
        <f t="shared" si="29"/>
        <v>833.71055661640321</v>
      </c>
      <c r="GZ50" s="59">
        <f ca="1">AVERAGE(OFFSET($GY$3,0,0,'Données projet'!$E$18+1,1))-AVERAGE(OFFSET($H$3,0,0,'Données projet'!$E$18+1,1))</f>
        <v>458.80976193248841</v>
      </c>
      <c r="HA50" s="59">
        <f t="shared" si="52"/>
        <v>396.07405370178759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64.367657229973659</v>
      </c>
      <c r="HH50" s="21">
        <f>EXP(-LN(2)/25)*HH49+(1-EXP(-LN(2)/25))/(LN(2)/25)*Calculateur!HC50*Calculateur!HE50*VLOOKUP('Données projet'!$B$18,Paramètres!$A$1:$I$89,3,0)*0.475*44/12</f>
        <v>28.568659267142447</v>
      </c>
      <c r="HI50" s="21">
        <f>EXP(-LN(2)/2)*HI49+(1-EXP(-LN(2)/2))/(LN(2)/2)*HC50*HF50*VLOOKUP('Données projet'!$B$18,Paramètres!$A$1:$I$89,3,0)*0.475*44/12</f>
        <v>1.0341852870399486E-3</v>
      </c>
      <c r="HJ50" s="22">
        <f t="shared" si="30"/>
        <v>92.937350682403149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613.68329187962263</v>
      </c>
      <c r="S51" s="59">
        <f ca="1">AVERAGE(OFFSET($R$3,0,0,'Données projet'!$E$9+1,1))-AVERAGE(OFFSET($H$3,0,0,'Données projet'!$E$9+1,1))</f>
        <v>364.3481978218424</v>
      </c>
      <c r="T51" s="59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23.201717565085175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23.201717565085175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17.8</v>
      </c>
      <c r="AI51" s="13">
        <f>IF('Données projet'!$A$62&gt;35,AI50+AH51-AQ50,IF(A51&lt;'Données projet'!$A$62,$AF$205^A51,IF(A51='Données projet'!$A$62,'Données projet'!$B$62,AI50+AH51-AQ50)))</f>
        <v>593.39999999999986</v>
      </c>
      <c r="AJ51" s="13">
        <f>AI51*VLOOKUP('Données projet'!$B$10,Paramètres!$A$1:$I$89,3,0)*VLOOKUP('Données projet'!$B$10,Paramètres!$A$1:$I$89,5,0)</f>
        <v>331.71059999999994</v>
      </c>
      <c r="AK51" s="13">
        <f t="shared" si="35"/>
        <v>77.784851407016433</v>
      </c>
      <c r="AL51" s="20">
        <f t="shared" si="4"/>
        <v>713.20457786722011</v>
      </c>
      <c r="AM51" s="59">
        <f t="shared" si="5"/>
        <v>1006.5379112005535</v>
      </c>
      <c r="AN51" s="59">
        <f ca="1">AVERAGE(OFFSET($AM$3,0,0,'Données projet'!$E$10+1,1))-AVERAGE(OFFSET($H$3,0,0,'Données projet'!$E$10+1,1))</f>
        <v>443.34220761968419</v>
      </c>
      <c r="AO51" s="59">
        <f t="shared" si="36"/>
        <v>546.58234447298014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72.182367142000174</v>
      </c>
      <c r="AV51" s="21">
        <f>EXP(-LN(2)/25)*AV50+(1-EXP(-LN(2)/25))/(LN(2)/25)*Calculateur!AQ51*Calculateur!AS51*VLOOKUP('Données projet'!$B$10,Paramètres!$A$1:$I$89,3,0)*0.475*44/12</f>
        <v>13.318081205285509</v>
      </c>
      <c r="AW51" s="21">
        <f>EXP(-LN(2)/2)*AW50+(1-EXP(-LN(2)/2))/(LN(2)/2)*AQ51*AT51*VLOOKUP('Données projet'!$B$10,Paramètres!$A$1:$I$89,3,0)*0.475*44/12</f>
        <v>1.180038445457867E-2</v>
      </c>
      <c r="AX51" s="21">
        <f t="shared" si="6"/>
        <v>85.512248731740257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195.00000000000003</v>
      </c>
      <c r="BE51" s="13">
        <f>BD51*VLOOKUP('Données projet'!$B$11,Paramètres!$A$1:$I$89,3,0)*VLOOKUP('Données projet'!$B$11,Paramètres!$A$1:$I$89,5,0)</f>
        <v>167.31000000000006</v>
      </c>
      <c r="BF51" s="13">
        <f t="shared" si="37"/>
        <v>42.486994942347515</v>
      </c>
      <c r="BG51" s="20">
        <f t="shared" si="7"/>
        <v>365.39643285792204</v>
      </c>
      <c r="BH51" s="59">
        <f t="shared" si="8"/>
        <v>658.72976619125529</v>
      </c>
      <c r="BI51" s="59">
        <f ca="1">AVERAGE(OFFSET($BH$3,0,0,'Données projet'!$E$11+1,1))-AVERAGE(OFFSET($H$3,0,0,'Données projet'!$E$11+1,1))</f>
        <v>447.15627913956871</v>
      </c>
      <c r="BJ51" s="59">
        <f t="shared" si="38"/>
        <v>256.77417912163997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36.157715424872123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36.157715424872123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234.6</v>
      </c>
      <c r="BZ51" s="13">
        <f>BY51*VLOOKUP('Données projet'!$B$12,Paramètres!$A$1:$I$89,3,0)*VLOOKUP('Données projet'!$B$12,Paramètres!$A$1:$I$89,5,0)</f>
        <v>223.24536000000001</v>
      </c>
      <c r="CA51" s="13">
        <f t="shared" si="39"/>
        <v>54.81964639459116</v>
      </c>
      <c r="CB51" s="20">
        <f t="shared" si="10"/>
        <v>484.29655280391285</v>
      </c>
      <c r="CC51" s="59">
        <f t="shared" si="11"/>
        <v>777.6298861372461</v>
      </c>
      <c r="CD51" s="59">
        <f ca="1">AVERAGE(OFFSET($CC$3,0,0,'Données projet'!$E$12+1,1))-AVERAGE(OFFSET($H$3,0,0,'Données projet'!$E$12+1,1))</f>
        <v>448.94764480536713</v>
      </c>
      <c r="CE51" s="59">
        <f t="shared" si="40"/>
        <v>469.26760321719695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34.510053045090494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34.510053045090494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187.80389738728508</v>
      </c>
      <c r="CZ51" s="59">
        <f t="shared" si="42"/>
        <v>439.28159165815265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86.474132258357074</v>
      </c>
      <c r="DG51" s="21">
        <f>EXP(-LN(2)/25)*DG50+(1-EXP(-LN(2)/25))/(LN(2)/25)*Calculateur!DB51*Calculateur!DD51*VLOOKUP('Données projet'!$B$13,Paramètres!$A$1:$I$89,3,0)*0.475*44/12</f>
        <v>8.7284278826213306</v>
      </c>
      <c r="DH51" s="21">
        <f>EXP(-LN(2)/2)*DH50+(1-EXP(-LN(2)/2))/(LN(2)/2)*DB51*DE51*VLOOKUP('Données projet'!$B$13,Paramètres!$A$1:$I$89,3,0)*0.475*44/12</f>
        <v>8.7816417973740025E-5</v>
      </c>
      <c r="DI51" s="22">
        <f t="shared" si="15"/>
        <v>95.20264795739638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</v>
      </c>
      <c r="DO51" s="12">
        <f>IF('Données projet'!$A$166&gt;35,DO50+DN51-DW50,IF(A51&lt;'Données projet'!$A$166,$DL$205^A51,IF(A51='Données projet'!$A$166,'Données projet'!$B$166,DO50+DN51-DW50)))</f>
        <v>237.00000000000006</v>
      </c>
      <c r="DP51" s="17">
        <f>DO51*VLOOKUP('Données projet'!$B$14,Paramètres!$A$1:$I$89,3,0)*VLOOKUP('Données projet'!$B$14,Paramètres!$A$1:$I$89,5,0)</f>
        <v>173.76840000000004</v>
      </c>
      <c r="DQ51" s="13">
        <f t="shared" si="43"/>
        <v>43.932939846426045</v>
      </c>
      <c r="DR51" s="20">
        <f t="shared" si="16"/>
        <v>379.16316689919205</v>
      </c>
      <c r="DS51" s="59">
        <f t="shared" si="17"/>
        <v>672.49650023252536</v>
      </c>
      <c r="DT51" s="59">
        <f ca="1">AVERAGE(OFFSET($DS$3,0,0,'Données projet'!$E$14+1,1))-AVERAGE(OFFSET($H$3,0,0,'Données projet'!$E$14+1,1))</f>
        <v>239.25212250019609</v>
      </c>
      <c r="DU51" s="59">
        <f t="shared" si="44"/>
        <v>213.58492101729695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20</v>
      </c>
      <c r="EJ51" s="12">
        <f>IF('Données projet'!$A$192&gt;35,EJ50+EI51-ER50,IF(A51&lt;'Données projet'!$A$192,$EG$205^A51,IF(A51='Données projet'!$A$192,'Données projet'!$B$192,EJ50+EI51-ER50)))</f>
        <v>469.00000000000028</v>
      </c>
      <c r="EK51" s="17">
        <f>EJ51*VLOOKUP('Données projet'!$B$15,Paramètres!$A$1:$I$89,3,0)*VLOOKUP('Données projet'!$B$15,Paramètres!$A$1:$I$89,5,0)</f>
        <v>280.46200000000022</v>
      </c>
      <c r="EL51" s="13">
        <f t="shared" si="45"/>
        <v>67.064633392006456</v>
      </c>
      <c r="EM51" s="20">
        <f t="shared" si="19"/>
        <v>605.27555315774487</v>
      </c>
      <c r="EN51" s="59">
        <f t="shared" si="20"/>
        <v>898.60888649107824</v>
      </c>
      <c r="EO51" s="59">
        <f ca="1">AVERAGE(OFFSET($EN$3,0,0,'Données projet'!$E$15+1,1))-AVERAGE(OFFSET($H$3,0,0,'Données projet'!$E$15+1,1))</f>
        <v>504.81063008331739</v>
      </c>
      <c r="EP51" s="59">
        <f t="shared" si="46"/>
        <v>441.82647565372287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56.762556906915357</v>
      </c>
      <c r="EW51" s="21">
        <f>EXP(-LN(2)/25)*EW50+(1-EXP(-LN(2)/25))/(LN(2)/25)*Calculateur!ER51*Calculateur!ET51*VLOOKUP('Données projet'!$B$15,Paramètres!$A$1:$I$89,3,0)*0.475*44/12</f>
        <v>35.745433546990739</v>
      </c>
      <c r="EX51" s="21">
        <f>EXP(-LN(2)/2)*EX50+(1-EXP(-LN(2)/2))/(LN(2)/2)*ER51*EU51*VLOOKUP('Données projet'!$B$15,Paramètres!$A$1:$I$89,3,0)*0.475*44/12</f>
        <v>1.0227508059793103E-4</v>
      </c>
      <c r="EY51" s="22">
        <f t="shared" si="21"/>
        <v>92.508092728986696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16.2</v>
      </c>
      <c r="FE51" s="12">
        <f>IF('Données projet'!$A$218&gt;35,FE50+FD51-FM50,IF(A51&lt;'Données projet'!$A$218,$FB$205^A51,IF(A51='Données projet'!$A$218,'Données projet'!$B$218,FE50+FD51-FM50)))</f>
        <v>301.59999999999991</v>
      </c>
      <c r="FF51" s="17">
        <f>FE51*VLOOKUP('Données projet'!$B$16,Paramètres!$A$1:$I$89,3,0)*VLOOKUP('Données projet'!$B$16,Paramètres!$A$1:$I$89,5,0)</f>
        <v>172.51519999999994</v>
      </c>
      <c r="FG51" s="13">
        <f t="shared" si="47"/>
        <v>43.652862297533602</v>
      </c>
      <c r="FH51" s="20">
        <f t="shared" si="22"/>
        <v>376.49270850153761</v>
      </c>
      <c r="FI51" s="59">
        <f t="shared" si="23"/>
        <v>669.82604183487092</v>
      </c>
      <c r="FJ51" s="59">
        <f ca="1">AVERAGE(OFFSET($FI$3,0,0,'Données projet'!$E$16+1,1))-AVERAGE(OFFSET($H$3,0,0,'Données projet'!$E$16+1,1))</f>
        <v>393.41577134252316</v>
      </c>
      <c r="FK51" s="59">
        <f t="shared" si="48"/>
        <v>255.54039659391475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36.839936470624409</v>
      </c>
      <c r="FR51" s="21">
        <f>EXP(-LN(2)/25)*FR50+(1-EXP(-LN(2)/25))/(LN(2)/25)*Calculateur!FM51*Calculateur!FO51*VLOOKUP('Données projet'!$B$16,Paramètres!$A$1:$I$89,3,0)*0.475*44/12</f>
        <v>16.221861405022533</v>
      </c>
      <c r="FS51" s="21">
        <f>EXP(-LN(2)/2)*FS50+(1-EXP(-LN(2)/2))/(LN(2)/2)*FM51*FP51*VLOOKUP('Données projet'!$B$16,Paramètres!$A$1:$I$89,3,0)*0.475*44/12</f>
        <v>7.1151512056472749E-4</v>
      </c>
      <c r="FT51" s="22">
        <f t="shared" si="24"/>
        <v>53.062509390767509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26.4</v>
      </c>
      <c r="FZ51" s="12">
        <f>IF('Données projet'!$A$244&gt;35,FZ50+FY51-GH50,IF(A51&lt;'Données projet'!$A$244,$FW$205^A51,IF(A51='Données projet'!$A$244,'Données projet'!$B$244,FZ50+FY51-GH50)))</f>
        <v>598.19999999999993</v>
      </c>
      <c r="GA51" s="17">
        <f>FZ51*VLOOKUP('Données projet'!$B$17,Paramètres!$A$1:$I$89,3,0)*VLOOKUP('Données projet'!$B$17,Paramètres!$A$1:$I$89,5,0)</f>
        <v>279.95759999999996</v>
      </c>
      <c r="GB51" s="13">
        <f t="shared" si="49"/>
        <v>66.958048463279056</v>
      </c>
      <c r="GC51" s="20">
        <f t="shared" si="25"/>
        <v>604.21142107354433</v>
      </c>
      <c r="GD51" s="59">
        <f t="shared" si="26"/>
        <v>897.5447544068777</v>
      </c>
      <c r="GE51" s="59">
        <f ca="1">AVERAGE(OFFSET($GD$3,0,0,'Données projet'!$E$17+1,1))-AVERAGE(OFFSET($H$3,0,0,'Données projet'!$E$17+1,1))</f>
        <v>488.67934252295686</v>
      </c>
      <c r="GF51" s="59">
        <f t="shared" si="50"/>
        <v>424.50324471331095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67.539883529478089</v>
      </c>
      <c r="GM51" s="21">
        <f>EXP(-LN(2)/25)*GM50+(1-EXP(-LN(2)/25))/(LN(2)/25)*Calculateur!GH51*Calculateur!GJ51*VLOOKUP('Données projet'!$B$17,Paramètres!$A$1:$I$89,3,0)*0.475*44/12</f>
        <v>29.740079242541317</v>
      </c>
      <c r="GN51" s="21">
        <f>EXP(-LN(2)/2)*GN50+(1-EXP(-LN(2)/2))/(LN(2)/2)*GH51*GK51*VLOOKUP('Données projet'!$B$17,Paramètres!$A$1:$I$89,3,0)*0.475*44/12</f>
        <v>1.5847382230759835E-3</v>
      </c>
      <c r="GO51" s="21">
        <f t="shared" si="27"/>
        <v>97.281547510242476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24.6</v>
      </c>
      <c r="GU51" s="12">
        <f>IF('Données projet'!$A$270&gt;35,GU50+GT51-HC50,IF(A51&lt;'Données projet'!$A$270,$GR$205^A51,IF(A51='Données projet'!$A$270,'Données projet'!$B$270,GU50+GT51-HC50)))</f>
        <v>543.80000000000007</v>
      </c>
      <c r="GV51" s="17">
        <f>GU51*VLOOKUP('Données projet'!$B$18,Paramètres!$A$1:$I$89,3,0)*VLOOKUP('Données projet'!$B$18,Paramètres!$A$1:$I$89,5,0)</f>
        <v>261.56780000000003</v>
      </c>
      <c r="GW51" s="13">
        <f t="shared" si="51"/>
        <v>63.056452539066164</v>
      </c>
      <c r="GX51" s="20">
        <f t="shared" si="28"/>
        <v>565.3872398388736</v>
      </c>
      <c r="GY51" s="59">
        <f t="shared" si="29"/>
        <v>858.72057317220697</v>
      </c>
      <c r="GZ51" s="59">
        <f ca="1">AVERAGE(OFFSET($GY$3,0,0,'Données projet'!$E$18+1,1))-AVERAGE(OFFSET($H$3,0,0,'Données projet'!$E$18+1,1))</f>
        <v>458.80976193248841</v>
      </c>
      <c r="HA51" s="59">
        <f t="shared" si="52"/>
        <v>396.07405370178759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63.105446732088147</v>
      </c>
      <c r="HH51" s="21">
        <f>EXP(-LN(2)/25)*HH50+(1-EXP(-LN(2)/25))/(LN(2)/25)*Calculateur!HC51*Calculateur!HE51*VLOOKUP('Données projet'!$B$18,Paramètres!$A$1:$I$89,3,0)*0.475*44/12</f>
        <v>27.78744777712194</v>
      </c>
      <c r="HI51" s="21">
        <f>EXP(-LN(2)/2)*HI50+(1-EXP(-LN(2)/2))/(LN(2)/2)*HC51*HF51*VLOOKUP('Données projet'!$B$18,Paramètres!$A$1:$I$89,3,0)*0.475*44/12</f>
        <v>7.312794294693038E-4</v>
      </c>
      <c r="HJ51" s="22">
        <f t="shared" si="30"/>
        <v>90.893625788639568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629.54213565092948</v>
      </c>
      <c r="S52" s="59">
        <f ca="1">AVERAGE(OFFSET($R$3,0,0,'Données projet'!$E$9+1,1))-AVERAGE(OFFSET($H$3,0,0,'Données projet'!$E$9+1,1))</f>
        <v>364.3481978218424</v>
      </c>
      <c r="T52" s="59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22.746746035284211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22.746746035284211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17.8</v>
      </c>
      <c r="AI52" s="13">
        <f>IF('Données projet'!$A$62&gt;35,AI51+AH52-AQ51,IF(A52&lt;'Données projet'!$A$62,$AF$205^A52,IF(A52='Données projet'!$A$62,'Données projet'!$B$62,AI51+AH52-AQ51)))</f>
        <v>611.19999999999982</v>
      </c>
      <c r="AJ52" s="13">
        <f>AI52*VLOOKUP('Données projet'!$B$10,Paramètres!$A$1:$I$89,3,0)*VLOOKUP('Données projet'!$B$10,Paramètres!$A$1:$I$89,5,0)</f>
        <v>341.66079999999988</v>
      </c>
      <c r="AK52" s="13">
        <f t="shared" si="35"/>
        <v>79.842980844864144</v>
      </c>
      <c r="AL52" s="20">
        <f t="shared" si="4"/>
        <v>734.11908497147158</v>
      </c>
      <c r="AM52" s="59">
        <f t="shared" si="5"/>
        <v>1027.452418304805</v>
      </c>
      <c r="AN52" s="59">
        <f ca="1">AVERAGE(OFFSET($AM$3,0,0,'Données projet'!$E$10+1,1))-AVERAGE(OFFSET($H$3,0,0,'Données projet'!$E$10+1,1))</f>
        <v>443.34220761968419</v>
      </c>
      <c r="AO52" s="59">
        <f t="shared" si="36"/>
        <v>546.58234447298014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70.766914949242206</v>
      </c>
      <c r="AV52" s="21">
        <f>EXP(-LN(2)/25)*AV51+(1-EXP(-LN(2)/25))/(LN(2)/25)*Calculateur!AQ52*Calculateur!AS52*VLOOKUP('Données projet'!$B$10,Paramètres!$A$1:$I$89,3,0)*0.475*44/12</f>
        <v>12.953897574359525</v>
      </c>
      <c r="AW52" s="21">
        <f>EXP(-LN(2)/2)*AW51+(1-EXP(-LN(2)/2))/(LN(2)/2)*AQ52*AT52*VLOOKUP('Données projet'!$B$10,Paramètres!$A$1:$I$89,3,0)*0.475*44/12</f>
        <v>8.3441318684408967E-3</v>
      </c>
      <c r="AX52" s="21">
        <f t="shared" si="6"/>
        <v>83.729156655470177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206.00000000000003</v>
      </c>
      <c r="BE52" s="13">
        <f>BD52*VLOOKUP('Données projet'!$B$11,Paramètres!$A$1:$I$89,3,0)*VLOOKUP('Données projet'!$B$11,Paramètres!$A$1:$I$89,5,0)</f>
        <v>176.74800000000005</v>
      </c>
      <c r="BF52" s="13">
        <f t="shared" si="37"/>
        <v>44.597910160550732</v>
      </c>
      <c r="BG52" s="20">
        <f t="shared" si="7"/>
        <v>385.51079352962591</v>
      </c>
      <c r="BH52" s="59">
        <f t="shared" si="8"/>
        <v>678.84412686295923</v>
      </c>
      <c r="BI52" s="59">
        <f ca="1">AVERAGE(OFFSET($BH$3,0,0,'Données projet'!$E$11+1,1))-AVERAGE(OFFSET($H$3,0,0,'Données projet'!$E$11+1,1))</f>
        <v>447.15627913956871</v>
      </c>
      <c r="BJ52" s="59">
        <f t="shared" si="38"/>
        <v>256.77417912163997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35.448684679419138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35.448684679419138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241.79999999999998</v>
      </c>
      <c r="BZ52" s="13">
        <f>BY52*VLOOKUP('Données projet'!$B$12,Paramètres!$A$1:$I$89,3,0)*VLOOKUP('Données projet'!$B$12,Paramètres!$A$1:$I$89,5,0)</f>
        <v>230.09688</v>
      </c>
      <c r="CA52" s="13">
        <f t="shared" si="39"/>
        <v>56.303628738745964</v>
      </c>
      <c r="CB52" s="20">
        <f t="shared" si="10"/>
        <v>498.81421938664909</v>
      </c>
      <c r="CC52" s="59">
        <f t="shared" si="11"/>
        <v>792.1475527199824</v>
      </c>
      <c r="CD52" s="59">
        <f ca="1">AVERAGE(OFFSET($CC$3,0,0,'Données projet'!$E$12+1,1))-AVERAGE(OFFSET($H$3,0,0,'Données projet'!$E$12+1,1))</f>
        <v>448.94764480536713</v>
      </c>
      <c r="CE52" s="59">
        <f t="shared" si="40"/>
        <v>469.26760321719695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33.833331953930205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33.833331953930205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187.80389738728508</v>
      </c>
      <c r="CZ52" s="59">
        <f t="shared" si="42"/>
        <v>439.28159165815265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84.778427268783332</v>
      </c>
      <c r="DG52" s="21">
        <f>EXP(-LN(2)/25)*DG51+(1-EXP(-LN(2)/25))/(LN(2)/25)*Calculateur!DB52*Calculateur!DD52*VLOOKUP('Données projet'!$B$13,Paramètres!$A$1:$I$89,3,0)*0.475*44/12</f>
        <v>8.4897485631629763</v>
      </c>
      <c r="DH52" s="21">
        <f>EXP(-LN(2)/2)*DH51+(1-EXP(-LN(2)/2))/(LN(2)/2)*DB52*DE52*VLOOKUP('Données projet'!$B$13,Paramètres!$A$1:$I$89,3,0)*0.475*44/12</f>
        <v>6.2095584648743786E-5</v>
      </c>
      <c r="DI52" s="22">
        <f t="shared" si="15"/>
        <v>93.268237927530961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</v>
      </c>
      <c r="DO52" s="12">
        <f>IF('Données projet'!$A$166&gt;35,DO51+DN52-DW51,IF(A52&lt;'Données projet'!$A$166,$DL$205^A52,IF(A52='Données projet'!$A$166,'Données projet'!$B$166,DO51+DN52-DW51)))</f>
        <v>246.00000000000006</v>
      </c>
      <c r="DP52" s="17">
        <f>DO52*VLOOKUP('Données projet'!$B$14,Paramètres!$A$1:$I$89,3,0)*VLOOKUP('Données projet'!$B$14,Paramètres!$A$1:$I$89,5,0)</f>
        <v>180.36720000000003</v>
      </c>
      <c r="DQ52" s="13">
        <f t="shared" si="43"/>
        <v>45.403871709149094</v>
      </c>
      <c r="DR52" s="20">
        <f t="shared" si="16"/>
        <v>393.21794989343471</v>
      </c>
      <c r="DS52" s="59">
        <f t="shared" si="17"/>
        <v>686.55128322676796</v>
      </c>
      <c r="DT52" s="59">
        <f ca="1">AVERAGE(OFFSET($DS$3,0,0,'Données projet'!$E$14+1,1))-AVERAGE(OFFSET($H$3,0,0,'Données projet'!$E$14+1,1))</f>
        <v>239.25212250019609</v>
      </c>
      <c r="DU52" s="59">
        <f t="shared" si="44"/>
        <v>213.58492101729695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20</v>
      </c>
      <c r="EJ52" s="12">
        <f>IF('Données projet'!$A$192&gt;35,EJ51+EI52-ER51,IF(A52&lt;'Données projet'!$A$192,$EG$205^A52,IF(A52='Données projet'!$A$192,'Données projet'!$B$192,EJ51+EI52-ER51)))</f>
        <v>489.00000000000028</v>
      </c>
      <c r="EK52" s="17">
        <f>EJ52*VLOOKUP('Données projet'!$B$15,Paramètres!$A$1:$I$89,3,0)*VLOOKUP('Données projet'!$B$15,Paramètres!$A$1:$I$89,5,0)</f>
        <v>292.4220000000002</v>
      </c>
      <c r="EL52" s="13">
        <f t="shared" si="45"/>
        <v>69.585465839061499</v>
      </c>
      <c r="EM52" s="20">
        <f t="shared" si="19"/>
        <v>630.49633633636574</v>
      </c>
      <c r="EN52" s="59">
        <f t="shared" si="20"/>
        <v>923.82966966969911</v>
      </c>
      <c r="EO52" s="59">
        <f ca="1">AVERAGE(OFFSET($EN$3,0,0,'Données projet'!$E$15+1,1))-AVERAGE(OFFSET($H$3,0,0,'Données projet'!$E$15+1,1))</f>
        <v>504.81063008331739</v>
      </c>
      <c r="EP52" s="59">
        <f t="shared" si="46"/>
        <v>441.82647565372287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55.649477787711845</v>
      </c>
      <c r="EW52" s="21">
        <f>EXP(-LN(2)/25)*EW51+(1-EXP(-LN(2)/25))/(LN(2)/25)*Calculateur!ER52*Calculateur!ET52*VLOOKUP('Données projet'!$B$15,Paramètres!$A$1:$I$89,3,0)*0.475*44/12</f>
        <v>34.767972786877621</v>
      </c>
      <c r="EX52" s="21">
        <f>EXP(-LN(2)/2)*EX51+(1-EXP(-LN(2)/2))/(LN(2)/2)*ER52*EU52*VLOOKUP('Données projet'!$B$15,Paramètres!$A$1:$I$89,3,0)*0.475*44/12</f>
        <v>7.2319403037197729E-5</v>
      </c>
      <c r="EY52" s="22">
        <f t="shared" si="21"/>
        <v>90.417522893992498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16.2</v>
      </c>
      <c r="FE52" s="12">
        <f>IF('Données projet'!$A$218&gt;35,FE51+FD52-FM51,IF(A52&lt;'Données projet'!$A$218,$FB$205^A52,IF(A52='Données projet'!$A$218,'Données projet'!$B$218,FE51+FD52-FM51)))</f>
        <v>317.7999999999999</v>
      </c>
      <c r="FF52" s="17">
        <f>FE52*VLOOKUP('Données projet'!$B$16,Paramètres!$A$1:$I$89,3,0)*VLOOKUP('Données projet'!$B$16,Paramètres!$A$1:$I$89,5,0)</f>
        <v>181.78159999999997</v>
      </c>
      <c r="FG52" s="13">
        <f t="shared" si="47"/>
        <v>45.718331848132181</v>
      </c>
      <c r="FH52" s="20">
        <f t="shared" si="22"/>
        <v>396.22904796883012</v>
      </c>
      <c r="FI52" s="59">
        <f t="shared" si="23"/>
        <v>689.56238130216343</v>
      </c>
      <c r="FJ52" s="59">
        <f ca="1">AVERAGE(OFFSET($FI$3,0,0,'Données projet'!$E$16+1,1))-AVERAGE(OFFSET($H$3,0,0,'Données projet'!$E$16+1,1))</f>
        <v>393.41577134252316</v>
      </c>
      <c r="FK52" s="59">
        <f t="shared" si="48"/>
        <v>255.54039659391475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36.117527786577966</v>
      </c>
      <c r="FR52" s="21">
        <f>EXP(-LN(2)/25)*FR51+(1-EXP(-LN(2)/25))/(LN(2)/25)*Calculateur!FM52*Calculateur!FO52*VLOOKUP('Données projet'!$B$16,Paramètres!$A$1:$I$89,3,0)*0.475*44/12</f>
        <v>15.778273751831577</v>
      </c>
      <c r="FS52" s="21">
        <f>EXP(-LN(2)/2)*FS51+(1-EXP(-LN(2)/2))/(LN(2)/2)*FM52*FP52*VLOOKUP('Données projet'!$B$16,Paramètres!$A$1:$I$89,3,0)*0.475*44/12</f>
        <v>5.0311716666808274E-4</v>
      </c>
      <c r="FT52" s="22">
        <f t="shared" si="24"/>
        <v>51.896304655576209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26.4</v>
      </c>
      <c r="FZ52" s="12">
        <f>IF('Données projet'!$A$244&gt;35,FZ51+FY52-GH51,IF(A52&lt;'Données projet'!$A$244,$FW$205^A52,IF(A52='Données projet'!$A$244,'Données projet'!$B$244,FZ51+FY52-GH51)))</f>
        <v>624.59999999999991</v>
      </c>
      <c r="GA52" s="17">
        <f>FZ52*VLOOKUP('Données projet'!$B$17,Paramètres!$A$1:$I$89,3,0)*VLOOKUP('Données projet'!$B$17,Paramètres!$A$1:$I$89,5,0)</f>
        <v>292.31279999999998</v>
      </c>
      <c r="GB52" s="13">
        <f t="shared" si="49"/>
        <v>69.562504549179678</v>
      </c>
      <c r="GC52" s="20">
        <f t="shared" si="25"/>
        <v>630.26615542315449</v>
      </c>
      <c r="GD52" s="59">
        <f t="shared" si="26"/>
        <v>923.59948875648774</v>
      </c>
      <c r="GE52" s="59">
        <f ca="1">AVERAGE(OFFSET($GD$3,0,0,'Données projet'!$E$17+1,1))-AVERAGE(OFFSET($H$3,0,0,'Données projet'!$E$17+1,1))</f>
        <v>488.67934252295686</v>
      </c>
      <c r="GF52" s="59">
        <f t="shared" si="50"/>
        <v>424.50324471331095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66.215467608726286</v>
      </c>
      <c r="GM52" s="21">
        <f>EXP(-LN(2)/25)*GM51+(1-EXP(-LN(2)/25))/(LN(2)/25)*Calculateur!GH52*Calculateur!GJ52*VLOOKUP('Données projet'!$B$17,Paramètres!$A$1:$I$89,3,0)*0.475*44/12</f>
        <v>28.92683521169123</v>
      </c>
      <c r="GN52" s="21">
        <f>EXP(-LN(2)/2)*GN51+(1-EXP(-LN(2)/2))/(LN(2)/2)*GH52*GK52*VLOOKUP('Données projet'!$B$17,Paramètres!$A$1:$I$89,3,0)*0.475*44/12</f>
        <v>1.1205791439425476E-3</v>
      </c>
      <c r="GO52" s="21">
        <f t="shared" si="27"/>
        <v>95.143423399561456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24.6</v>
      </c>
      <c r="GU52" s="12">
        <f>IF('Données projet'!$A$270&gt;35,GU51+GT52-HC51,IF(A52&lt;'Données projet'!$A$270,$GR$205^A52,IF(A52='Données projet'!$A$270,'Données projet'!$B$270,GU51+GT52-HC51)))</f>
        <v>568.40000000000009</v>
      </c>
      <c r="GV52" s="17">
        <f>GU52*VLOOKUP('Données projet'!$B$18,Paramètres!$A$1:$I$89,3,0)*VLOOKUP('Données projet'!$B$18,Paramètres!$A$1:$I$89,5,0)</f>
        <v>273.40040000000005</v>
      </c>
      <c r="GW52" s="13">
        <f t="shared" si="51"/>
        <v>65.570393498809111</v>
      </c>
      <c r="GX52" s="20">
        <f t="shared" si="28"/>
        <v>590.3741320104258</v>
      </c>
      <c r="GY52" s="59">
        <f t="shared" si="29"/>
        <v>883.70746534375917</v>
      </c>
      <c r="GZ52" s="59">
        <f ca="1">AVERAGE(OFFSET($GY$3,0,0,'Données projet'!$E$18+1,1))-AVERAGE(OFFSET($H$3,0,0,'Données projet'!$E$18+1,1))</f>
        <v>458.80976193248841</v>
      </c>
      <c r="HA52" s="59">
        <f t="shared" si="52"/>
        <v>396.07405370178759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61.867987412193784</v>
      </c>
      <c r="HH52" s="21">
        <f>EXP(-LN(2)/25)*HH51+(1-EXP(-LN(2)/25))/(LN(2)/25)*Calculateur!HC52*Calculateur!HE52*VLOOKUP('Données projet'!$B$18,Paramètres!$A$1:$I$89,3,0)*0.475*44/12</f>
        <v>27.027598556378173</v>
      </c>
      <c r="HI52" s="21">
        <f>EXP(-LN(2)/2)*HI51+(1-EXP(-LN(2)/2))/(LN(2)/2)*HC52*HF52*VLOOKUP('Données projet'!$B$18,Paramètres!$A$1:$I$89,3,0)*0.475*44/12</f>
        <v>5.1709264351997432E-4</v>
      </c>
      <c r="HJ52" s="22">
        <f t="shared" si="30"/>
        <v>88.896103061215484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364.3481978218424</v>
      </c>
      <c r="T53" s="59">
        <f t="shared" si="34"/>
        <v>231.36959598460686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31.332769502272171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31.332769502272171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629</v>
      </c>
      <c r="AG53" s="12">
        <f>VLOOKUP(A53,'Données projet'!$A$61:$I$81,9,0)</f>
        <v>17.8</v>
      </c>
      <c r="AH53" s="12">
        <f t="array" ref="AH53">INDEX(AG:AG,MIN(IF(ISNUMBER(AG53:AG249),ROW(AG53:AG249),"")))</f>
        <v>17.8</v>
      </c>
      <c r="AI53" s="13">
        <f>IF('Données projet'!$A$62&gt;35,AI52+AH53-AQ52,IF(A53&lt;'Données projet'!$A$62,$AF$205^A53,IF(A53='Données projet'!$A$62,'Données projet'!$B$62,AI52+AH53-AQ52)))</f>
        <v>628.99999999999977</v>
      </c>
      <c r="AJ53" s="13">
        <f>AI53*VLOOKUP('Données projet'!$B$10,Paramètres!$A$1:$I$89,3,0)*VLOOKUP('Données projet'!$B$10,Paramètres!$A$1:$I$89,5,0)</f>
        <v>351.61099999999988</v>
      </c>
      <c r="AK53" s="13">
        <f t="shared" si="35"/>
        <v>81.89414415728541</v>
      </c>
      <c r="AL53" s="20">
        <f t="shared" si="4"/>
        <v>755.02145940727178</v>
      </c>
      <c r="AM53" s="59">
        <f t="shared" si="5"/>
        <v>1048.354792740605</v>
      </c>
      <c r="AN53" s="59">
        <f ca="1">AVERAGE(OFFSET($AM$3,0,0,'Données projet'!$E$10+1,1))-AVERAGE(OFFSET($H$3,0,0,'Données projet'!$E$10+1,1))</f>
        <v>443.34220761968419</v>
      </c>
      <c r="AO53" s="59">
        <f t="shared" si="36"/>
        <v>546.58234447298014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48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88.956126518238207</v>
      </c>
      <c r="AV53" s="21">
        <f>EXP(-LN(2)/25)*AV52+(1-EXP(-LN(2)/25))/(LN(2)/25)*Calculateur!AQ53*Calculateur!AS53*VLOOKUP('Données projet'!$B$10,Paramètres!$A$1:$I$89,3,0)*0.475*44/12</f>
        <v>12.599672563972797</v>
      </c>
      <c r="AW53" s="21">
        <f>EXP(-LN(2)/2)*AW52+(1-EXP(-LN(2)/2))/(LN(2)/2)*AQ53*AT53*VLOOKUP('Données projet'!$B$10,Paramètres!$A$1:$I$89,3,0)*0.475*44/12</f>
        <v>5.9001922272893352E-3</v>
      </c>
      <c r="AX53" s="21">
        <f t="shared" si="6"/>
        <v>101.5616992744383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217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217.00000000000003</v>
      </c>
      <c r="BE53" s="13">
        <f>BD53*VLOOKUP('Données projet'!$B$11,Paramètres!$A$1:$I$89,3,0)*VLOOKUP('Données projet'!$B$11,Paramètres!$A$1:$I$89,5,0)</f>
        <v>186.18600000000004</v>
      </c>
      <c r="BF53" s="13">
        <f t="shared" si="37"/>
        <v>46.69573903947046</v>
      </c>
      <c r="BG53" s="20">
        <f t="shared" si="7"/>
        <v>405.60236216041108</v>
      </c>
      <c r="BH53" s="59">
        <f t="shared" si="8"/>
        <v>698.93569549374433</v>
      </c>
      <c r="BI53" s="59">
        <f ca="1">AVERAGE(OFFSET($BH$3,0,0,'Données projet'!$E$11+1,1))-AVERAGE(OFFSET($H$3,0,0,'Données projet'!$E$11+1,1))</f>
        <v>447.15627913956871</v>
      </c>
      <c r="BJ53" s="59">
        <f t="shared" si="38"/>
        <v>256.77417912163997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48.829202405305217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48.829202405305217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248.99999999999997</v>
      </c>
      <c r="BZ53" s="13">
        <f>BY53*VLOOKUP('Données projet'!$B$12,Paramètres!$A$1:$I$89,3,0)*VLOOKUP('Données projet'!$B$12,Paramètres!$A$1:$I$89,5,0)</f>
        <v>236.94839999999999</v>
      </c>
      <c r="CA53" s="13">
        <f t="shared" si="39"/>
        <v>57.782475694292401</v>
      </c>
      <c r="CB53" s="20">
        <f t="shared" si="10"/>
        <v>513.32294183422596</v>
      </c>
      <c r="CC53" s="59">
        <f t="shared" si="11"/>
        <v>806.65627516755922</v>
      </c>
      <c r="CD53" s="59">
        <f ca="1">AVERAGE(OFFSET($CC$3,0,0,'Données projet'!$E$12+1,1))-AVERAGE(OFFSET($H$3,0,0,'Données projet'!$E$12+1,1))</f>
        <v>448.94764480536713</v>
      </c>
      <c r="CE53" s="59">
        <f t="shared" si="40"/>
        <v>469.26760321719695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30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46.74023736041832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46.74023736041832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187.80389738728508</v>
      </c>
      <c r="CZ53" s="59">
        <f t="shared" si="42"/>
        <v>439.28159165815265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83.115974019777212</v>
      </c>
      <c r="DG53" s="21">
        <f>EXP(-LN(2)/25)*DG52+(1-EXP(-LN(2)/25))/(LN(2)/25)*Calculateur!DB53*Calculateur!DD53*VLOOKUP('Données projet'!$B$13,Paramètres!$A$1:$I$89,3,0)*0.475*44/12</f>
        <v>8.2575959422468106</v>
      </c>
      <c r="DH53" s="21">
        <f>EXP(-LN(2)/2)*DH52+(1-EXP(-LN(2)/2))/(LN(2)/2)*DB53*DE53*VLOOKUP('Données projet'!$B$13,Paramètres!$A$1:$I$89,3,0)*0.475*44/12</f>
        <v>4.3908208986870012E-5</v>
      </c>
      <c r="DI53" s="22">
        <f t="shared" si="15"/>
        <v>91.373613870233001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255</v>
      </c>
      <c r="DM53" s="12">
        <f>VLOOKUP(A53,'Données projet'!$A$165:$I$185,9,0)</f>
        <v>9</v>
      </c>
      <c r="DN53" s="12">
        <f t="array" ref="DN53">INDEX(DM:DM,MIN(IF(ISNUMBER(DM53:DM249),ROW(DM53:DM249),"")))</f>
        <v>9</v>
      </c>
      <c r="DO53" s="12">
        <f>IF('Données projet'!$A$166&gt;35,DO52+DN53-DW52,IF(A53&lt;'Données projet'!$A$166,$DL$205^A53,IF(A53='Données projet'!$A$166,'Données projet'!$B$166,DO52+DN53-DW52)))</f>
        <v>255.00000000000006</v>
      </c>
      <c r="DP53" s="17">
        <f>DO53*VLOOKUP('Données projet'!$B$14,Paramètres!$A$1:$I$89,3,0)*VLOOKUP('Données projet'!$B$14,Paramètres!$A$1:$I$89,5,0)</f>
        <v>186.96600000000004</v>
      </c>
      <c r="DQ53" s="13">
        <f t="shared" si="43"/>
        <v>46.868551400324648</v>
      </c>
      <c r="DR53" s="20">
        <f t="shared" si="16"/>
        <v>407.26184368889881</v>
      </c>
      <c r="DS53" s="59">
        <f t="shared" si="17"/>
        <v>700.59517702223206</v>
      </c>
      <c r="DT53" s="59">
        <f ca="1">AVERAGE(OFFSET($DS$3,0,0,'Données projet'!$E$14+1,1))-AVERAGE(OFFSET($H$3,0,0,'Données projet'!$E$14+1,1))</f>
        <v>239.25212250019609</v>
      </c>
      <c r="DU53" s="59">
        <f t="shared" si="44"/>
        <v>213.58492101729695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509</v>
      </c>
      <c r="EH53" s="12">
        <f>VLOOKUP(A53,'Données projet'!$A$191:$I$211,9,0)</f>
        <v>20</v>
      </c>
      <c r="EI53" s="12">
        <f t="array" ref="EI53">INDEX(EH:EH,MIN(IF(ISNUMBER(EH53:EH249),ROW(EH53:EH249),"")))</f>
        <v>20</v>
      </c>
      <c r="EJ53" s="12">
        <f>IF('Données projet'!$A$192&gt;35,EJ52+EI53-ER52,IF(A53&lt;'Données projet'!$A$192,$EG$205^A53,IF(A53='Données projet'!$A$192,'Données projet'!$B$192,EJ52+EI53-ER52)))</f>
        <v>509.00000000000028</v>
      </c>
      <c r="EK53" s="17">
        <f>EJ53*VLOOKUP('Données projet'!$B$15,Paramètres!$A$1:$I$89,3,0)*VLOOKUP('Données projet'!$B$15,Paramètres!$A$1:$I$89,5,0)</f>
        <v>304.38200000000018</v>
      </c>
      <c r="EL53" s="13">
        <f t="shared" si="45"/>
        <v>72.094322263150417</v>
      </c>
      <c r="EM53" s="20">
        <f t="shared" si="19"/>
        <v>655.69626127498725</v>
      </c>
      <c r="EN53" s="59">
        <f t="shared" si="20"/>
        <v>949.02959460832062</v>
      </c>
      <c r="EO53" s="59">
        <f ca="1">AVERAGE(OFFSET($EN$3,0,0,'Données projet'!$E$15+1,1))-AVERAGE(OFFSET($H$3,0,0,'Données projet'!$E$15+1,1))</f>
        <v>504.81063008331739</v>
      </c>
      <c r="EP53" s="59">
        <f t="shared" si="46"/>
        <v>441.82647565372287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53</v>
      </c>
      <c r="ES53" s="16">
        <f>IF(ISNA(VLOOKUP(A53,'Données projet'!$A$191:$I$211,5,0)),0%,VLOOKUP(A53,'Données projet'!$A$191:$I$211,5,0)*VLOOKUP('Données projet'!$B$15,Paramètres!$A$1:$I$89,7,0))</f>
        <v>0.45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73.478085703940053</v>
      </c>
      <c r="EW53" s="21">
        <f>EXP(-LN(2)/25)*EW52+(1-EXP(-LN(2)/25))/(LN(2)/25)*Calculateur!ER53*Calculateur!ET53*VLOOKUP('Données projet'!$B$15,Paramètres!$A$1:$I$89,3,0)*0.475*44/12</f>
        <v>33.817240742652224</v>
      </c>
      <c r="EX53" s="21">
        <f>EXP(-LN(2)/2)*EX52+(1-EXP(-LN(2)/2))/(LN(2)/2)*ER53*EU53*VLOOKUP('Données projet'!$B$15,Paramètres!$A$1:$I$89,3,0)*0.475*44/12</f>
        <v>5.1137540298965516E-5</v>
      </c>
      <c r="EY53" s="22">
        <f t="shared" si="21"/>
        <v>107.29537758413257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334</v>
      </c>
      <c r="FC53" s="12">
        <f>VLOOKUP(A53,'Données projet'!$A$217:$I$237,9,0)</f>
        <v>16.2</v>
      </c>
      <c r="FD53" s="12">
        <f t="array" ref="FD53">INDEX(FC:FC,MIN(IF(ISNUMBER(FC53:FC249),ROW(FC53:FC249),"")))</f>
        <v>16.2</v>
      </c>
      <c r="FE53" s="12">
        <f>IF('Données projet'!$A$218&gt;35,FE52+FD53-FM52,IF(A53&lt;'Données projet'!$A$218,$FB$205^A53,IF(A53='Données projet'!$A$218,'Données projet'!$B$218,FE52+FD53-FM52)))</f>
        <v>333.99999999999989</v>
      </c>
      <c r="FF53" s="17">
        <f>FE53*VLOOKUP('Données projet'!$B$16,Paramètres!$A$1:$I$89,3,0)*VLOOKUP('Données projet'!$B$16,Paramètres!$A$1:$I$89,5,0)</f>
        <v>191.04799999999994</v>
      </c>
      <c r="FG53" s="13">
        <f t="shared" si="47"/>
        <v>47.771576544305155</v>
      </c>
      <c r="FH53" s="20">
        <f t="shared" si="22"/>
        <v>415.94409581466471</v>
      </c>
      <c r="FI53" s="59">
        <f t="shared" si="23"/>
        <v>709.27742914799796</v>
      </c>
      <c r="FJ53" s="59">
        <f ca="1">AVERAGE(OFFSET($FI$3,0,0,'Données projet'!$E$16+1,1))-AVERAGE(OFFSET($H$3,0,0,'Données projet'!$E$16+1,1))</f>
        <v>393.41577134252316</v>
      </c>
      <c r="FK53" s="59">
        <f t="shared" si="48"/>
        <v>255.54039659391475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42</v>
      </c>
      <c r="FN53" s="16">
        <f>IF(ISNA(VLOOKUP(A53,'Données projet'!$A$217:$I$237,5,0)),0%,VLOOKUP(A53,'Données projet'!$A$217:$I$237,5,0)*VLOOKUP('Données projet'!$B$16,Paramètres!$A$1:$I$89,7,0))</f>
        <v>0.45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49.750508111065663</v>
      </c>
      <c r="FR53" s="21">
        <f>EXP(-LN(2)/25)*FR52+(1-EXP(-LN(2)/25))/(LN(2)/25)*Calculateur!FM53*Calculateur!FO53*VLOOKUP('Données projet'!$B$16,Paramètres!$A$1:$I$89,3,0)*0.475*44/12</f>
        <v>15.346816026344388</v>
      </c>
      <c r="FS53" s="21">
        <f>EXP(-LN(2)/2)*FS52+(1-EXP(-LN(2)/2))/(LN(2)/2)*FM53*FP53*VLOOKUP('Données projet'!$B$16,Paramètres!$A$1:$I$89,3,0)*0.475*44/12</f>
        <v>3.5575756028236375E-4</v>
      </c>
      <c r="FT53" s="22">
        <f t="shared" si="24"/>
        <v>65.097679894970341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651</v>
      </c>
      <c r="FX53" s="12">
        <f>VLOOKUP(A53,'Données projet'!$A$243:$I$263,9,0)</f>
        <v>26.4</v>
      </c>
      <c r="FY53" s="12">
        <f t="array" ref="FY53">INDEX(FX:FX,MIN(IF(ISNUMBER(FX53:FX249),ROW(FX53:FX249),"")))</f>
        <v>26.4</v>
      </c>
      <c r="FZ53" s="12">
        <f>IF('Données projet'!$A$244&gt;35,FZ52+FY53-GH52,IF(A53&lt;'Données projet'!$A$244,$FW$205^A53,IF(A53='Données projet'!$A$244,'Données projet'!$B$244,FZ52+FY53-GH52)))</f>
        <v>650.99999999999989</v>
      </c>
      <c r="GA53" s="17">
        <f>FZ53*VLOOKUP('Données projet'!$B$17,Paramètres!$A$1:$I$89,3,0)*VLOOKUP('Données projet'!$B$17,Paramètres!$A$1:$I$89,5,0)</f>
        <v>304.66799999999995</v>
      </c>
      <c r="GB53" s="13">
        <f t="shared" si="49"/>
        <v>72.154174460006061</v>
      </c>
      <c r="GC53" s="20">
        <f t="shared" si="25"/>
        <v>656.29862051784369</v>
      </c>
      <c r="GD53" s="59">
        <f t="shared" si="26"/>
        <v>949.63195385117706</v>
      </c>
      <c r="GE53" s="59">
        <f ca="1">AVERAGE(OFFSET($GD$3,0,0,'Données projet'!$E$17+1,1))-AVERAGE(OFFSET($H$3,0,0,'Données projet'!$E$17+1,1))</f>
        <v>488.67934252295686</v>
      </c>
      <c r="GF53" s="59">
        <f t="shared" si="50"/>
        <v>424.50324471331095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76</v>
      </c>
      <c r="GI53" s="16">
        <f>IF(ISNA(VLOOKUP(A53,'Données projet'!$A$243:$I$263,5,0)),0%,VLOOKUP(A53,'Données projet'!$A$243:$I$263,5,0)*VLOOKUP('Données projet'!$B$17,Paramètres!$A$1:$I$89,7,0))</f>
        <v>0.55000000000000004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90.867807179456932</v>
      </c>
      <c r="GM53" s="21">
        <f>EXP(-LN(2)/25)*GM52+(1-EXP(-LN(2)/25))/(LN(2)/25)*Calculateur!GH53*Calculateur!GJ53*VLOOKUP('Données projet'!$B$17,Paramètres!$A$1:$I$89,3,0)*0.475*44/12</f>
        <v>28.135829381631382</v>
      </c>
      <c r="GN53" s="21">
        <f>EXP(-LN(2)/2)*GN52+(1-EXP(-LN(2)/2))/(LN(2)/2)*GH53*GK53*VLOOKUP('Données projet'!$B$17,Paramètres!$A$1:$I$89,3,0)*0.475*44/12</f>
        <v>7.9236911153799175E-4</v>
      </c>
      <c r="GO53" s="21">
        <f t="shared" si="27"/>
        <v>119.00442893019985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593</v>
      </c>
      <c r="GS53" s="12">
        <f>VLOOKUP(A53,'Données projet'!$A$269:$I$289,9,0)</f>
        <v>24.6</v>
      </c>
      <c r="GT53" s="12">
        <f t="array" ref="GT53">INDEX(GS:GS,MIN(IF(ISNUMBER(GS53:GS249),ROW(GS53:GS249),"")))</f>
        <v>24.6</v>
      </c>
      <c r="GU53" s="12">
        <f>IF('Données projet'!$A$270&gt;35,GU52+GT53-HC52,IF(A53&lt;'Données projet'!$A$270,$GR$205^A53,IF(A53='Données projet'!$A$270,'Données projet'!$B$270,GU52+GT53-HC52)))</f>
        <v>593.00000000000011</v>
      </c>
      <c r="GV53" s="17">
        <f>GU53*VLOOKUP('Données projet'!$B$18,Paramètres!$A$1:$I$89,3,0)*VLOOKUP('Données projet'!$B$18,Paramètres!$A$1:$I$89,5,0)</f>
        <v>285.23300000000006</v>
      </c>
      <c r="GW53" s="13">
        <f t="shared" si="51"/>
        <v>68.071697608780525</v>
      </c>
      <c r="GX53" s="20">
        <f t="shared" si="28"/>
        <v>615.33901500195941</v>
      </c>
      <c r="GY53" s="59">
        <f t="shared" si="29"/>
        <v>908.67234833529278</v>
      </c>
      <c r="GZ53" s="59">
        <f ca="1">AVERAGE(OFFSET($GY$3,0,0,'Données projet'!$E$18+1,1))-AVERAGE(OFFSET($H$3,0,0,'Données projet'!$E$18+1,1))</f>
        <v>458.80976193248841</v>
      </c>
      <c r="HA53" s="59">
        <f t="shared" si="52"/>
        <v>396.07405370178759</v>
      </c>
      <c r="HB53" s="15">
        <f>IF(ISNA(VLOOKUP(A53,'Données projet'!$A$269:$I$289,3,0)),0,VLOOKUP(A53,'Données projet'!$A$269:$I$289,3,0))</f>
        <v>7</v>
      </c>
      <c r="HC53" s="15">
        <f>IF(ISNA(VLOOKUP(A53,'Données projet'!$A$269:$I$289,4,0)),0,VLOOKUP(A53,'Données projet'!$A$269:$I$289,4,0))</f>
        <v>70</v>
      </c>
      <c r="HD53" s="16">
        <f>IF(ISNA(VLOOKUP(A53,'Données projet'!$A$269:$I$289,5,0)),0%,VLOOKUP(A53,'Données projet'!$A$269:$I$289,5,0)*VLOOKUP('Données projet'!$B$18,Paramètres!$A$1:$I$89,7,0))</f>
        <v>0.55000000000000004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85.220777782844024</v>
      </c>
      <c r="HH53" s="21">
        <f>EXP(-LN(2)/25)*HH52+(1-EXP(-LN(2)/25))/(LN(2)/25)*Calculateur!HC53*Calculateur!HE53*VLOOKUP('Données projet'!$B$18,Paramètres!$A$1:$I$89,3,0)*0.475*44/12</f>
        <v>26.288527452534375</v>
      </c>
      <c r="HI53" s="21">
        <f>EXP(-LN(2)/2)*HI52+(1-EXP(-LN(2)/2))/(LN(2)/2)*HC53*HF53*VLOOKUP('Données projet'!$B$18,Paramètres!$A$1:$I$89,3,0)*0.475*44/12</f>
        <v>3.656397147346519E-4</v>
      </c>
      <c r="HJ53" s="22">
        <f t="shared" si="30"/>
        <v>111.50967087509314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620.26096644164511</v>
      </c>
      <c r="S54" s="59">
        <f ca="1">AVERAGE(OFFSET($R$3,0,0,'Données projet'!$E$9+1,1))-AVERAGE(OFFSET($H$3,0,0,'Données projet'!$E$9+1,1))</f>
        <v>364.3481978218424</v>
      </c>
      <c r="T54" s="59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30.718353003434945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30.718353003434945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13.8</v>
      </c>
      <c r="AI54" s="13">
        <f>IF('Données projet'!$A$62&gt;35,AI53+AH54-AQ53,IF(A54&lt;'Données projet'!$A$62,$AF$205^A54,IF(A54='Données projet'!$A$62,'Données projet'!$B$62,AI53+AH54-AQ53)))</f>
        <v>594.79999999999973</v>
      </c>
      <c r="AJ54" s="13">
        <f>AI54*VLOOKUP('Données projet'!$B$10,Paramètres!$A$1:$I$89,3,0)*VLOOKUP('Données projet'!$B$10,Paramètres!$A$1:$I$89,5,0)</f>
        <v>332.49319999999983</v>
      </c>
      <c r="AK54" s="13">
        <f t="shared" si="35"/>
        <v>77.946984490524827</v>
      </c>
      <c r="AL54" s="20">
        <f t="shared" si="4"/>
        <v>714.84998798766367</v>
      </c>
      <c r="AM54" s="59">
        <f t="shared" si="5"/>
        <v>1008.183321320997</v>
      </c>
      <c r="AN54" s="59">
        <f ca="1">AVERAGE(OFFSET($AM$3,0,0,'Données projet'!$E$10+1,1))-AVERAGE(OFFSET($H$3,0,0,'Données projet'!$E$10+1,1))</f>
        <v>443.34220761968419</v>
      </c>
      <c r="AO54" s="59">
        <f t="shared" si="36"/>
        <v>546.58234447298014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87.211751135095213</v>
      </c>
      <c r="AV54" s="21">
        <f>EXP(-LN(2)/25)*AV53+(1-EXP(-LN(2)/25))/(LN(2)/25)*Calculateur!AQ54*Calculateur!AS54*VLOOKUP('Données projet'!$B$10,Paramètres!$A$1:$I$89,3,0)*0.475*44/12</f>
        <v>12.255133855122978</v>
      </c>
      <c r="AW54" s="21">
        <f>EXP(-LN(2)/2)*AW53+(1-EXP(-LN(2)/2))/(LN(2)/2)*AQ54*AT54*VLOOKUP('Données projet'!$B$10,Paramètres!$A$1:$I$89,3,0)*0.475*44/12</f>
        <v>4.1720659342204484E-3</v>
      </c>
      <c r="AX54" s="21">
        <f t="shared" si="6"/>
        <v>99.471057056152418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</v>
      </c>
      <c r="BD54" s="12">
        <f>IF('Données projet'!$A$88&gt;35,BD53+BC54-BL53,IF(A54&lt;'Données projet'!$A$88,$BA$205^A54,IF(A54='Données projet'!$A$88,'Données projet'!$B$88,BD53+BC54-BL53)))</f>
        <v>200.00000000000003</v>
      </c>
      <c r="BE54" s="13">
        <f>BD54*VLOOKUP('Données projet'!$B$11,Paramètres!$A$1:$I$89,3,0)*VLOOKUP('Données projet'!$B$11,Paramètres!$A$1:$I$89,5,0)</f>
        <v>171.60000000000005</v>
      </c>
      <c r="BF54" s="13">
        <f t="shared" si="37"/>
        <v>43.44817475464852</v>
      </c>
      <c r="BG54" s="20">
        <f t="shared" si="7"/>
        <v>374.54223769767958</v>
      </c>
      <c r="BH54" s="59">
        <f t="shared" si="8"/>
        <v>667.8755710310129</v>
      </c>
      <c r="BI54" s="59">
        <f ca="1">AVERAGE(OFFSET($BH$3,0,0,'Données projet'!$E$11+1,1))-AVERAGE(OFFSET($H$3,0,0,'Données projet'!$E$11+1,1))</f>
        <v>447.15627913956871</v>
      </c>
      <c r="BJ54" s="59">
        <f t="shared" si="38"/>
        <v>256.77417912163997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47.871691529009837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47.871691529009837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</v>
      </c>
      <c r="BY54" s="12">
        <f>IF('Données projet'!$A$114&gt;35,BY53+BX54-CG53,IF(A54&lt;'Données projet'!$A$114,$BV$205^A54,IF(A54='Données projet'!$A$114,'Données projet'!$B$114,BY53+BX54-CG53)))</f>
        <v>225.99999999999997</v>
      </c>
      <c r="BZ54" s="13">
        <f>BY54*VLOOKUP('Données projet'!$B$12,Paramètres!$A$1:$I$89,3,0)*VLOOKUP('Données projet'!$B$12,Paramètres!$A$1:$I$89,5,0)</f>
        <v>215.06159999999997</v>
      </c>
      <c r="CA54" s="13">
        <f t="shared" si="39"/>
        <v>53.040134784913143</v>
      </c>
      <c r="CB54" s="20">
        <f t="shared" si="10"/>
        <v>466.9438547503903</v>
      </c>
      <c r="CC54" s="59">
        <f t="shared" si="11"/>
        <v>760.27718808372356</v>
      </c>
      <c r="CD54" s="59">
        <f ca="1">AVERAGE(OFFSET($CC$3,0,0,'Données projet'!$E$12+1,1))-AVERAGE(OFFSET($H$3,0,0,'Données projet'!$E$12+1,1))</f>
        <v>448.94764480536713</v>
      </c>
      <c r="CE54" s="59">
        <f t="shared" si="40"/>
        <v>469.26760321719695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45.823689814510303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45.823689814510303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187.80389738728508</v>
      </c>
      <c r="CZ54" s="59">
        <f t="shared" si="42"/>
        <v>439.28159165815265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81.486120464987749</v>
      </c>
      <c r="DG54" s="21">
        <f>EXP(-LN(2)/25)*DG53+(1-EXP(-LN(2)/25))/(LN(2)/25)*Calculateur!DB54*Calculateur!DD54*VLOOKUP('Données projet'!$B$13,Paramètres!$A$1:$I$89,3,0)*0.475*44/12</f>
        <v>8.0317915469579741</v>
      </c>
      <c r="DH54" s="21">
        <f>EXP(-LN(2)/2)*DH53+(1-EXP(-LN(2)/2))/(LN(2)/2)*DB54*DE54*VLOOKUP('Données projet'!$B$13,Paramètres!$A$1:$I$89,3,0)*0.475*44/12</f>
        <v>3.1047792324371893E-5</v>
      </c>
      <c r="DI54" s="22">
        <f t="shared" si="15"/>
        <v>89.517943059738045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255.00000000000006</v>
      </c>
      <c r="DP54" s="17">
        <f>DO54*VLOOKUP('Données projet'!$B$14,Paramètres!$A$1:$I$89,3,0)*VLOOKUP('Données projet'!$B$14,Paramètres!$A$1:$I$89,5,0)</f>
        <v>186.96600000000004</v>
      </c>
      <c r="DQ54" s="13">
        <f t="shared" si="43"/>
        <v>46.868551400324648</v>
      </c>
      <c r="DR54" s="20">
        <f t="shared" si="16"/>
        <v>407.26184368889881</v>
      </c>
      <c r="DS54" s="59">
        <f t="shared" si="17"/>
        <v>700.59517702223206</v>
      </c>
      <c r="DT54" s="59">
        <f ca="1">AVERAGE(OFFSET($DS$3,0,0,'Données projet'!$E$14+1,1))-AVERAGE(OFFSET($H$3,0,0,'Données projet'!$E$14+1,1))</f>
        <v>239.25212250019609</v>
      </c>
      <c r="DU54" s="59">
        <f t="shared" si="44"/>
        <v>213.58492101729695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18.399999999999999</v>
      </c>
      <c r="EJ54" s="12">
        <f>IF('Données projet'!$A$192&gt;35,EJ53+EI54-ER53,IF(A54&lt;'Données projet'!$A$192,$EG$205^A54,IF(A54='Données projet'!$A$192,'Données projet'!$B$192,EJ53+EI54-ER53)))</f>
        <v>474.40000000000032</v>
      </c>
      <c r="EK54" s="17">
        <f>EJ54*VLOOKUP('Données projet'!$B$15,Paramètres!$A$1:$I$89,3,0)*VLOOKUP('Données projet'!$B$15,Paramètres!$A$1:$I$89,5,0)</f>
        <v>283.69120000000021</v>
      </c>
      <c r="EL54" s="13">
        <f t="shared" si="45"/>
        <v>67.746469973847553</v>
      </c>
      <c r="EM54" s="20">
        <f t="shared" si="19"/>
        <v>612.08727520445143</v>
      </c>
      <c r="EN54" s="59">
        <f t="shared" si="20"/>
        <v>905.4206085377848</v>
      </c>
      <c r="EO54" s="59">
        <f ca="1">AVERAGE(OFFSET($EN$3,0,0,'Données projet'!$E$15+1,1))-AVERAGE(OFFSET($H$3,0,0,'Données projet'!$E$15+1,1))</f>
        <v>504.81063008331739</v>
      </c>
      <c r="EP54" s="59">
        <f t="shared" si="46"/>
        <v>441.82647565372287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72.037225260492733</v>
      </c>
      <c r="EW54" s="21">
        <f>EXP(-LN(2)/25)*EW53+(1-EXP(-LN(2)/25))/(LN(2)/25)*Calculateur!ER54*Calculateur!ET54*VLOOKUP('Données projet'!$B$15,Paramètres!$A$1:$I$89,3,0)*0.475*44/12</f>
        <v>32.892506516173</v>
      </c>
      <c r="EX54" s="21">
        <f>EXP(-LN(2)/2)*EX53+(1-EXP(-LN(2)/2))/(LN(2)/2)*ER54*EU54*VLOOKUP('Données projet'!$B$15,Paramètres!$A$1:$I$89,3,0)*0.475*44/12</f>
        <v>3.6159701518598864E-5</v>
      </c>
      <c r="EY54" s="22">
        <f t="shared" si="21"/>
        <v>104.92976793636726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15.6</v>
      </c>
      <c r="FE54" s="12">
        <f>IF('Données projet'!$A$218&gt;35,FE53+FD54-FM53,IF(A54&lt;'Données projet'!$A$218,$FB$205^A54,IF(A54='Données projet'!$A$218,'Données projet'!$B$218,FE53+FD54-FM53)))</f>
        <v>307.59999999999991</v>
      </c>
      <c r="FF54" s="17">
        <f>FE54*VLOOKUP('Données projet'!$B$16,Paramètres!$A$1:$I$89,3,0)*VLOOKUP('Données projet'!$B$16,Paramètres!$A$1:$I$89,5,0)</f>
        <v>175.94719999999995</v>
      </c>
      <c r="FG54" s="13">
        <f t="shared" si="47"/>
        <v>44.419321257789967</v>
      </c>
      <c r="FH54" s="20">
        <f t="shared" si="22"/>
        <v>383.80502452398406</v>
      </c>
      <c r="FI54" s="59">
        <f t="shared" si="23"/>
        <v>677.13835785731737</v>
      </c>
      <c r="FJ54" s="59">
        <f ca="1">AVERAGE(OFFSET($FI$3,0,0,'Données projet'!$E$16+1,1))-AVERAGE(OFFSET($H$3,0,0,'Données projet'!$E$16+1,1))</f>
        <v>393.41577134252316</v>
      </c>
      <c r="FK54" s="59">
        <f t="shared" si="48"/>
        <v>255.54039659391475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48.774930991821314</v>
      </c>
      <c r="FR54" s="21">
        <f>EXP(-LN(2)/25)*FR53+(1-EXP(-LN(2)/25))/(LN(2)/25)*Calculateur!FM54*Calculateur!FO54*VLOOKUP('Données projet'!$B$16,Paramètres!$A$1:$I$89,3,0)*0.475*44/12</f>
        <v>14.927156535050022</v>
      </c>
      <c r="FS54" s="21">
        <f>EXP(-LN(2)/2)*FS53+(1-EXP(-LN(2)/2))/(LN(2)/2)*FM54*FP54*VLOOKUP('Données projet'!$B$16,Paramètres!$A$1:$I$89,3,0)*0.475*44/12</f>
        <v>2.5155858333404137E-4</v>
      </c>
      <c r="FT54" s="22">
        <f t="shared" si="24"/>
        <v>63.702339085454675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24.4</v>
      </c>
      <c r="FZ54" s="12">
        <f>IF('Données projet'!$A$244&gt;35,FZ53+FY54-GH53,IF(A54&lt;'Données projet'!$A$244,$FW$205^A54,IF(A54='Données projet'!$A$244,'Données projet'!$B$244,FZ53+FY54-GH53)))</f>
        <v>599.39999999999986</v>
      </c>
      <c r="GA54" s="17">
        <f>FZ54*VLOOKUP('Données projet'!$B$17,Paramètres!$A$1:$I$89,3,0)*VLOOKUP('Données projet'!$B$17,Paramètres!$A$1:$I$89,5,0)</f>
        <v>280.5191999999999</v>
      </c>
      <c r="GB54" s="13">
        <f t="shared" si="49"/>
        <v>67.076718933381159</v>
      </c>
      <c r="GC54" s="20">
        <f t="shared" si="25"/>
        <v>605.39622547563874</v>
      </c>
      <c r="GD54" s="59">
        <f t="shared" si="26"/>
        <v>898.72955880897212</v>
      </c>
      <c r="GE54" s="59">
        <f ca="1">AVERAGE(OFFSET($GD$3,0,0,'Données projet'!$E$17+1,1))-AVERAGE(OFFSET($H$3,0,0,'Données projet'!$E$17+1,1))</f>
        <v>488.67934252295686</v>
      </c>
      <c r="GF54" s="59">
        <f t="shared" si="50"/>
        <v>424.50324471331095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89.085944904557508</v>
      </c>
      <c r="GM54" s="21">
        <f>EXP(-LN(2)/25)*GM53+(1-EXP(-LN(2)/25))/(LN(2)/25)*Calculateur!GH54*Calculateur!GJ54*VLOOKUP('Données projet'!$B$17,Paramètres!$A$1:$I$89,3,0)*0.475*44/12</f>
        <v>27.366453647591708</v>
      </c>
      <c r="GN54" s="21">
        <f>EXP(-LN(2)/2)*GN53+(1-EXP(-LN(2)/2))/(LN(2)/2)*GH54*GK54*VLOOKUP('Données projet'!$B$17,Paramètres!$A$1:$I$89,3,0)*0.475*44/12</f>
        <v>5.6028957197127379E-4</v>
      </c>
      <c r="GO54" s="21">
        <f t="shared" si="27"/>
        <v>116.45295884172118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23.4</v>
      </c>
      <c r="GU54" s="12">
        <f>IF('Données projet'!$A$270&gt;35,GU53+GT54-HC53,IF(A54&lt;'Données projet'!$A$270,$GR$205^A54,IF(A54='Données projet'!$A$270,'Données projet'!$B$270,GU53+GT54-HC53)))</f>
        <v>546.40000000000009</v>
      </c>
      <c r="GV54" s="17">
        <f>GU54*VLOOKUP('Données projet'!$B$18,Paramètres!$A$1:$I$89,3,0)*VLOOKUP('Données projet'!$B$18,Paramètres!$A$1:$I$89,5,0)</f>
        <v>262.81840000000005</v>
      </c>
      <c r="GW54" s="13">
        <f t="shared" si="51"/>
        <v>63.32276944431532</v>
      </c>
      <c r="GX54" s="20">
        <f t="shared" si="28"/>
        <v>568.02920344884922</v>
      </c>
      <c r="GY54" s="59">
        <f t="shared" si="29"/>
        <v>861.36253678218259</v>
      </c>
      <c r="GZ54" s="59">
        <f ca="1">AVERAGE(OFFSET($GY$3,0,0,'Données projet'!$E$18+1,1))-AVERAGE(OFFSET($H$3,0,0,'Données projet'!$E$18+1,1))</f>
        <v>458.80976193248841</v>
      </c>
      <c r="HA54" s="59">
        <f t="shared" si="52"/>
        <v>396.07405370178759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83.549650310064351</v>
      </c>
      <c r="HH54" s="21">
        <f>EXP(-LN(2)/25)*HH53+(1-EXP(-LN(2)/25))/(LN(2)/25)*Calculateur!HC54*Calculateur!HE54*VLOOKUP('Données projet'!$B$18,Paramètres!$A$1:$I$89,3,0)*0.475*44/12</f>
        <v>25.569666286891248</v>
      </c>
      <c r="HI54" s="21">
        <f>EXP(-LN(2)/2)*HI53+(1-EXP(-LN(2)/2))/(LN(2)/2)*HC54*HF54*VLOOKUP('Données projet'!$B$18,Paramètres!$A$1:$I$89,3,0)*0.475*44/12</f>
        <v>2.5854632175998716E-4</v>
      </c>
      <c r="HJ54" s="22">
        <f t="shared" si="30"/>
        <v>109.11957514327736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635.72643681712532</v>
      </c>
      <c r="S55" s="59">
        <f ca="1">AVERAGE(OFFSET($R$3,0,0,'Données projet'!$E$9+1,1))-AVERAGE(OFFSET($H$3,0,0,'Données projet'!$E$9+1,1))</f>
        <v>364.3481978218424</v>
      </c>
      <c r="T55" s="59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30.115984837382857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30.115984837382857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13.8</v>
      </c>
      <c r="AI55" s="13">
        <f>IF('Données projet'!$A$62&gt;35,AI54+AH55-AQ54,IF(A55&lt;'Données projet'!$A$62,$AF$205^A55,IF(A55='Données projet'!$A$62,'Données projet'!$B$62,AI54+AH55-AQ54)))</f>
        <v>608.59999999999968</v>
      </c>
      <c r="AJ55" s="13">
        <f>AI55*VLOOKUP('Données projet'!$B$10,Paramètres!$A$1:$I$89,3,0)*VLOOKUP('Données projet'!$B$10,Paramètres!$A$1:$I$89,5,0)</f>
        <v>340.20739999999984</v>
      </c>
      <c r="AK55" s="13">
        <f t="shared" si="35"/>
        <v>79.542795053996059</v>
      </c>
      <c r="AL55" s="20">
        <f t="shared" si="4"/>
        <v>731.06492305237623</v>
      </c>
      <c r="AM55" s="59">
        <f t="shared" si="5"/>
        <v>1024.3982563857096</v>
      </c>
      <c r="AN55" s="59">
        <f ca="1">AVERAGE(OFFSET($AM$3,0,0,'Données projet'!$E$10+1,1))-AVERAGE(OFFSET($H$3,0,0,'Données projet'!$E$10+1,1))</f>
        <v>443.34220761968419</v>
      </c>
      <c r="AO55" s="59">
        <f t="shared" si="36"/>
        <v>546.58234447298014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85.501581889251725</v>
      </c>
      <c r="AV55" s="21">
        <f>EXP(-LN(2)/25)*AV54+(1-EXP(-LN(2)/25))/(LN(2)/25)*Calculateur!AQ55*Calculateur!AS55*VLOOKUP('Données projet'!$B$10,Paramètres!$A$1:$I$89,3,0)*0.475*44/12</f>
        <v>11.92001657538516</v>
      </c>
      <c r="AW55" s="21">
        <f>EXP(-LN(2)/2)*AW54+(1-EXP(-LN(2)/2))/(LN(2)/2)*AQ55*AT55*VLOOKUP('Données projet'!$B$10,Paramètres!$A$1:$I$89,3,0)*0.475*44/12</f>
        <v>2.9500961136446676E-3</v>
      </c>
      <c r="AX55" s="21">
        <f t="shared" si="6"/>
        <v>97.424548560750537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</v>
      </c>
      <c r="BD55" s="12">
        <f>IF('Données projet'!$A$88&gt;35,BD54+BC55-BL54,IF(A55&lt;'Données projet'!$A$88,$BA$205^A55,IF(A55='Données projet'!$A$88,'Données projet'!$B$88,BD54+BC55-BL54)))</f>
        <v>211.00000000000003</v>
      </c>
      <c r="BE55" s="13">
        <f>BD55*VLOOKUP('Données projet'!$B$11,Paramètres!$A$1:$I$89,3,0)*VLOOKUP('Données projet'!$B$11,Paramètres!$A$1:$I$89,5,0)</f>
        <v>181.03800000000004</v>
      </c>
      <c r="BF55" s="13">
        <f t="shared" si="37"/>
        <v>45.553044701671382</v>
      </c>
      <c r="BG55" s="20">
        <f t="shared" si="7"/>
        <v>394.64606952207765</v>
      </c>
      <c r="BH55" s="59">
        <f t="shared" si="8"/>
        <v>687.97940285541097</v>
      </c>
      <c r="BI55" s="59">
        <f ca="1">AVERAGE(OFFSET($BH$3,0,0,'Données projet'!$E$11+1,1))-AVERAGE(OFFSET($H$3,0,0,'Données projet'!$E$11+1,1))</f>
        <v>447.15627913956871</v>
      </c>
      <c r="BJ55" s="59">
        <f t="shared" si="38"/>
        <v>256.77417912163997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46.932956856974641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46.932956856974641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</v>
      </c>
      <c r="BY55" s="12">
        <f>IF('Données projet'!$A$114&gt;35,BY54+BX55-CG54,IF(A55&lt;'Données projet'!$A$114,$BV$205^A55,IF(A55='Données projet'!$A$114,'Données projet'!$B$114,BY54+BX55-CG54)))</f>
        <v>232.99999999999997</v>
      </c>
      <c r="BZ55" s="13">
        <f>BY55*VLOOKUP('Données projet'!$B$12,Paramètres!$A$1:$I$89,3,0)*VLOOKUP('Données projet'!$B$12,Paramètres!$A$1:$I$89,5,0)</f>
        <v>221.72279999999995</v>
      </c>
      <c r="CA55" s="13">
        <f t="shared" si="39"/>
        <v>54.489157628530627</v>
      </c>
      <c r="CB55" s="20">
        <f t="shared" si="10"/>
        <v>481.0691595363574</v>
      </c>
      <c r="CC55" s="59">
        <f t="shared" si="11"/>
        <v>774.40249286969072</v>
      </c>
      <c r="CD55" s="59">
        <f ca="1">AVERAGE(OFFSET($CC$3,0,0,'Données projet'!$E$12+1,1))-AVERAGE(OFFSET($H$3,0,0,'Données projet'!$E$12+1,1))</f>
        <v>448.94764480536713</v>
      </c>
      <c r="CE55" s="59">
        <f t="shared" si="40"/>
        <v>469.26760321719695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44.925115206938742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44.925115206938742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187.80389738728508</v>
      </c>
      <c r="CZ55" s="59">
        <f t="shared" si="42"/>
        <v>439.28159165815265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79.888227344295188</v>
      </c>
      <c r="DG55" s="21">
        <f>EXP(-LN(2)/25)*DG54+(1-EXP(-LN(2)/25))/(LN(2)/25)*Calculateur!DB55*Calculateur!DD55*VLOOKUP('Données projet'!$B$13,Paramètres!$A$1:$I$89,3,0)*0.475*44/12</f>
        <v>7.8121617847328482</v>
      </c>
      <c r="DH55" s="21">
        <f>EXP(-LN(2)/2)*DH54+(1-EXP(-LN(2)/2))/(LN(2)/2)*DB55*DE55*VLOOKUP('Données projet'!$B$13,Paramètres!$A$1:$I$89,3,0)*0.475*44/12</f>
        <v>2.1954104493435006E-5</v>
      </c>
      <c r="DI55" s="22">
        <f t="shared" si="15"/>
        <v>87.700411083132536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255.00000000000006</v>
      </c>
      <c r="DP55" s="17">
        <f>DO55*VLOOKUP('Données projet'!$B$14,Paramètres!$A$1:$I$89,3,0)*VLOOKUP('Données projet'!$B$14,Paramètres!$A$1:$I$89,5,0)</f>
        <v>186.96600000000004</v>
      </c>
      <c r="DQ55" s="13">
        <f t="shared" si="43"/>
        <v>46.868551400324648</v>
      </c>
      <c r="DR55" s="20">
        <f t="shared" si="16"/>
        <v>407.26184368889881</v>
      </c>
      <c r="DS55" s="59">
        <f t="shared" si="17"/>
        <v>700.59517702223206</v>
      </c>
      <c r="DT55" s="59">
        <f ca="1">AVERAGE(OFFSET($DS$3,0,0,'Données projet'!$E$14+1,1))-AVERAGE(OFFSET($H$3,0,0,'Données projet'!$E$14+1,1))</f>
        <v>239.25212250019609</v>
      </c>
      <c r="DU55" s="59">
        <f t="shared" si="44"/>
        <v>213.58492101729695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18.399999999999999</v>
      </c>
      <c r="EJ55" s="12">
        <f>IF('Données projet'!$A$192&gt;35,EJ54+EI55-ER54,IF(A55&lt;'Données projet'!$A$192,$EG$205^A55,IF(A55='Données projet'!$A$192,'Données projet'!$B$192,EJ54+EI55-ER54)))</f>
        <v>492.8000000000003</v>
      </c>
      <c r="EK55" s="17">
        <f>EJ55*VLOOKUP('Données projet'!$B$15,Paramètres!$A$1:$I$89,3,0)*VLOOKUP('Données projet'!$B$15,Paramètres!$A$1:$I$89,5,0)</f>
        <v>294.6944000000002</v>
      </c>
      <c r="EL55" s="13">
        <f t="shared" si="45"/>
        <v>70.063053488002765</v>
      </c>
      <c r="EM55" s="20">
        <f t="shared" si="19"/>
        <v>635.28589815827183</v>
      </c>
      <c r="EN55" s="59">
        <f t="shared" si="20"/>
        <v>928.61923149160521</v>
      </c>
      <c r="EO55" s="59">
        <f ca="1">AVERAGE(OFFSET($EN$3,0,0,'Données projet'!$E$15+1,1))-AVERAGE(OFFSET($H$3,0,0,'Données projet'!$E$15+1,1))</f>
        <v>504.81063008331739</v>
      </c>
      <c r="EP55" s="59">
        <f t="shared" si="46"/>
        <v>441.82647565372287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70.62461921150333</v>
      </c>
      <c r="EW55" s="21">
        <f>EXP(-LN(2)/25)*EW54+(1-EXP(-LN(2)/25))/(LN(2)/25)*Calculateur!ER55*Calculateur!ET55*VLOOKUP('Données projet'!$B$15,Paramètres!$A$1:$I$89,3,0)*0.475*44/12</f>
        <v>31.993059195746508</v>
      </c>
      <c r="EX55" s="21">
        <f>EXP(-LN(2)/2)*EX54+(1-EXP(-LN(2)/2))/(LN(2)/2)*ER55*EU55*VLOOKUP('Données projet'!$B$15,Paramètres!$A$1:$I$89,3,0)*0.475*44/12</f>
        <v>2.5568770149482758E-5</v>
      </c>
      <c r="EY55" s="22">
        <f t="shared" si="21"/>
        <v>102.61770397602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15.6</v>
      </c>
      <c r="FE55" s="12">
        <f>IF('Données projet'!$A$218&gt;35,FE54+FD55-FM54,IF(A55&lt;'Données projet'!$A$218,$FB$205^A55,IF(A55='Données projet'!$A$218,'Données projet'!$B$218,FE54+FD55-FM54)))</f>
        <v>323.19999999999993</v>
      </c>
      <c r="FF55" s="17">
        <f>FE55*VLOOKUP('Données projet'!$B$16,Paramètres!$A$1:$I$89,3,0)*VLOOKUP('Données projet'!$B$16,Paramètres!$A$1:$I$89,5,0)</f>
        <v>184.87039999999996</v>
      </c>
      <c r="FG55" s="13">
        <f t="shared" si="47"/>
        <v>46.404071002195188</v>
      </c>
      <c r="FH55" s="20">
        <f t="shared" si="22"/>
        <v>402.80303699548989</v>
      </c>
      <c r="FI55" s="59">
        <f t="shared" si="23"/>
        <v>696.1363703288232</v>
      </c>
      <c r="FJ55" s="59">
        <f ca="1">AVERAGE(OFFSET($FI$3,0,0,'Données projet'!$E$16+1,1))-AVERAGE(OFFSET($H$3,0,0,'Données projet'!$E$16+1,1))</f>
        <v>393.41577134252316</v>
      </c>
      <c r="FK55" s="59">
        <f t="shared" si="48"/>
        <v>255.54039659391475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47.818484344842055</v>
      </c>
      <c r="FR55" s="21">
        <f>EXP(-LN(2)/25)*FR54+(1-EXP(-LN(2)/25))/(LN(2)/25)*Calculateur!FM55*Calculateur!FO55*VLOOKUP('Données projet'!$B$16,Paramètres!$A$1:$I$89,3,0)*0.475*44/12</f>
        <v>14.518972654614034</v>
      </c>
      <c r="FS55" s="21">
        <f>EXP(-LN(2)/2)*FS54+(1-EXP(-LN(2)/2))/(LN(2)/2)*FM55*FP55*VLOOKUP('Données projet'!$B$16,Paramètres!$A$1:$I$89,3,0)*0.475*44/12</f>
        <v>1.7787878014118187E-4</v>
      </c>
      <c r="FT55" s="22">
        <f t="shared" si="24"/>
        <v>62.33763487823623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24.4</v>
      </c>
      <c r="FZ55" s="12">
        <f>IF('Données projet'!$A$244&gt;35,FZ54+FY55-GH54,IF(A55&lt;'Données projet'!$A$244,$FW$205^A55,IF(A55='Données projet'!$A$244,'Données projet'!$B$244,FZ54+FY55-GH54)))</f>
        <v>623.79999999999984</v>
      </c>
      <c r="GA55" s="17">
        <f>FZ55*VLOOKUP('Données projet'!$B$17,Paramètres!$A$1:$I$89,3,0)*VLOOKUP('Données projet'!$B$17,Paramètres!$A$1:$I$89,5,0)</f>
        <v>291.93839999999989</v>
      </c>
      <c r="GB55" s="13">
        <f t="shared" si="49"/>
        <v>69.48377254397181</v>
      </c>
      <c r="GC55" s="20">
        <f t="shared" si="25"/>
        <v>629.47695051408391</v>
      </c>
      <c r="GD55" s="59">
        <f t="shared" si="26"/>
        <v>922.81028384741717</v>
      </c>
      <c r="GE55" s="59">
        <f ca="1">AVERAGE(OFFSET($GD$3,0,0,'Données projet'!$E$17+1,1))-AVERAGE(OFFSET($H$3,0,0,'Données projet'!$E$17+1,1))</f>
        <v>488.67934252295686</v>
      </c>
      <c r="GF55" s="59">
        <f t="shared" si="50"/>
        <v>424.50324471331095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87.339023862040193</v>
      </c>
      <c r="GM55" s="21">
        <f>EXP(-LN(2)/25)*GM54+(1-EXP(-LN(2)/25))/(LN(2)/25)*Calculateur!GH55*Calculateur!GJ55*VLOOKUP('Données projet'!$B$17,Paramètres!$A$1:$I$89,3,0)*0.475*44/12</f>
        <v>26.618116533459062</v>
      </c>
      <c r="GN55" s="21">
        <f>EXP(-LN(2)/2)*GN54+(1-EXP(-LN(2)/2))/(LN(2)/2)*GH55*GK55*VLOOKUP('Données projet'!$B$17,Paramètres!$A$1:$I$89,3,0)*0.475*44/12</f>
        <v>3.9618455576899587E-4</v>
      </c>
      <c r="GO55" s="21">
        <f t="shared" si="27"/>
        <v>113.95753658005502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23.4</v>
      </c>
      <c r="GU55" s="12">
        <f>IF('Données projet'!$A$270&gt;35,GU54+GT55-HC54,IF(A55&lt;'Données projet'!$A$270,$GR$205^A55,IF(A55='Données projet'!$A$270,'Données projet'!$B$270,GU54+GT55-HC54)))</f>
        <v>569.80000000000007</v>
      </c>
      <c r="GV55" s="17">
        <f>GU55*VLOOKUP('Données projet'!$B$18,Paramètres!$A$1:$I$89,3,0)*VLOOKUP('Données projet'!$B$18,Paramètres!$A$1:$I$89,5,0)</f>
        <v>274.07380000000006</v>
      </c>
      <c r="GW55" s="13">
        <f t="shared" si="51"/>
        <v>65.7130774936374</v>
      </c>
      <c r="GX55" s="20">
        <f t="shared" si="28"/>
        <v>591.7954783014186</v>
      </c>
      <c r="GY55" s="59">
        <f t="shared" si="29"/>
        <v>885.12881163475186</v>
      </c>
      <c r="GZ55" s="59">
        <f ca="1">AVERAGE(OFFSET($GY$3,0,0,'Données projet'!$E$18+1,1))-AVERAGE(OFFSET($H$3,0,0,'Données projet'!$E$18+1,1))</f>
        <v>458.80976193248841</v>
      </c>
      <c r="HA55" s="59">
        <f t="shared" si="52"/>
        <v>396.07405370178759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81.911292627738774</v>
      </c>
      <c r="HH55" s="21">
        <f>EXP(-LN(2)/25)*HH54+(1-EXP(-LN(2)/25))/(LN(2)/25)*Calculateur!HC55*Calculateur!HE55*VLOOKUP('Données projet'!$B$18,Paramètres!$A$1:$I$89,3,0)*0.475*44/12</f>
        <v>24.870462417625898</v>
      </c>
      <c r="HI55" s="21">
        <f>EXP(-LN(2)/2)*HI54+(1-EXP(-LN(2)/2))/(LN(2)/2)*HC55*HF55*VLOOKUP('Données projet'!$B$18,Paramètres!$A$1:$I$89,3,0)*0.475*44/12</f>
        <v>1.8281985736732595E-4</v>
      </c>
      <c r="HJ55" s="22">
        <f t="shared" si="30"/>
        <v>106.78193786522205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651.17655593527957</v>
      </c>
      <c r="S56" s="59">
        <f ca="1">AVERAGE(OFFSET($R$3,0,0,'Données projet'!$E$9+1,1))-AVERAGE(OFFSET($H$3,0,0,'Données projet'!$E$9+1,1))</f>
        <v>364.3481978218424</v>
      </c>
      <c r="T56" s="59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29.525428743658747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29.525428743658747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13.8</v>
      </c>
      <c r="AI56" s="13">
        <f>IF('Données projet'!$A$62&gt;35,AI55+AH56-AQ55,IF(A56&lt;'Données projet'!$A$62,$AF$205^A56,IF(A56='Données projet'!$A$62,'Données projet'!$B$62,AI55+AH56-AQ55)))</f>
        <v>622.39999999999964</v>
      </c>
      <c r="AJ56" s="13">
        <f>AI56*VLOOKUP('Données projet'!$B$10,Paramètres!$A$1:$I$89,3,0)*VLOOKUP('Données projet'!$B$10,Paramètres!$A$1:$I$89,5,0)</f>
        <v>347.92159999999978</v>
      </c>
      <c r="AK56" s="13">
        <f t="shared" si="35"/>
        <v>81.134398856989449</v>
      </c>
      <c r="AL56" s="20">
        <f t="shared" si="4"/>
        <v>747.27253134258956</v>
      </c>
      <c r="AM56" s="59">
        <f t="shared" si="5"/>
        <v>1040.6058646759229</v>
      </c>
      <c r="AN56" s="59">
        <f ca="1">AVERAGE(OFFSET($AM$3,0,0,'Données projet'!$E$10+1,1))-AVERAGE(OFFSET($H$3,0,0,'Données projet'!$E$10+1,1))</f>
        <v>443.34220761968419</v>
      </c>
      <c r="AO56" s="59">
        <f t="shared" si="36"/>
        <v>546.58234447298014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83.824948019218979</v>
      </c>
      <c r="AV56" s="21">
        <f>EXP(-LN(2)/25)*AV55+(1-EXP(-LN(2)/25))/(LN(2)/25)*Calculateur!AQ56*Calculateur!AS56*VLOOKUP('Données projet'!$B$10,Paramètres!$A$1:$I$89,3,0)*0.475*44/12</f>
        <v>11.594063095284826</v>
      </c>
      <c r="AW56" s="21">
        <f>EXP(-LN(2)/2)*AW55+(1-EXP(-LN(2)/2))/(LN(2)/2)*AQ56*AT56*VLOOKUP('Données projet'!$B$10,Paramètres!$A$1:$I$89,3,0)*0.475*44/12</f>
        <v>2.0860329671102242E-3</v>
      </c>
      <c r="AX56" s="21">
        <f t="shared" si="6"/>
        <v>95.421097147470917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</v>
      </c>
      <c r="BD56" s="12">
        <f>IF('Données projet'!$A$88&gt;35,BD55+BC56-BL55,IF(A56&lt;'Données projet'!$A$88,$BA$205^A56,IF(A56='Données projet'!$A$88,'Données projet'!$B$88,BD55+BC56-BL55)))</f>
        <v>222.00000000000003</v>
      </c>
      <c r="BE56" s="13">
        <f>BD56*VLOOKUP('Données projet'!$B$11,Paramètres!$A$1:$I$89,3,0)*VLOOKUP('Données projet'!$B$11,Paramètres!$A$1:$I$89,5,0)</f>
        <v>190.47600000000006</v>
      </c>
      <c r="BF56" s="13">
        <f t="shared" si="37"/>
        <v>47.645174362968355</v>
      </c>
      <c r="BG56" s="20">
        <f t="shared" si="7"/>
        <v>414.7277120155033</v>
      </c>
      <c r="BH56" s="59">
        <f t="shared" si="8"/>
        <v>708.06104534883661</v>
      </c>
      <c r="BI56" s="59">
        <f ca="1">AVERAGE(OFFSET($BH$3,0,0,'Données projet'!$E$11+1,1))-AVERAGE(OFFSET($H$3,0,0,'Données projet'!$E$11+1,1))</f>
        <v>447.15627913956871</v>
      </c>
      <c r="BJ56" s="59">
        <f t="shared" si="38"/>
        <v>256.77417912163997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46.012630199286441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46.012630199286441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</v>
      </c>
      <c r="BY56" s="12">
        <f>IF('Données projet'!$A$114&gt;35,BY55+BX56-CG55,IF(A56&lt;'Données projet'!$A$114,$BV$205^A56,IF(A56='Données projet'!$A$114,'Données projet'!$B$114,BY55+BX56-CG55)))</f>
        <v>239.99999999999997</v>
      </c>
      <c r="BZ56" s="13">
        <f>BY56*VLOOKUP('Données projet'!$B$12,Paramètres!$A$1:$I$89,3,0)*VLOOKUP('Données projet'!$B$12,Paramètres!$A$1:$I$89,5,0)</f>
        <v>228.38399999999999</v>
      </c>
      <c r="CA56" s="13">
        <f t="shared" si="39"/>
        <v>55.933121291087289</v>
      </c>
      <c r="CB56" s="20">
        <f t="shared" si="10"/>
        <v>495.18565291531036</v>
      </c>
      <c r="CC56" s="59">
        <f t="shared" si="11"/>
        <v>788.51898624864361</v>
      </c>
      <c r="CD56" s="59">
        <f ca="1">AVERAGE(OFFSET($CC$3,0,0,'Données projet'!$E$12+1,1))-AVERAGE(OFFSET($H$3,0,0,'Données projet'!$E$12+1,1))</f>
        <v>448.94764480536713</v>
      </c>
      <c r="CE56" s="59">
        <f t="shared" si="40"/>
        <v>469.26760321719695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44.044161099345267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44.044161099345267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187.80389738728508</v>
      </c>
      <c r="CZ56" s="59">
        <f t="shared" si="42"/>
        <v>439.28159165815265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78.321667933080846</v>
      </c>
      <c r="DG56" s="21">
        <f>EXP(-LN(2)/25)*DG55+(1-EXP(-LN(2)/25))/(LN(2)/25)*Calculateur!DB56*Calculateur!DD56*VLOOKUP('Données projet'!$B$13,Paramètres!$A$1:$I$89,3,0)*0.475*44/12</f>
        <v>7.5985378099055954</v>
      </c>
      <c r="DH56" s="21">
        <f>EXP(-LN(2)/2)*DH55+(1-EXP(-LN(2)/2))/(LN(2)/2)*DB56*DE56*VLOOKUP('Données projet'!$B$13,Paramètres!$A$1:$I$89,3,0)*0.475*44/12</f>
        <v>1.5523896162185947E-5</v>
      </c>
      <c r="DI56" s="22">
        <f t="shared" si="15"/>
        <v>85.920221266882606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255.00000000000006</v>
      </c>
      <c r="DP56" s="17">
        <f>DO56*VLOOKUP('Données projet'!$B$14,Paramètres!$A$1:$I$89,3,0)*VLOOKUP('Données projet'!$B$14,Paramètres!$A$1:$I$89,5,0)</f>
        <v>186.96600000000004</v>
      </c>
      <c r="DQ56" s="13">
        <f t="shared" si="43"/>
        <v>46.868551400324648</v>
      </c>
      <c r="DR56" s="20">
        <f t="shared" si="16"/>
        <v>407.26184368889881</v>
      </c>
      <c r="DS56" s="59">
        <f t="shared" si="17"/>
        <v>700.59517702223206</v>
      </c>
      <c r="DT56" s="59">
        <f ca="1">AVERAGE(OFFSET($DS$3,0,0,'Données projet'!$E$14+1,1))-AVERAGE(OFFSET($H$3,0,0,'Données projet'!$E$14+1,1))</f>
        <v>239.25212250019609</v>
      </c>
      <c r="DU56" s="59">
        <f t="shared" si="44"/>
        <v>213.58492101729695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18.399999999999999</v>
      </c>
      <c r="EJ56" s="12">
        <f>IF('Données projet'!$A$192&gt;35,EJ55+EI56-ER55,IF(A56&lt;'Données projet'!$A$192,$EG$205^A56,IF(A56='Données projet'!$A$192,'Données projet'!$B$192,EJ55+EI56-ER55)))</f>
        <v>511.20000000000027</v>
      </c>
      <c r="EK56" s="17">
        <f>EJ56*VLOOKUP('Données projet'!$B$15,Paramètres!$A$1:$I$89,3,0)*VLOOKUP('Données projet'!$B$15,Paramètres!$A$1:$I$89,5,0)</f>
        <v>305.69760000000019</v>
      </c>
      <c r="EL56" s="13">
        <f t="shared" si="45"/>
        <v>72.369588270212418</v>
      </c>
      <c r="EM56" s="20">
        <f t="shared" si="19"/>
        <v>658.46701957062021</v>
      </c>
      <c r="EN56" s="59">
        <f t="shared" si="20"/>
        <v>951.80035290395358</v>
      </c>
      <c r="EO56" s="59">
        <f ca="1">AVERAGE(OFFSET($EN$3,0,0,'Données projet'!$E$15+1,1))-AVERAGE(OFFSET($H$3,0,0,'Données projet'!$E$15+1,1))</f>
        <v>504.81063008331739</v>
      </c>
      <c r="EP56" s="59">
        <f t="shared" si="46"/>
        <v>441.82647565372287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69.239713505529991</v>
      </c>
      <c r="EW56" s="21">
        <f>EXP(-LN(2)/25)*EW55+(1-EXP(-LN(2)/25))/(LN(2)/25)*Calculateur!ER56*Calculateur!ET56*VLOOKUP('Données projet'!$B$15,Paramètres!$A$1:$I$89,3,0)*0.475*44/12</f>
        <v>31.118207309596958</v>
      </c>
      <c r="EX56" s="21">
        <f>EXP(-LN(2)/2)*EX55+(1-EXP(-LN(2)/2))/(LN(2)/2)*ER56*EU56*VLOOKUP('Données projet'!$B$15,Paramètres!$A$1:$I$89,3,0)*0.475*44/12</f>
        <v>1.8079850759299432E-5</v>
      </c>
      <c r="EY56" s="22">
        <f t="shared" si="21"/>
        <v>100.35793889497771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15.6</v>
      </c>
      <c r="FE56" s="12">
        <f>IF('Données projet'!$A$218&gt;35,FE55+FD56-FM55,IF(A56&lt;'Données projet'!$A$218,$FB$205^A56,IF(A56='Données projet'!$A$218,'Données projet'!$B$218,FE55+FD56-FM55)))</f>
        <v>338.79999999999995</v>
      </c>
      <c r="FF56" s="17">
        <f>FE56*VLOOKUP('Données projet'!$B$16,Paramètres!$A$1:$I$89,3,0)*VLOOKUP('Données projet'!$B$16,Paramètres!$A$1:$I$89,5,0)</f>
        <v>193.79359999999997</v>
      </c>
      <c r="FG56" s="13">
        <f t="shared" si="47"/>
        <v>48.377696499352545</v>
      </c>
      <c r="FH56" s="20">
        <f t="shared" si="22"/>
        <v>421.78167473637228</v>
      </c>
      <c r="FI56" s="59">
        <f t="shared" si="23"/>
        <v>715.1150080697056</v>
      </c>
      <c r="FJ56" s="59">
        <f ca="1">AVERAGE(OFFSET($FI$3,0,0,'Données projet'!$E$16+1,1))-AVERAGE(OFFSET($H$3,0,0,'Données projet'!$E$16+1,1))</f>
        <v>393.41577134252316</v>
      </c>
      <c r="FK56" s="59">
        <f t="shared" si="48"/>
        <v>255.54039659391475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46.880793033235207</v>
      </c>
      <c r="FR56" s="21">
        <f>EXP(-LN(2)/25)*FR55+(1-EXP(-LN(2)/25))/(LN(2)/25)*Calculateur!FM56*Calculateur!FO56*VLOOKUP('Données projet'!$B$16,Paramètres!$A$1:$I$89,3,0)*0.475*44/12</f>
        <v>14.121950583854025</v>
      </c>
      <c r="FS56" s="21">
        <f>EXP(-LN(2)/2)*FS55+(1-EXP(-LN(2)/2))/(LN(2)/2)*FM56*FP56*VLOOKUP('Données projet'!$B$16,Paramètres!$A$1:$I$89,3,0)*0.475*44/12</f>
        <v>1.2577929166702068E-4</v>
      </c>
      <c r="FT56" s="22">
        <f t="shared" si="24"/>
        <v>61.002869396380895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24.4</v>
      </c>
      <c r="FZ56" s="12">
        <f>IF('Données projet'!$A$244&gt;35,FZ55+FY56-GH55,IF(A56&lt;'Données projet'!$A$244,$FW$205^A56,IF(A56='Données projet'!$A$244,'Données projet'!$B$244,FZ55+FY56-GH55)))</f>
        <v>648.19999999999982</v>
      </c>
      <c r="GA56" s="17">
        <f>FZ56*VLOOKUP('Données projet'!$B$17,Paramètres!$A$1:$I$89,3,0)*VLOOKUP('Données projet'!$B$17,Paramètres!$A$1:$I$89,5,0)</f>
        <v>303.35759999999988</v>
      </c>
      <c r="GB56" s="13">
        <f t="shared" si="49"/>
        <v>71.879888810204818</v>
      </c>
      <c r="GC56" s="20">
        <f t="shared" si="25"/>
        <v>653.53862634443976</v>
      </c>
      <c r="GD56" s="59">
        <f t="shared" si="26"/>
        <v>946.87195967777302</v>
      </c>
      <c r="GE56" s="59">
        <f ca="1">AVERAGE(OFFSET($GD$3,0,0,'Données projet'!$E$17+1,1))-AVERAGE(OFFSET($H$3,0,0,'Données projet'!$E$17+1,1))</f>
        <v>488.67934252295686</v>
      </c>
      <c r="GF56" s="59">
        <f t="shared" si="50"/>
        <v>424.50324471331095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85.626358875650013</v>
      </c>
      <c r="GM56" s="21">
        <f>EXP(-LN(2)/25)*GM55+(1-EXP(-LN(2)/25))/(LN(2)/25)*Calculateur!GH56*Calculateur!GJ56*VLOOKUP('Données projet'!$B$17,Paramètres!$A$1:$I$89,3,0)*0.475*44/12</f>
        <v>25.890242737065712</v>
      </c>
      <c r="GN56" s="21">
        <f>EXP(-LN(2)/2)*GN55+(1-EXP(-LN(2)/2))/(LN(2)/2)*GH56*GK56*VLOOKUP('Données projet'!$B$17,Paramètres!$A$1:$I$89,3,0)*0.475*44/12</f>
        <v>2.8014478598563689E-4</v>
      </c>
      <c r="GO56" s="21">
        <f t="shared" si="27"/>
        <v>111.51688175750172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23.4</v>
      </c>
      <c r="GU56" s="12">
        <f>IF('Données projet'!$A$270&gt;35,GU55+GT56-HC55,IF(A56&lt;'Données projet'!$A$270,$GR$205^A56,IF(A56='Données projet'!$A$270,'Données projet'!$B$270,GU55+GT56-HC55)))</f>
        <v>593.20000000000005</v>
      </c>
      <c r="GV56" s="17">
        <f>GU56*VLOOKUP('Données projet'!$B$18,Paramètres!$A$1:$I$89,3,0)*VLOOKUP('Données projet'!$B$18,Paramètres!$A$1:$I$89,5,0)</f>
        <v>285.32920000000001</v>
      </c>
      <c r="GW56" s="13">
        <f t="shared" si="51"/>
        <v>68.091983265275218</v>
      </c>
      <c r="GX56" s="20">
        <f t="shared" si="28"/>
        <v>615.54189418702106</v>
      </c>
      <c r="GY56" s="59">
        <f t="shared" si="29"/>
        <v>908.87522752035443</v>
      </c>
      <c r="GZ56" s="59">
        <f ca="1">AVERAGE(OFFSET($GY$3,0,0,'Données projet'!$E$18+1,1))-AVERAGE(OFFSET($H$3,0,0,'Données projet'!$E$18+1,1))</f>
        <v>458.80976193248841</v>
      </c>
      <c r="HA56" s="59">
        <f t="shared" si="52"/>
        <v>396.07405370178759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80.305062140264084</v>
      </c>
      <c r="HH56" s="21">
        <f>EXP(-LN(2)/25)*HH55+(1-EXP(-LN(2)/25))/(LN(2)/25)*Calculateur!HC56*Calculateur!HE56*VLOOKUP('Données projet'!$B$18,Paramètres!$A$1:$I$89,3,0)*0.475*44/12</f>
        <v>24.190378314935142</v>
      </c>
      <c r="HI56" s="21">
        <f>EXP(-LN(2)/2)*HI55+(1-EXP(-LN(2)/2))/(LN(2)/2)*HC56*HF56*VLOOKUP('Données projet'!$B$18,Paramètres!$A$1:$I$89,3,0)*0.475*44/12</f>
        <v>1.2927316087999358E-4</v>
      </c>
      <c r="HJ56" s="22">
        <f t="shared" si="30"/>
        <v>104.49556972836011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666.61207984061377</v>
      </c>
      <c r="S57" s="59">
        <f ca="1">AVERAGE(OFFSET($R$3,0,0,'Données projet'!$E$9+1,1))-AVERAGE(OFFSET($H$3,0,0,'Données projet'!$E$9+1,1))</f>
        <v>364.3481978218424</v>
      </c>
      <c r="T57" s="59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28.946453094728916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28.946453094728916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13.8</v>
      </c>
      <c r="AI57" s="13">
        <f>IF('Données projet'!$A$62&gt;35,AI56+AH57-AQ56,IF(A57&lt;'Données projet'!$A$62,$AF$205^A57,IF(A57='Données projet'!$A$62,'Données projet'!$B$62,AI56+AH57-AQ56)))</f>
        <v>636.19999999999959</v>
      </c>
      <c r="AJ57" s="13">
        <f>AI57*VLOOKUP('Données projet'!$B$10,Paramètres!$A$1:$I$89,3,0)*VLOOKUP('Données projet'!$B$10,Paramètres!$A$1:$I$89,5,0)</f>
        <v>355.63579999999973</v>
      </c>
      <c r="AK57" s="13">
        <f t="shared" si="35"/>
        <v>82.721899912765039</v>
      </c>
      <c r="AL57" s="20">
        <f t="shared" si="4"/>
        <v>763.47299401473185</v>
      </c>
      <c r="AM57" s="59">
        <f t="shared" si="5"/>
        <v>1056.8063273480652</v>
      </c>
      <c r="AN57" s="59">
        <f ca="1">AVERAGE(OFFSET($AM$3,0,0,'Données projet'!$E$10+1,1))-AVERAGE(OFFSET($H$3,0,0,'Données projet'!$E$10+1,1))</f>
        <v>443.34220761968419</v>
      </c>
      <c r="AO57" s="59">
        <f t="shared" si="36"/>
        <v>546.58234447298014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82.181191916731905</v>
      </c>
      <c r="AV57" s="21">
        <f>EXP(-LN(2)/25)*AV56+(1-EXP(-LN(2)/25))/(LN(2)/25)*Calculateur!AQ57*Calculateur!AS57*VLOOKUP('Données projet'!$B$10,Paramètres!$A$1:$I$89,3,0)*0.475*44/12</f>
        <v>11.277022830238982</v>
      </c>
      <c r="AW57" s="21">
        <f>EXP(-LN(2)/2)*AW56+(1-EXP(-LN(2)/2))/(LN(2)/2)*AQ57*AT57*VLOOKUP('Données projet'!$B$10,Paramètres!$A$1:$I$89,3,0)*0.475*44/12</f>
        <v>1.4750480568223338E-3</v>
      </c>
      <c r="AX57" s="21">
        <f t="shared" si="6"/>
        <v>93.4596897950277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</v>
      </c>
      <c r="BD57" s="12">
        <f>IF('Données projet'!$A$88&gt;35,BD56+BC57-BL56,IF(A57&lt;'Données projet'!$A$88,$BA$205^A57,IF(A57='Données projet'!$A$88,'Données projet'!$B$88,BD56+BC57-BL56)))</f>
        <v>233.00000000000003</v>
      </c>
      <c r="BE57" s="13">
        <f>BD57*VLOOKUP('Données projet'!$B$11,Paramètres!$A$1:$I$89,3,0)*VLOOKUP('Données projet'!$B$11,Paramètres!$A$1:$I$89,5,0)</f>
        <v>199.91400000000007</v>
      </c>
      <c r="BF57" s="13">
        <f t="shared" si="37"/>
        <v>49.725267055272241</v>
      </c>
      <c r="BG57" s="20">
        <f t="shared" si="7"/>
        <v>434.78839012126599</v>
      </c>
      <c r="BH57" s="59">
        <f t="shared" si="8"/>
        <v>728.12172345459931</v>
      </c>
      <c r="BI57" s="59">
        <f ca="1">AVERAGE(OFFSET($BH$3,0,0,'Données projet'!$E$11+1,1))-AVERAGE(OFFSET($H$3,0,0,'Données projet'!$E$11+1,1))</f>
        <v>447.15627913956871</v>
      </c>
      <c r="BJ57" s="59">
        <f t="shared" si="38"/>
        <v>256.77417912163997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45.110350586011677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45.110350586011677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</v>
      </c>
      <c r="BY57" s="12">
        <f>IF('Données projet'!$A$114&gt;35,BY56+BX57-CG56,IF(A57&lt;'Données projet'!$A$114,$BV$205^A57,IF(A57='Données projet'!$A$114,'Données projet'!$B$114,BY56+BX57-CG56)))</f>
        <v>246.99999999999997</v>
      </c>
      <c r="BZ57" s="13">
        <f>BY57*VLOOKUP('Données projet'!$B$12,Paramètres!$A$1:$I$89,3,0)*VLOOKUP('Données projet'!$B$12,Paramètres!$A$1:$I$89,5,0)</f>
        <v>235.04519999999999</v>
      </c>
      <c r="CA57" s="13">
        <f t="shared" si="39"/>
        <v>57.372190275906782</v>
      </c>
      <c r="CB57" s="20">
        <f t="shared" si="10"/>
        <v>509.29362139720428</v>
      </c>
      <c r="CC57" s="59">
        <f t="shared" si="11"/>
        <v>802.62695473053759</v>
      </c>
      <c r="CD57" s="59">
        <f ca="1">AVERAGE(OFFSET($CC$3,0,0,'Données projet'!$E$12+1,1))-AVERAGE(OFFSET($H$3,0,0,'Données projet'!$E$12+1,1))</f>
        <v>448.94764480536713</v>
      </c>
      <c r="CE57" s="59">
        <f t="shared" si="40"/>
        <v>469.26760321719695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43.180481964472747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43.180481964472747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187.80389738728508</v>
      </c>
      <c r="CZ57" s="59">
        <f t="shared" si="42"/>
        <v>439.28159165815265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76.785827796413528</v>
      </c>
      <c r="DG57" s="21">
        <f>EXP(-LN(2)/25)*DG56+(1-EXP(-LN(2)/25))/(LN(2)/25)*Calculateur!DB57*Calculateur!DD57*VLOOKUP('Données projet'!$B$13,Paramètres!$A$1:$I$89,3,0)*0.475*44/12</f>
        <v>7.3907553939039898</v>
      </c>
      <c r="DH57" s="21">
        <f>EXP(-LN(2)/2)*DH56+(1-EXP(-LN(2)/2))/(LN(2)/2)*DB57*DE57*VLOOKUP('Données projet'!$B$13,Paramètres!$A$1:$I$89,3,0)*0.475*44/12</f>
        <v>1.0977052246717503E-5</v>
      </c>
      <c r="DI57" s="22">
        <f t="shared" si="15"/>
        <v>84.176594167369757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255.00000000000006</v>
      </c>
      <c r="DP57" s="17">
        <f>DO57*VLOOKUP('Données projet'!$B$14,Paramètres!$A$1:$I$89,3,0)*VLOOKUP('Données projet'!$B$14,Paramètres!$A$1:$I$89,5,0)</f>
        <v>186.96600000000004</v>
      </c>
      <c r="DQ57" s="13">
        <f t="shared" si="43"/>
        <v>46.868551400324648</v>
      </c>
      <c r="DR57" s="20">
        <f t="shared" si="16"/>
        <v>407.26184368889881</v>
      </c>
      <c r="DS57" s="59">
        <f t="shared" si="17"/>
        <v>700.59517702223206</v>
      </c>
      <c r="DT57" s="59">
        <f ca="1">AVERAGE(OFFSET($DS$3,0,0,'Données projet'!$E$14+1,1))-AVERAGE(OFFSET($H$3,0,0,'Données projet'!$E$14+1,1))</f>
        <v>239.25212250019609</v>
      </c>
      <c r="DU57" s="59">
        <f t="shared" si="44"/>
        <v>213.58492101729695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18.399999999999999</v>
      </c>
      <c r="EJ57" s="12">
        <f>IF('Données projet'!$A$192&gt;35,EJ56+EI57-ER56,IF(A57&lt;'Données projet'!$A$192,$EG$205^A57,IF(A57='Données projet'!$A$192,'Données projet'!$B$192,EJ56+EI57-ER56)))</f>
        <v>529.60000000000025</v>
      </c>
      <c r="EK57" s="17">
        <f>EJ57*VLOOKUP('Données projet'!$B$15,Paramètres!$A$1:$I$89,3,0)*VLOOKUP('Données projet'!$B$15,Paramètres!$A$1:$I$89,5,0)</f>
        <v>316.70080000000019</v>
      </c>
      <c r="EL57" s="13">
        <f t="shared" si="45"/>
        <v>74.666477445141737</v>
      </c>
      <c r="EM57" s="20">
        <f t="shared" si="19"/>
        <v>681.63134155028877</v>
      </c>
      <c r="EN57" s="59">
        <f t="shared" si="20"/>
        <v>974.96467488362214</v>
      </c>
      <c r="EO57" s="59">
        <f ca="1">AVERAGE(OFFSET($EN$3,0,0,'Données projet'!$E$15+1,1))-AVERAGE(OFFSET($H$3,0,0,'Données projet'!$E$15+1,1))</f>
        <v>504.81063008331739</v>
      </c>
      <c r="EP57" s="59">
        <f t="shared" si="46"/>
        <v>441.82647565372287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67.881964955741722</v>
      </c>
      <c r="EW57" s="21">
        <f>EXP(-LN(2)/25)*EW56+(1-EXP(-LN(2)/25))/(LN(2)/25)*Calculateur!ER57*Calculateur!ET57*VLOOKUP('Données projet'!$B$15,Paramètres!$A$1:$I$89,3,0)*0.475*44/12</f>
        <v>30.267278294280629</v>
      </c>
      <c r="EX57" s="21">
        <f>EXP(-LN(2)/2)*EX56+(1-EXP(-LN(2)/2))/(LN(2)/2)*ER57*EU57*VLOOKUP('Données projet'!$B$15,Paramètres!$A$1:$I$89,3,0)*0.475*44/12</f>
        <v>1.2784385074741379E-5</v>
      </c>
      <c r="EY57" s="22">
        <f t="shared" si="21"/>
        <v>98.149256034407429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15.6</v>
      </c>
      <c r="FE57" s="12">
        <f>IF('Données projet'!$A$218&gt;35,FE56+FD57-FM56,IF(A57&lt;'Données projet'!$A$218,$FB$205^A57,IF(A57='Données projet'!$A$218,'Données projet'!$B$218,FE56+FD57-FM56)))</f>
        <v>354.4</v>
      </c>
      <c r="FF57" s="17">
        <f>FE57*VLOOKUP('Données projet'!$B$16,Paramètres!$A$1:$I$89,3,0)*VLOOKUP('Données projet'!$B$16,Paramètres!$A$1:$I$89,5,0)</f>
        <v>202.71679999999998</v>
      </c>
      <c r="FG57" s="13">
        <f t="shared" si="47"/>
        <v>50.34076846801689</v>
      </c>
      <c r="FH57" s="20">
        <f t="shared" si="22"/>
        <v>440.74193174846272</v>
      </c>
      <c r="FI57" s="59">
        <f t="shared" si="23"/>
        <v>734.07526508179603</v>
      </c>
      <c r="FJ57" s="59">
        <f ca="1">AVERAGE(OFFSET($FI$3,0,0,'Données projet'!$E$16+1,1))-AVERAGE(OFFSET($H$3,0,0,'Données projet'!$E$16+1,1))</f>
        <v>393.41577134252316</v>
      </c>
      <c r="FK57" s="59">
        <f t="shared" si="48"/>
        <v>255.54039659391475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45.961489276313749</v>
      </c>
      <c r="FR57" s="21">
        <f>EXP(-LN(2)/25)*FR56+(1-EXP(-LN(2)/25))/(LN(2)/25)*Calculateur!FM57*Calculateur!FO57*VLOOKUP('Données projet'!$B$16,Paramètres!$A$1:$I$89,3,0)*0.475*44/12</f>
        <v>13.735785102497431</v>
      </c>
      <c r="FS57" s="21">
        <f>EXP(-LN(2)/2)*FS56+(1-EXP(-LN(2)/2))/(LN(2)/2)*FM57*FP57*VLOOKUP('Données projet'!$B$16,Paramètres!$A$1:$I$89,3,0)*0.475*44/12</f>
        <v>8.8939390070590937E-5</v>
      </c>
      <c r="FT57" s="22">
        <f t="shared" si="24"/>
        <v>59.697363318201248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24.4</v>
      </c>
      <c r="FZ57" s="12">
        <f>IF('Données projet'!$A$244&gt;35,FZ56+FY57-GH56,IF(A57&lt;'Données projet'!$A$244,$FW$205^A57,IF(A57='Données projet'!$A$244,'Données projet'!$B$244,FZ56+FY57-GH56)))</f>
        <v>672.5999999999998</v>
      </c>
      <c r="GA57" s="17">
        <f>FZ57*VLOOKUP('Données projet'!$B$17,Paramètres!$A$1:$I$89,3,0)*VLOOKUP('Données projet'!$B$17,Paramètres!$A$1:$I$89,5,0)</f>
        <v>314.77679999999987</v>
      </c>
      <c r="GB57" s="13">
        <f t="shared" si="49"/>
        <v>74.265526581536733</v>
      </c>
      <c r="GC57" s="20">
        <f t="shared" si="25"/>
        <v>677.58205212950963</v>
      </c>
      <c r="GD57" s="59">
        <f t="shared" si="26"/>
        <v>970.91538546284301</v>
      </c>
      <c r="GE57" s="59">
        <f ca="1">AVERAGE(OFFSET($GD$3,0,0,'Données projet'!$E$17+1,1))-AVERAGE(OFFSET($H$3,0,0,'Données projet'!$E$17+1,1))</f>
        <v>488.67934252295686</v>
      </c>
      <c r="GF57" s="59">
        <f t="shared" si="50"/>
        <v>424.50324471331095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83.947278205020453</v>
      </c>
      <c r="GM57" s="21">
        <f>EXP(-LN(2)/25)*GM56+(1-EXP(-LN(2)/25))/(LN(2)/25)*Calculateur!GH57*Calculateur!GJ57*VLOOKUP('Données projet'!$B$17,Paramètres!$A$1:$I$89,3,0)*0.475*44/12</f>
        <v>25.182272687911958</v>
      </c>
      <c r="GN57" s="21">
        <f>EXP(-LN(2)/2)*GN56+(1-EXP(-LN(2)/2))/(LN(2)/2)*GH57*GK57*VLOOKUP('Données projet'!$B$17,Paramètres!$A$1:$I$89,3,0)*0.475*44/12</f>
        <v>1.9809227788449794E-4</v>
      </c>
      <c r="GO57" s="21">
        <f t="shared" si="27"/>
        <v>109.1297489852103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23.4</v>
      </c>
      <c r="GU57" s="12">
        <f>IF('Données projet'!$A$270&gt;35,GU56+GT57-HC56,IF(A57&lt;'Données projet'!$A$270,$GR$205^A57,IF(A57='Données projet'!$A$270,'Données projet'!$B$270,GU56+GT57-HC56)))</f>
        <v>616.6</v>
      </c>
      <c r="GV57" s="17">
        <f>GU57*VLOOKUP('Données projet'!$B$18,Paramètres!$A$1:$I$89,3,0)*VLOOKUP('Données projet'!$B$18,Paramètres!$A$1:$I$89,5,0)</f>
        <v>296.58460000000002</v>
      </c>
      <c r="GW57" s="13">
        <f t="shared" si="51"/>
        <v>70.459988014555918</v>
      </c>
      <c r="GX57" s="20">
        <f t="shared" si="28"/>
        <v>639.26932412535155</v>
      </c>
      <c r="GY57" s="59">
        <f t="shared" si="29"/>
        <v>932.60265745868492</v>
      </c>
      <c r="GZ57" s="59">
        <f ca="1">AVERAGE(OFFSET($GY$3,0,0,'Données projet'!$E$18+1,1))-AVERAGE(OFFSET($H$3,0,0,'Données projet'!$E$18+1,1))</f>
        <v>458.80976193248841</v>
      </c>
      <c r="HA57" s="59">
        <f t="shared" si="52"/>
        <v>396.07405370178759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78.730328852944908</v>
      </c>
      <c r="HH57" s="21">
        <f>EXP(-LN(2)/25)*HH56+(1-EXP(-LN(2)/25))/(LN(2)/25)*Calculateur!HC57*Calculateur!HE57*VLOOKUP('Données projet'!$B$18,Paramètres!$A$1:$I$89,3,0)*0.475*44/12</f>
        <v>23.528891147796532</v>
      </c>
      <c r="HI57" s="21">
        <f>EXP(-LN(2)/2)*HI56+(1-EXP(-LN(2)/2))/(LN(2)/2)*HC57*HF57*VLOOKUP('Données projet'!$B$18,Paramètres!$A$1:$I$89,3,0)*0.475*44/12</f>
        <v>9.1409928683662976E-5</v>
      </c>
      <c r="HJ57" s="22">
        <f t="shared" si="30"/>
        <v>102.25931141067012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682.03369695342735</v>
      </c>
      <c r="S58" s="59">
        <f ca="1">AVERAGE(OFFSET($R$3,0,0,'Données projet'!$E$9+1,1))-AVERAGE(OFFSET($H$3,0,0,'Données projet'!$E$9+1,1))</f>
        <v>364.3481978218424</v>
      </c>
      <c r="T58" s="59">
        <f t="shared" si="34"/>
        <v>231.36959598460686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37.410904087729087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37.410904087729087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650</v>
      </c>
      <c r="AG58" s="12">
        <f>VLOOKUP(A58,'Données projet'!$A$61:$I$81,9,0)</f>
        <v>13.8</v>
      </c>
      <c r="AH58" s="12">
        <f t="array" ref="AH58">INDEX(AG:AG,MIN(IF(ISNUMBER(AG58:AG254),ROW(AG58:AG254),"")))</f>
        <v>13.8</v>
      </c>
      <c r="AI58" s="13">
        <f>IF('Données projet'!$A$62&gt;35,AI57+AH58-AQ57,IF(A58&lt;'Données projet'!$A$62,$AF$205^A58,IF(A58='Données projet'!$A$62,'Données projet'!$B$62,AI57+AH58-AQ57)))</f>
        <v>649.99999999999955</v>
      </c>
      <c r="AJ58" s="13">
        <f>AI58*VLOOKUP('Données projet'!$B$10,Paramètres!$A$1:$I$89,3,0)*VLOOKUP('Données projet'!$B$10,Paramètres!$A$1:$I$89,5,0)</f>
        <v>363.34999999999974</v>
      </c>
      <c r="AK58" s="13">
        <f t="shared" si="35"/>
        <v>84.305397464498199</v>
      </c>
      <c r="AL58" s="20">
        <f t="shared" si="4"/>
        <v>779.66648391733395</v>
      </c>
      <c r="AM58" s="59">
        <f t="shared" si="5"/>
        <v>1072.9998172506673</v>
      </c>
      <c r="AN58" s="59">
        <f ca="1">AVERAGE(OFFSET($AM$3,0,0,'Données projet'!$E$10+1,1))-AVERAGE(OFFSET($H$3,0,0,'Données projet'!$E$10+1,1))</f>
        <v>443.34220761968419</v>
      </c>
      <c r="AO58" s="59">
        <f t="shared" si="36"/>
        <v>546.58234447298014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0.55000000000000004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94.844497332693408</v>
      </c>
      <c r="AV58" s="21">
        <f>EXP(-LN(2)/25)*AV57+(1-EXP(-LN(2)/25))/(LN(2)/25)*Calculateur!AQ58*Calculateur!AS58*VLOOKUP('Données projet'!$B$10,Paramètres!$A$1:$I$89,3,0)*0.475*44/12</f>
        <v>10.96865204791324</v>
      </c>
      <c r="AW58" s="21">
        <f>EXP(-LN(2)/2)*AW57+(1-EXP(-LN(2)/2))/(LN(2)/2)*AQ58*AT58*VLOOKUP('Données projet'!$B$10,Paramètres!$A$1:$I$89,3,0)*0.475*44/12</f>
        <v>1.0430164835551121E-3</v>
      </c>
      <c r="AX58" s="21">
        <f t="shared" si="6"/>
        <v>105.8141923970902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244</v>
      </c>
      <c r="BB58" s="12">
        <f>VLOOKUP(A58,'Données projet'!$A$87:$I$107,9,0)</f>
        <v>11</v>
      </c>
      <c r="BC58" s="12">
        <f t="array" ref="BC58">INDEX(BB:BB,MIN(IF(ISNUMBER(BB58:BB254),ROW(BB58:BB254),"")))</f>
        <v>11</v>
      </c>
      <c r="BD58" s="12">
        <f>IF('Données projet'!$A$88&gt;35,BD57+BC58-BL57,IF(A58&lt;'Données projet'!$A$88,$BA$205^A58,IF(A58='Données projet'!$A$88,'Données projet'!$B$88,BD57+BC58-BL57)))</f>
        <v>244.00000000000003</v>
      </c>
      <c r="BE58" s="13">
        <f>BD58*VLOOKUP('Données projet'!$B$11,Paramètres!$A$1:$I$89,3,0)*VLOOKUP('Données projet'!$B$11,Paramètres!$A$1:$I$89,5,0)</f>
        <v>209.35200000000003</v>
      </c>
      <c r="BF58" s="13">
        <f t="shared" si="37"/>
        <v>51.79395593509436</v>
      </c>
      <c r="BG58" s="20">
        <f t="shared" si="7"/>
        <v>454.82920658695599</v>
      </c>
      <c r="BH58" s="59">
        <f t="shared" si="8"/>
        <v>748.1625399202893</v>
      </c>
      <c r="BI58" s="59">
        <f ca="1">AVERAGE(OFFSET($BH$3,0,0,'Données projet'!$E$11+1,1))-AVERAGE(OFFSET($H$3,0,0,'Données projet'!$E$11+1,1))</f>
        <v>447.15627913956871</v>
      </c>
      <c r="BJ58" s="59">
        <f t="shared" si="38"/>
        <v>256.77417912163997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58.30140893650379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58.30140893650379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254</v>
      </c>
      <c r="BW58" s="12">
        <f>VLOOKUP(A58,'Données projet'!$A$113:$I$133,9,0)</f>
        <v>7</v>
      </c>
      <c r="BX58" s="12">
        <f t="array" ref="BX58">INDEX(BW:BW,MIN(IF(ISNUMBER(BW58:BW254),ROW(BW58:BW254),"")))</f>
        <v>7</v>
      </c>
      <c r="BY58" s="12">
        <f>IF('Données projet'!$A$114&gt;35,BY57+BX58-CG57,IF(A58&lt;'Données projet'!$A$114,$BV$205^A58,IF(A58='Données projet'!$A$114,'Données projet'!$B$114,BY57+BX58-CG57)))</f>
        <v>253.99999999999997</v>
      </c>
      <c r="BZ58" s="13">
        <f>BY58*VLOOKUP('Données projet'!$B$12,Paramètres!$A$1:$I$89,3,0)*VLOOKUP('Données projet'!$B$12,Paramètres!$A$1:$I$89,5,0)</f>
        <v>241.70639999999997</v>
      </c>
      <c r="CA58" s="13">
        <f t="shared" si="39"/>
        <v>58.806519231842536</v>
      </c>
      <c r="CB58" s="20">
        <f t="shared" si="10"/>
        <v>523.39333432879232</v>
      </c>
      <c r="CC58" s="59">
        <f t="shared" si="11"/>
        <v>816.72666766212569</v>
      </c>
      <c r="CD58" s="59">
        <f ca="1">AVERAGE(OFFSET($CC$3,0,0,'Données projet'!$E$12+1,1))-AVERAGE(OFFSET($H$3,0,0,'Données projet'!$E$12+1,1))</f>
        <v>448.94764480536713</v>
      </c>
      <c r="CE58" s="59">
        <f t="shared" si="40"/>
        <v>469.26760321719695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30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55.904095460452687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55.904095460452687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187.80389738728508</v>
      </c>
      <c r="CZ58" s="59">
        <f t="shared" si="42"/>
        <v>439.28159165815265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75.280104548056272</v>
      </c>
      <c r="DG58" s="21">
        <f>EXP(-LN(2)/25)*DG57+(1-EXP(-LN(2)/25))/(LN(2)/25)*Calculateur!DB58*Calculateur!DD58*VLOOKUP('Données projet'!$B$13,Paramètres!$A$1:$I$89,3,0)*0.475*44/12</f>
        <v>7.1886547989947509</v>
      </c>
      <c r="DH58" s="21">
        <f>EXP(-LN(2)/2)*DH57+(1-EXP(-LN(2)/2))/(LN(2)/2)*DB58*DE58*VLOOKUP('Données projet'!$B$13,Paramètres!$A$1:$I$89,3,0)*0.475*44/12</f>
        <v>7.7619480810929733E-6</v>
      </c>
      <c r="DI58" s="22">
        <f t="shared" si="15"/>
        <v>82.468767108999103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255.00000000000006</v>
      </c>
      <c r="DP58" s="17">
        <f>DO58*VLOOKUP('Données projet'!$B$14,Paramètres!$A$1:$I$89,3,0)*VLOOKUP('Données projet'!$B$14,Paramètres!$A$1:$I$89,5,0)</f>
        <v>186.96600000000004</v>
      </c>
      <c r="DQ58" s="13">
        <f t="shared" si="43"/>
        <v>46.868551400324648</v>
      </c>
      <c r="DR58" s="20">
        <f t="shared" si="16"/>
        <v>407.26184368889881</v>
      </c>
      <c r="DS58" s="59">
        <f t="shared" si="17"/>
        <v>700.59517702223206</v>
      </c>
      <c r="DT58" s="59">
        <f ca="1">AVERAGE(OFFSET($DS$3,0,0,'Données projet'!$E$14+1,1))-AVERAGE(OFFSET($H$3,0,0,'Données projet'!$E$14+1,1))</f>
        <v>239.25212250019609</v>
      </c>
      <c r="DU58" s="59">
        <f t="shared" si="44"/>
        <v>213.58492101729695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548</v>
      </c>
      <c r="EH58" s="12">
        <f>VLOOKUP(A58,'Données projet'!$A$191:$I$211,9,0)</f>
        <v>18.399999999999999</v>
      </c>
      <c r="EI58" s="12">
        <f t="array" ref="EI58">INDEX(EH:EH,MIN(IF(ISNUMBER(EH58:EH254),ROW(EH58:EH254),"")))</f>
        <v>18.399999999999999</v>
      </c>
      <c r="EJ58" s="12">
        <f>IF('Données projet'!$A$192&gt;35,EJ57+EI58-ER57,IF(A58&lt;'Données projet'!$A$192,$EG$205^A58,IF(A58='Données projet'!$A$192,'Données projet'!$B$192,EJ57+EI58-ER57)))</f>
        <v>548.00000000000023</v>
      </c>
      <c r="EK58" s="17">
        <f>EJ58*VLOOKUP('Données projet'!$B$15,Paramètres!$A$1:$I$89,3,0)*VLOOKUP('Données projet'!$B$15,Paramètres!$A$1:$I$89,5,0)</f>
        <v>327.70400000000018</v>
      </c>
      <c r="EL58" s="13">
        <f t="shared" si="45"/>
        <v>76.954094537214459</v>
      </c>
      <c r="EM58" s="20">
        <f t="shared" si="19"/>
        <v>704.77951465231547</v>
      </c>
      <c r="EN58" s="59">
        <f t="shared" si="20"/>
        <v>998.11284798564884</v>
      </c>
      <c r="EO58" s="59">
        <f ca="1">AVERAGE(OFFSET($EN$3,0,0,'Données projet'!$E$15+1,1))-AVERAGE(OFFSET($H$3,0,0,'Données projet'!$E$15+1,1))</f>
        <v>504.81063008331739</v>
      </c>
      <c r="EP58" s="59">
        <f t="shared" si="46"/>
        <v>441.82647565372287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45</v>
      </c>
      <c r="ES58" s="16">
        <f>IF(ISNA(VLOOKUP(A58,'Données projet'!$A$191:$I$211,5,0)),0%,VLOOKUP(A58,'Données projet'!$A$191:$I$211,5,0)*VLOOKUP('Données projet'!$B$15,Paramètres!$A$1:$I$89,7,0))</f>
        <v>0.45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82.614873300015063</v>
      </c>
      <c r="EW58" s="21">
        <f>EXP(-LN(2)/25)*EW57+(1-EXP(-LN(2)/25))/(LN(2)/25)*Calculateur!ER58*Calculateur!ET58*VLOOKUP('Données projet'!$B$15,Paramètres!$A$1:$I$89,3,0)*0.475*44/12</f>
        <v>29.439617977636537</v>
      </c>
      <c r="EX58" s="21">
        <f>EXP(-LN(2)/2)*EX57+(1-EXP(-LN(2)/2))/(LN(2)/2)*ER58*EU58*VLOOKUP('Données projet'!$B$15,Paramètres!$A$1:$I$89,3,0)*0.475*44/12</f>
        <v>9.0399253796497161E-6</v>
      </c>
      <c r="EY58" s="22">
        <f t="shared" si="21"/>
        <v>112.05450031757698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370</v>
      </c>
      <c r="FC58" s="12">
        <f>VLOOKUP(A58,'Données projet'!$A$217:$I$237,9,0)</f>
        <v>15.6</v>
      </c>
      <c r="FD58" s="12">
        <f t="array" ref="FD58">INDEX(FC:FC,MIN(IF(ISNUMBER(FC58:FC254),ROW(FC58:FC254),"")))</f>
        <v>15.6</v>
      </c>
      <c r="FE58" s="12">
        <f>IF('Données projet'!$A$218&gt;35,FE57+FD58-FM57,IF(A58&lt;'Données projet'!$A$218,$FB$205^A58,IF(A58='Données projet'!$A$218,'Données projet'!$B$218,FE57+FD58-FM57)))</f>
        <v>370</v>
      </c>
      <c r="FF58" s="17">
        <f>FE58*VLOOKUP('Données projet'!$B$16,Paramètres!$A$1:$I$89,3,0)*VLOOKUP('Données projet'!$B$16,Paramètres!$A$1:$I$89,5,0)</f>
        <v>211.64000000000001</v>
      </c>
      <c r="FG58" s="13">
        <f t="shared" si="47"/>
        <v>52.293804542136542</v>
      </c>
      <c r="FH58" s="20">
        <f t="shared" si="22"/>
        <v>459.68470957755449</v>
      </c>
      <c r="FI58" s="59">
        <f t="shared" si="23"/>
        <v>753.01804291088774</v>
      </c>
      <c r="FJ58" s="59">
        <f ca="1">AVERAGE(OFFSET($FI$3,0,0,'Données projet'!$E$16+1,1))-AVERAGE(OFFSET($H$3,0,0,'Données projet'!$E$16+1,1))</f>
        <v>393.41577134252316</v>
      </c>
      <c r="FK58" s="59">
        <f t="shared" si="48"/>
        <v>255.54039659391475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42</v>
      </c>
      <c r="FN58" s="16">
        <f>IF(ISNA(VLOOKUP(A58,'Données projet'!$A$217:$I$237,5,0)),0%,VLOOKUP(A58,'Données projet'!$A$217:$I$237,5,0)*VLOOKUP('Données projet'!$B$16,Paramètres!$A$1:$I$89,7,0))</f>
        <v>0.45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59.401435520211372</v>
      </c>
      <c r="FR58" s="21">
        <f>EXP(-LN(2)/25)*FR57+(1-EXP(-LN(2)/25))/(LN(2)/25)*Calculateur!FM58*Calculateur!FO58*VLOOKUP('Données projet'!$B$16,Paramètres!$A$1:$I$89,3,0)*0.475*44/12</f>
        <v>13.360179336536094</v>
      </c>
      <c r="FS58" s="21">
        <f>EXP(-LN(2)/2)*FS57+(1-EXP(-LN(2)/2))/(LN(2)/2)*FM58*FP58*VLOOKUP('Données projet'!$B$16,Paramètres!$A$1:$I$89,3,0)*0.475*44/12</f>
        <v>6.2889645833510342E-5</v>
      </c>
      <c r="FT58" s="22">
        <f t="shared" si="24"/>
        <v>72.761677746393303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697</v>
      </c>
      <c r="FX58" s="12">
        <f>VLOOKUP(A58,'Données projet'!$A$243:$I$263,9,0)</f>
        <v>24.4</v>
      </c>
      <c r="FY58" s="12">
        <f t="array" ref="FY58">INDEX(FX:FX,MIN(IF(ISNUMBER(FX58:FX254),ROW(FX58:FX254),"")))</f>
        <v>24.4</v>
      </c>
      <c r="FZ58" s="12">
        <f>IF('Données projet'!$A$244&gt;35,FZ57+FY58-GH57,IF(A58&lt;'Données projet'!$A$244,$FW$205^A58,IF(A58='Données projet'!$A$244,'Données projet'!$B$244,FZ57+FY58-GH57)))</f>
        <v>696.99999999999977</v>
      </c>
      <c r="GA58" s="17">
        <f>FZ58*VLOOKUP('Données projet'!$B$17,Paramètres!$A$1:$I$89,3,0)*VLOOKUP('Données projet'!$B$17,Paramètres!$A$1:$I$89,5,0)</f>
        <v>326.19599999999986</v>
      </c>
      <c r="GB58" s="13">
        <f t="shared" si="49"/>
        <v>76.641109529113464</v>
      </c>
      <c r="GC58" s="20">
        <f t="shared" si="25"/>
        <v>701.6079657632057</v>
      </c>
      <c r="GD58" s="59">
        <f t="shared" si="26"/>
        <v>994.94129909653907</v>
      </c>
      <c r="GE58" s="59">
        <f ca="1">AVERAGE(OFFSET($GD$3,0,0,'Données projet'!$E$17+1,1))-AVERAGE(OFFSET($H$3,0,0,'Données projet'!$E$17+1,1))</f>
        <v>488.67934252295686</v>
      </c>
      <c r="GF58" s="59">
        <f t="shared" si="50"/>
        <v>424.50324471331095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66</v>
      </c>
      <c r="GI58" s="16">
        <f>IF(ISNA(VLOOKUP(A58,'Données projet'!$A$243:$I$263,5,0)),0%,VLOOKUP(A58,'Données projet'!$A$243:$I$263,5,0)*VLOOKUP('Données projet'!$B$17,Paramètres!$A$1:$I$89,7,0))</f>
        <v>0.55000000000000004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104.83733087699294</v>
      </c>
      <c r="GM58" s="21">
        <f>EXP(-LN(2)/25)*GM57+(1-EXP(-LN(2)/25))/(LN(2)/25)*Calculateur!GH58*Calculateur!GJ58*VLOOKUP('Données projet'!$B$17,Paramètres!$A$1:$I$89,3,0)*0.475*44/12</f>
        <v>24.49366211698284</v>
      </c>
      <c r="GN58" s="21">
        <f>EXP(-LN(2)/2)*GN57+(1-EXP(-LN(2)/2))/(LN(2)/2)*GH58*GK58*VLOOKUP('Données projet'!$B$17,Paramètres!$A$1:$I$89,3,0)*0.475*44/12</f>
        <v>1.4007239299281845E-4</v>
      </c>
      <c r="GO58" s="21">
        <f t="shared" si="27"/>
        <v>129.33113306636875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640</v>
      </c>
      <c r="GS58" s="12">
        <f>VLOOKUP(A58,'Données projet'!$A$269:$I$289,9,0)</f>
        <v>23.4</v>
      </c>
      <c r="GT58" s="12">
        <f t="array" ref="GT58">INDEX(GS:GS,MIN(IF(ISNUMBER(GS58:GS254),ROW(GS58:GS254),"")))</f>
        <v>23.4</v>
      </c>
      <c r="GU58" s="12">
        <f>IF('Données projet'!$A$270&gt;35,GU57+GT58-HC57,IF(A58&lt;'Données projet'!$A$270,$GR$205^A58,IF(A58='Données projet'!$A$270,'Données projet'!$B$270,GU57+GT58-HC57)))</f>
        <v>640</v>
      </c>
      <c r="GV58" s="17">
        <f>GU58*VLOOKUP('Données projet'!$B$18,Paramètres!$A$1:$I$89,3,0)*VLOOKUP('Données projet'!$B$18,Paramètres!$A$1:$I$89,5,0)</f>
        <v>307.84000000000003</v>
      </c>
      <c r="GW58" s="13">
        <f t="shared" si="51"/>
        <v>72.817552796544575</v>
      </c>
      <c r="GX58" s="20">
        <f t="shared" si="28"/>
        <v>662.97857112064855</v>
      </c>
      <c r="GY58" s="59">
        <f t="shared" si="29"/>
        <v>956.31190445398192</v>
      </c>
      <c r="GZ58" s="59">
        <f ca="1">AVERAGE(OFFSET($GY$3,0,0,'Données projet'!$E$18+1,1))-AVERAGE(OFFSET($H$3,0,0,'Données projet'!$E$18+1,1))</f>
        <v>458.80976193248841</v>
      </c>
      <c r="HA58" s="59">
        <f t="shared" si="52"/>
        <v>396.07405370178759</v>
      </c>
      <c r="HB58" s="15">
        <f>IF(ISNA(VLOOKUP(A58,'Données projet'!$A$269:$I$289,3,0)),0,VLOOKUP(A58,'Données projet'!$A$269:$I$289,3,0))</f>
        <v>8</v>
      </c>
      <c r="HC58" s="15">
        <f>IF(ISNA(VLOOKUP(A58,'Données projet'!$A$269:$I$289,4,0)),0,VLOOKUP(A58,'Données projet'!$A$269:$I$289,4,0))</f>
        <v>68</v>
      </c>
      <c r="HD58" s="16">
        <f>IF(ISNA(VLOOKUP(A58,'Données projet'!$A$269:$I$289,5,0)),0%,VLOOKUP(A58,'Données projet'!$A$269:$I$289,5,0)*VLOOKUP('Données projet'!$B$18,Paramètres!$A$1:$I$89,7,0))</f>
        <v>0.55000000000000004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101.05057373958167</v>
      </c>
      <c r="HH58" s="21">
        <f>EXP(-LN(2)/25)*HH57+(1-EXP(-LN(2)/25))/(LN(2)/25)*Calculateur!HC58*Calculateur!HE58*VLOOKUP('Données projet'!$B$18,Paramètres!$A$1:$I$89,3,0)*0.475*44/12</f>
        <v>22.885492382029426</v>
      </c>
      <c r="HI58" s="21">
        <f>EXP(-LN(2)/2)*HI57+(1-EXP(-LN(2)/2))/(LN(2)/2)*HC58*HF58*VLOOKUP('Données projet'!$B$18,Paramètres!$A$1:$I$89,3,0)*0.475*44/12</f>
        <v>6.463658043999679E-5</v>
      </c>
      <c r="HJ58" s="22">
        <f t="shared" si="30"/>
        <v>123.93613075819154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656.19466748139871</v>
      </c>
      <c r="S59" s="59">
        <f ca="1">AVERAGE(OFFSET($R$3,0,0,'Données projet'!$E$9+1,1))-AVERAGE(OFFSET($H$3,0,0,'Données projet'!$E$9+1,1))</f>
        <v>364.3481978218424</v>
      </c>
      <c r="T59" s="59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36.677299076967081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36.677299076967081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10.199999999999999</v>
      </c>
      <c r="AI59" s="13">
        <f>IF('Données projet'!$A$62&gt;35,AI58+AH59-AQ58,IF(A59&lt;'Données projet'!$A$62,$AF$205^A59,IF(A59='Données projet'!$A$62,'Données projet'!$B$62,AI58+AH59-AQ58)))</f>
        <v>625.19999999999959</v>
      </c>
      <c r="AJ59" s="13">
        <f>AI59*VLOOKUP('Données projet'!$B$10,Paramètres!$A$1:$I$89,3,0)*VLOOKUP('Données projet'!$B$10,Paramètres!$A$1:$I$89,5,0)</f>
        <v>349.48679999999979</v>
      </c>
      <c r="AK59" s="13">
        <f t="shared" si="35"/>
        <v>81.45682900536228</v>
      </c>
      <c r="AL59" s="20">
        <f t="shared" si="4"/>
        <v>750.56015385100557</v>
      </c>
      <c r="AM59" s="59">
        <f t="shared" si="5"/>
        <v>1043.8934871843389</v>
      </c>
      <c r="AN59" s="59">
        <f ca="1">AVERAGE(OFFSET($AM$3,0,0,'Données projet'!$E$10+1,1))-AVERAGE(OFFSET($H$3,0,0,'Données projet'!$E$10+1,1))</f>
        <v>443.34220761968419</v>
      </c>
      <c r="AO59" s="59">
        <f t="shared" si="36"/>
        <v>546.58234447298014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92.984654589430505</v>
      </c>
      <c r="AV59" s="21">
        <f>EXP(-LN(2)/25)*AV58+(1-EXP(-LN(2)/25))/(LN(2)/25)*Calculateur!AQ59*Calculateur!AS59*VLOOKUP('Données projet'!$B$10,Paramètres!$A$1:$I$89,3,0)*0.475*44/12</f>
        <v>10.668713680846711</v>
      </c>
      <c r="AW59" s="21">
        <f>EXP(-LN(2)/2)*AW58+(1-EXP(-LN(2)/2))/(LN(2)/2)*AQ59*AT59*VLOOKUP('Données projet'!$B$10,Paramètres!$A$1:$I$89,3,0)*0.475*44/12</f>
        <v>7.375240284111669E-4</v>
      </c>
      <c r="AX59" s="21">
        <f t="shared" si="6"/>
        <v>103.65410579430562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10.8</v>
      </c>
      <c r="BD59" s="12">
        <f>IF('Données projet'!$A$88&gt;35,BD58+BC59-BL58,IF(A59&lt;'Données projet'!$A$88,$BA$205^A59,IF(A59='Données projet'!$A$88,'Données projet'!$B$88,BD58+BC59-BL58)))</f>
        <v>226.80000000000004</v>
      </c>
      <c r="BE59" s="13">
        <f>BD59*VLOOKUP('Données projet'!$B$11,Paramètres!$A$1:$I$89,3,0)*VLOOKUP('Données projet'!$B$11,Paramètres!$A$1:$I$89,5,0)</f>
        <v>194.59440000000006</v>
      </c>
      <c r="BF59" s="13">
        <f t="shared" si="37"/>
        <v>48.554292648263456</v>
      </c>
      <c r="BG59" s="20">
        <f t="shared" si="7"/>
        <v>423.48397302905897</v>
      </c>
      <c r="BH59" s="59">
        <f t="shared" si="8"/>
        <v>716.81730636239229</v>
      </c>
      <c r="BI59" s="59">
        <f ca="1">AVERAGE(OFFSET($BH$3,0,0,'Données projet'!$E$11+1,1))-AVERAGE(OFFSET($H$3,0,0,'Données projet'!$E$11+1,1))</f>
        <v>447.15627913956871</v>
      </c>
      <c r="BJ59" s="59">
        <f t="shared" si="38"/>
        <v>256.77417912163997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57.158153867607112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57.158153867607112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6.6</v>
      </c>
      <c r="BY59" s="12">
        <f>IF('Données projet'!$A$114&gt;35,BY58+BX59-CG58,IF(A59&lt;'Données projet'!$A$114,$BV$205^A59,IF(A59='Données projet'!$A$114,'Données projet'!$B$114,BY58+BX59-CG58)))</f>
        <v>230.59999999999997</v>
      </c>
      <c r="BZ59" s="13">
        <f>BY59*VLOOKUP('Données projet'!$B$12,Paramètres!$A$1:$I$89,3,0)*VLOOKUP('Données projet'!$B$12,Paramètres!$A$1:$I$89,5,0)</f>
        <v>219.43895999999995</v>
      </c>
      <c r="CA59" s="13">
        <f t="shared" si="39"/>
        <v>53.992928333089367</v>
      </c>
      <c r="CB59" s="20">
        <f t="shared" si="10"/>
        <v>476.22720551346384</v>
      </c>
      <c r="CC59" s="59">
        <f t="shared" si="11"/>
        <v>769.56053884679716</v>
      </c>
      <c r="CD59" s="59">
        <f ca="1">AVERAGE(OFFSET($CC$3,0,0,'Données projet'!$E$12+1,1))-AVERAGE(OFFSET($H$3,0,0,'Données projet'!$E$12+1,1))</f>
        <v>448.94764480536713</v>
      </c>
      <c r="CE59" s="59">
        <f t="shared" si="40"/>
        <v>469.26760321719695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54.807850246604531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54.807850246604531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187.80389738728508</v>
      </c>
      <c r="CZ59" s="59">
        <f t="shared" si="42"/>
        <v>439.28159165815265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73.803907614198806</v>
      </c>
      <c r="DG59" s="21">
        <f>EXP(-LN(2)/25)*DG58+(1-EXP(-LN(2)/25))/(LN(2)/25)*Calculateur!DB59*Calculateur!DD59*VLOOKUP('Données projet'!$B$13,Paramètres!$A$1:$I$89,3,0)*0.475*44/12</f>
        <v>6.9920806554813133</v>
      </c>
      <c r="DH59" s="21">
        <f>EXP(-LN(2)/2)*DH58+(1-EXP(-LN(2)/2))/(LN(2)/2)*DB59*DE59*VLOOKUP('Données projet'!$B$13,Paramètres!$A$1:$I$89,3,0)*0.475*44/12</f>
        <v>5.4885261233587515E-6</v>
      </c>
      <c r="DI59" s="22">
        <f t="shared" si="15"/>
        <v>80.795993758206251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255.00000000000006</v>
      </c>
      <c r="DP59" s="17">
        <f>DO59*VLOOKUP('Données projet'!$B$14,Paramètres!$A$1:$I$89,3,0)*VLOOKUP('Données projet'!$B$14,Paramètres!$A$1:$I$89,5,0)</f>
        <v>186.96600000000004</v>
      </c>
      <c r="DQ59" s="13">
        <f t="shared" si="43"/>
        <v>46.868551400324648</v>
      </c>
      <c r="DR59" s="20">
        <f t="shared" si="16"/>
        <v>407.26184368889881</v>
      </c>
      <c r="DS59" s="59">
        <f t="shared" si="17"/>
        <v>700.59517702223206</v>
      </c>
      <c r="DT59" s="59">
        <f ca="1">AVERAGE(OFFSET($DS$3,0,0,'Données projet'!$E$14+1,1))-AVERAGE(OFFSET($H$3,0,0,'Données projet'!$E$14+1,1))</f>
        <v>239.25212250019609</v>
      </c>
      <c r="DU59" s="59">
        <f t="shared" si="44"/>
        <v>213.58492101729695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17</v>
      </c>
      <c r="EJ59" s="12">
        <f>IF('Données projet'!$A$192&gt;35,EJ58+EI59-ER58,IF(A59&lt;'Données projet'!$A$192,$EG$205^A59,IF(A59='Données projet'!$A$192,'Données projet'!$B$192,EJ58+EI59-ER58)))</f>
        <v>520.00000000000023</v>
      </c>
      <c r="EK59" s="17">
        <f>EJ59*VLOOKUP('Données projet'!$B$15,Paramètres!$A$1:$I$89,3,0)*VLOOKUP('Données projet'!$B$15,Paramètres!$A$1:$I$89,5,0)</f>
        <v>310.96000000000015</v>
      </c>
      <c r="EL59" s="13">
        <f t="shared" si="45"/>
        <v>73.4692802883242</v>
      </c>
      <c r="EM59" s="20">
        <f t="shared" si="19"/>
        <v>669.54766316883149</v>
      </c>
      <c r="EN59" s="59">
        <f t="shared" si="20"/>
        <v>962.88099650216486</v>
      </c>
      <c r="EO59" s="59">
        <f ca="1">AVERAGE(OFFSET($EN$3,0,0,'Données projet'!$E$15+1,1))-AVERAGE(OFFSET($H$3,0,0,'Données projet'!$E$15+1,1))</f>
        <v>504.81063008331739</v>
      </c>
      <c r="EP59" s="59">
        <f t="shared" si="46"/>
        <v>441.82647565372287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80.994846024698873</v>
      </c>
      <c r="EW59" s="21">
        <f>EXP(-LN(2)/25)*EW58+(1-EXP(-LN(2)/25))/(LN(2)/25)*Calculateur!ER59*Calculateur!ET59*VLOOKUP('Données projet'!$B$15,Paramètres!$A$1:$I$89,3,0)*0.475*44/12</f>
        <v>28.634590075875842</v>
      </c>
      <c r="EX59" s="21">
        <f>EXP(-LN(2)/2)*EX58+(1-EXP(-LN(2)/2))/(LN(2)/2)*ER59*EU59*VLOOKUP('Données projet'!$B$15,Paramètres!$A$1:$I$89,3,0)*0.475*44/12</f>
        <v>6.3921925373706895E-6</v>
      </c>
      <c r="EY59" s="22">
        <f t="shared" si="21"/>
        <v>109.62944249276724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14.4</v>
      </c>
      <c r="FE59" s="12">
        <f>IF('Données projet'!$A$218&gt;35,FE58+FD59-FM58,IF(A59&lt;'Données projet'!$A$218,$FB$205^A59,IF(A59='Données projet'!$A$218,'Données projet'!$B$218,FE58+FD59-FM58)))</f>
        <v>342.4</v>
      </c>
      <c r="FF59" s="17">
        <f>FE59*VLOOKUP('Données projet'!$B$16,Paramètres!$A$1:$I$89,3,0)*VLOOKUP('Données projet'!$B$16,Paramètres!$A$1:$I$89,5,0)</f>
        <v>195.85279999999997</v>
      </c>
      <c r="FG59" s="13">
        <f t="shared" si="47"/>
        <v>48.831630161867864</v>
      </c>
      <c r="FH59" s="20">
        <f t="shared" si="22"/>
        <v>426.1587158652531</v>
      </c>
      <c r="FI59" s="59">
        <f t="shared" si="23"/>
        <v>719.49204919858641</v>
      </c>
      <c r="FJ59" s="59">
        <f ca="1">AVERAGE(OFFSET($FI$3,0,0,'Données projet'!$E$16+1,1))-AVERAGE(OFFSET($H$3,0,0,'Données projet'!$E$16+1,1))</f>
        <v>393.41577134252316</v>
      </c>
      <c r="FK59" s="59">
        <f t="shared" si="48"/>
        <v>255.54039659391475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58.236609600958154</v>
      </c>
      <c r="FR59" s="21">
        <f>EXP(-LN(2)/25)*FR58+(1-EXP(-LN(2)/25))/(LN(2)/25)*Calculateur!FM59*Calculateur!FO59*VLOOKUP('Données projet'!$B$16,Paramètres!$A$1:$I$89,3,0)*0.475*44/12</f>
        <v>12.994844529997218</v>
      </c>
      <c r="FS59" s="21">
        <f>EXP(-LN(2)/2)*FS58+(1-EXP(-LN(2)/2))/(LN(2)/2)*FM59*FP59*VLOOKUP('Données projet'!$B$16,Paramètres!$A$1:$I$89,3,0)*0.475*44/12</f>
        <v>4.4469695035295468E-5</v>
      </c>
      <c r="FT59" s="22">
        <f t="shared" si="24"/>
        <v>71.231498600650411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22.6</v>
      </c>
      <c r="FZ59" s="12">
        <f>IF('Données projet'!$A$244&gt;35,FZ58+FY59-GH58,IF(A59&lt;'Données projet'!$A$244,$FW$205^A59,IF(A59='Données projet'!$A$244,'Données projet'!$B$244,FZ58+FY59-GH58)))</f>
        <v>653.5999999999998</v>
      </c>
      <c r="GA59" s="17">
        <f>FZ59*VLOOKUP('Données projet'!$B$17,Paramètres!$A$1:$I$89,3,0)*VLOOKUP('Données projet'!$B$17,Paramètres!$A$1:$I$89,5,0)</f>
        <v>305.88479999999987</v>
      </c>
      <c r="GB59" s="13">
        <f t="shared" si="49"/>
        <v>72.408745336772242</v>
      </c>
      <c r="GC59" s="20">
        <f t="shared" si="25"/>
        <v>658.86125812821149</v>
      </c>
      <c r="GD59" s="59">
        <f t="shared" si="26"/>
        <v>952.19459146154486</v>
      </c>
      <c r="GE59" s="59">
        <f ca="1">AVERAGE(OFFSET($GD$3,0,0,'Données projet'!$E$17+1,1))-AVERAGE(OFFSET($H$3,0,0,'Données projet'!$E$17+1,1))</f>
        <v>488.67934252295686</v>
      </c>
      <c r="GF59" s="59">
        <f t="shared" si="50"/>
        <v>424.50324471331095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102.78153476295294</v>
      </c>
      <c r="GM59" s="21">
        <f>EXP(-LN(2)/25)*GM58+(1-EXP(-LN(2)/25))/(LN(2)/25)*Calculateur!GH59*Calculateur!GJ59*VLOOKUP('Données projet'!$B$17,Paramètres!$A$1:$I$89,3,0)*0.475*44/12</f>
        <v>23.823881638328235</v>
      </c>
      <c r="GN59" s="21">
        <f>EXP(-LN(2)/2)*GN58+(1-EXP(-LN(2)/2))/(LN(2)/2)*GH59*GK59*VLOOKUP('Données projet'!$B$17,Paramètres!$A$1:$I$89,3,0)*0.475*44/12</f>
        <v>9.9046138942248969E-5</v>
      </c>
      <c r="GO59" s="21">
        <f t="shared" si="27"/>
        <v>126.60551544742012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22.4</v>
      </c>
      <c r="GU59" s="12">
        <f>IF('Données projet'!$A$270&gt;35,GU58+GT59-HC58,IF(A59&lt;'Données projet'!$A$270,$GR$205^A59,IF(A59='Données projet'!$A$270,'Données projet'!$B$270,GU58+GT59-HC58)))</f>
        <v>594.4</v>
      </c>
      <c r="GV59" s="17">
        <f>GU59*VLOOKUP('Données projet'!$B$18,Paramètres!$A$1:$I$89,3,0)*VLOOKUP('Données projet'!$B$18,Paramètres!$A$1:$I$89,5,0)</f>
        <v>285.90640000000002</v>
      </c>
      <c r="GW59" s="13">
        <f t="shared" si="51"/>
        <v>68.213680496821723</v>
      </c>
      <c r="GX59" s="20">
        <f t="shared" si="28"/>
        <v>616.75914019863114</v>
      </c>
      <c r="GY59" s="59">
        <f t="shared" si="29"/>
        <v>910.09247353196452</v>
      </c>
      <c r="GZ59" s="59">
        <f ca="1">AVERAGE(OFFSET($GY$3,0,0,'Données projet'!$E$18+1,1))-AVERAGE(OFFSET($H$3,0,0,'Données projet'!$E$18+1,1))</f>
        <v>458.80976193248841</v>
      </c>
      <c r="HA59" s="59">
        <f t="shared" si="52"/>
        <v>396.07405370178759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99.069033623312521</v>
      </c>
      <c r="HH59" s="21">
        <f>EXP(-LN(2)/25)*HH58+(1-EXP(-LN(2)/25))/(LN(2)/25)*Calculateur!HC59*Calculateur!HE59*VLOOKUP('Données projet'!$B$18,Paramètres!$A$1:$I$89,3,0)*0.475*44/12</f>
        <v>22.259687389347093</v>
      </c>
      <c r="HI59" s="21">
        <f>EXP(-LN(2)/2)*HI58+(1-EXP(-LN(2)/2))/(LN(2)/2)*HC59*HF59*VLOOKUP('Données projet'!$B$18,Paramètres!$A$1:$I$89,3,0)*0.475*44/12</f>
        <v>4.5704964341831488E-5</v>
      </c>
      <c r="HJ59" s="22">
        <f t="shared" si="30"/>
        <v>121.32876671762395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364.3481978218424</v>
      </c>
      <c r="T60" s="59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35.958079613011243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35.958079613011243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10.199999999999999</v>
      </c>
      <c r="AI60" s="13">
        <f>IF('Données projet'!$A$62&gt;35,AI59+AH60-AQ59,IF(A60&lt;'Données projet'!$A$62,$AF$205^A60,IF(A60='Données projet'!$A$62,'Données projet'!$B$62,AI59+AH60-AQ59)))</f>
        <v>635.39999999999964</v>
      </c>
      <c r="AJ60" s="13">
        <f>AI60*VLOOKUP('Données projet'!$B$10,Paramètres!$A$1:$I$89,3,0)*VLOOKUP('Données projet'!$B$10,Paramètres!$A$1:$I$89,5,0)</f>
        <v>355.18859999999984</v>
      </c>
      <c r="AK60" s="13">
        <f t="shared" si="35"/>
        <v>82.629981116726043</v>
      </c>
      <c r="AL60" s="20">
        <f t="shared" si="4"/>
        <v>762.53402877829774</v>
      </c>
      <c r="AM60" s="59">
        <f t="shared" si="5"/>
        <v>1055.8673621116311</v>
      </c>
      <c r="AN60" s="59">
        <f ca="1">AVERAGE(OFFSET($AM$3,0,0,'Données projet'!$E$10+1,1))-AVERAGE(OFFSET($H$3,0,0,'Données projet'!$E$10+1,1))</f>
        <v>443.34220761968419</v>
      </c>
      <c r="AO60" s="59">
        <f t="shared" si="36"/>
        <v>546.58234447298014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91.161282227970929</v>
      </c>
      <c r="AV60" s="21">
        <f>EXP(-LN(2)/25)*AV59+(1-EXP(-LN(2)/25))/(LN(2)/25)*Calculateur!AQ60*Calculateur!AS60*VLOOKUP('Données projet'!$B$10,Paramètres!$A$1:$I$89,3,0)*0.475*44/12</f>
        <v>10.376977144200689</v>
      </c>
      <c r="AW60" s="21">
        <f>EXP(-LN(2)/2)*AW59+(1-EXP(-LN(2)/2))/(LN(2)/2)*AQ60*AT60*VLOOKUP('Données projet'!$B$10,Paramètres!$A$1:$I$89,3,0)*0.475*44/12</f>
        <v>5.2150824177755605E-4</v>
      </c>
      <c r="AX60" s="21">
        <f t="shared" si="6"/>
        <v>101.5387808804134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10.8</v>
      </c>
      <c r="BD60" s="12">
        <f>IF('Données projet'!$A$88&gt;35,BD59+BC60-BL59,IF(A60&lt;'Données projet'!$A$88,$BA$205^A60,IF(A60='Données projet'!$A$88,'Données projet'!$B$88,BD59+BC60-BL59)))</f>
        <v>237.60000000000005</v>
      </c>
      <c r="BE60" s="13">
        <f>BD60*VLOOKUP('Données projet'!$B$11,Paramètres!$A$1:$I$89,3,0)*VLOOKUP('Données projet'!$B$11,Paramètres!$A$1:$I$89,5,0)</f>
        <v>203.86080000000007</v>
      </c>
      <c r="BF60" s="13">
        <f t="shared" si="37"/>
        <v>50.591708220421786</v>
      </c>
      <c r="BG60" s="20">
        <f t="shared" si="7"/>
        <v>443.17145181723475</v>
      </c>
      <c r="BH60" s="59">
        <f t="shared" si="8"/>
        <v>736.50478515056807</v>
      </c>
      <c r="BI60" s="59">
        <f ca="1">AVERAGE(OFFSET($BH$3,0,0,'Données projet'!$E$11+1,1))-AVERAGE(OFFSET($H$3,0,0,'Données projet'!$E$11+1,1))</f>
        <v>447.15627913956871</v>
      </c>
      <c r="BJ60" s="59">
        <f t="shared" si="38"/>
        <v>256.77417912163997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56.037317333294759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56.037317333294759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6.6</v>
      </c>
      <c r="BY60" s="12">
        <f>IF('Données projet'!$A$114&gt;35,BY59+BX60-CG59,IF(A60&lt;'Données projet'!$A$114,$BV$205^A60,IF(A60='Données projet'!$A$114,'Données projet'!$B$114,BY59+BX60-CG59)))</f>
        <v>237.19999999999996</v>
      </c>
      <c r="BZ60" s="13">
        <f>BY60*VLOOKUP('Données projet'!$B$12,Paramètres!$A$1:$I$89,3,0)*VLOOKUP('Données projet'!$B$12,Paramètres!$A$1:$I$89,5,0)</f>
        <v>225.71951999999999</v>
      </c>
      <c r="CA60" s="13">
        <f t="shared" si="39"/>
        <v>55.356132169127413</v>
      </c>
      <c r="CB60" s="20">
        <f t="shared" si="10"/>
        <v>489.54009419456355</v>
      </c>
      <c r="CC60" s="59">
        <f t="shared" si="11"/>
        <v>782.87342752789687</v>
      </c>
      <c r="CD60" s="59">
        <f ca="1">AVERAGE(OFFSET($CC$3,0,0,'Données projet'!$E$12+1,1))-AVERAGE(OFFSET($H$3,0,0,'Données projet'!$E$12+1,1))</f>
        <v>448.94764480536713</v>
      </c>
      <c r="CE60" s="59">
        <f t="shared" si="40"/>
        <v>469.26760321719695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53.733101732756381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53.733101732756381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187.80389738728508</v>
      </c>
      <c r="CZ60" s="59">
        <f t="shared" si="42"/>
        <v>439.28159165815265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72.356658001823064</v>
      </c>
      <c r="DG60" s="21">
        <f>EXP(-LN(2)/25)*DG59+(1-EXP(-LN(2)/25))/(LN(2)/25)*Calculateur!DB60*Calculateur!DD60*VLOOKUP('Données projet'!$B$13,Paramètres!$A$1:$I$89,3,0)*0.475*44/12</f>
        <v>6.8008818422596358</v>
      </c>
      <c r="DH60" s="21">
        <f>EXP(-LN(2)/2)*DH59+(1-EXP(-LN(2)/2))/(LN(2)/2)*DB60*DE60*VLOOKUP('Données projet'!$B$13,Paramètres!$A$1:$I$89,3,0)*0.475*44/12</f>
        <v>3.8809740405464866E-6</v>
      </c>
      <c r="DI60" s="22">
        <f t="shared" si="15"/>
        <v>79.15754372505674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255.00000000000006</v>
      </c>
      <c r="DP60" s="17">
        <f>DO60*VLOOKUP('Données projet'!$B$14,Paramètres!$A$1:$I$89,3,0)*VLOOKUP('Données projet'!$B$14,Paramètres!$A$1:$I$89,5,0)</f>
        <v>186.96600000000004</v>
      </c>
      <c r="DQ60" s="13">
        <f t="shared" si="43"/>
        <v>46.868551400324648</v>
      </c>
      <c r="DR60" s="20">
        <f t="shared" si="16"/>
        <v>407.26184368889881</v>
      </c>
      <c r="DS60" s="59">
        <f t="shared" si="17"/>
        <v>700.59517702223206</v>
      </c>
      <c r="DT60" s="59">
        <f ca="1">AVERAGE(OFFSET($DS$3,0,0,'Données projet'!$E$14+1,1))-AVERAGE(OFFSET($H$3,0,0,'Données projet'!$E$14+1,1))</f>
        <v>239.25212250019609</v>
      </c>
      <c r="DU60" s="59">
        <f t="shared" si="44"/>
        <v>213.58492101729695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17</v>
      </c>
      <c r="EJ60" s="12">
        <f>IF('Données projet'!$A$192&gt;35,EJ59+EI60-ER59,IF(A60&lt;'Données projet'!$A$192,$EG$205^A60,IF(A60='Données projet'!$A$192,'Données projet'!$B$192,EJ59+EI60-ER59)))</f>
        <v>537.00000000000023</v>
      </c>
      <c r="EK60" s="17">
        <f>EJ60*VLOOKUP('Données projet'!$B$15,Paramètres!$A$1:$I$89,3,0)*VLOOKUP('Données projet'!$B$15,Paramètres!$A$1:$I$89,5,0)</f>
        <v>321.12600000000015</v>
      </c>
      <c r="EL60" s="13">
        <f t="shared" si="45"/>
        <v>75.587591944000323</v>
      </c>
      <c r="EM60" s="20">
        <f t="shared" si="19"/>
        <v>690.94283930246741</v>
      </c>
      <c r="EN60" s="59">
        <f t="shared" si="20"/>
        <v>984.27617263580078</v>
      </c>
      <c r="EO60" s="59">
        <f ca="1">AVERAGE(OFFSET($EN$3,0,0,'Données projet'!$E$15+1,1))-AVERAGE(OFFSET($H$3,0,0,'Données projet'!$E$15+1,1))</f>
        <v>504.81063008331739</v>
      </c>
      <c r="EP60" s="59">
        <f t="shared" si="46"/>
        <v>441.82647565372287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79.406586496132562</v>
      </c>
      <c r="EW60" s="21">
        <f>EXP(-LN(2)/25)*EW59+(1-EXP(-LN(2)/25))/(LN(2)/25)*Calculateur!ER60*Calculateur!ET60*VLOOKUP('Données projet'!$B$15,Paramètres!$A$1:$I$89,3,0)*0.475*44/12</f>
        <v>27.851575704423372</v>
      </c>
      <c r="EX60" s="21">
        <f>EXP(-LN(2)/2)*EX59+(1-EXP(-LN(2)/2))/(LN(2)/2)*ER60*EU60*VLOOKUP('Données projet'!$B$15,Paramètres!$A$1:$I$89,3,0)*0.475*44/12</f>
        <v>4.519962689824858E-6</v>
      </c>
      <c r="EY60" s="22">
        <f t="shared" si="21"/>
        <v>107.25816672051862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14.4</v>
      </c>
      <c r="FE60" s="12">
        <f>IF('Données projet'!$A$218&gt;35,FE59+FD60-FM59,IF(A60&lt;'Données projet'!$A$218,$FB$205^A60,IF(A60='Données projet'!$A$218,'Données projet'!$B$218,FE59+FD60-FM59)))</f>
        <v>356.79999999999995</v>
      </c>
      <c r="FF60" s="17">
        <f>FE60*VLOOKUP('Données projet'!$B$16,Paramètres!$A$1:$I$89,3,0)*VLOOKUP('Données projet'!$B$16,Paramètres!$A$1:$I$89,5,0)</f>
        <v>204.08959999999999</v>
      </c>
      <c r="FG60" s="13">
        <f t="shared" si="47"/>
        <v>50.641876474764501</v>
      </c>
      <c r="FH60" s="20">
        <f t="shared" si="22"/>
        <v>443.6573215268815</v>
      </c>
      <c r="FI60" s="59">
        <f t="shared" si="23"/>
        <v>736.99065486021482</v>
      </c>
      <c r="FJ60" s="59">
        <f ca="1">AVERAGE(OFFSET($FI$3,0,0,'Données projet'!$E$16+1,1))-AVERAGE(OFFSET($H$3,0,0,'Données projet'!$E$16+1,1))</f>
        <v>393.41577134252316</v>
      </c>
      <c r="FK60" s="59">
        <f t="shared" si="48"/>
        <v>255.54039659391475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57.094625207507832</v>
      </c>
      <c r="FR60" s="21">
        <f>EXP(-LN(2)/25)*FR59+(1-EXP(-LN(2)/25))/(LN(2)/25)*Calculateur!FM60*Calculateur!FO60*VLOOKUP('Données projet'!$B$16,Paramètres!$A$1:$I$89,3,0)*0.475*44/12</f>
        <v>12.639499822955271</v>
      </c>
      <c r="FS60" s="21">
        <f>EXP(-LN(2)/2)*FS59+(1-EXP(-LN(2)/2))/(LN(2)/2)*FM60*FP60*VLOOKUP('Données projet'!$B$16,Paramètres!$A$1:$I$89,3,0)*0.475*44/12</f>
        <v>3.1444822916755171E-5</v>
      </c>
      <c r="FT60" s="22">
        <f t="shared" si="24"/>
        <v>69.734156475286028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22.6</v>
      </c>
      <c r="FZ60" s="12">
        <f>IF('Données projet'!$A$244&gt;35,FZ59+FY60-GH59,IF(A60&lt;'Données projet'!$A$244,$FW$205^A60,IF(A60='Données projet'!$A$244,'Données projet'!$B$244,FZ59+FY60-GH59)))</f>
        <v>676.19999999999982</v>
      </c>
      <c r="GA60" s="17">
        <f>FZ60*VLOOKUP('Données projet'!$B$17,Paramètres!$A$1:$I$89,3,0)*VLOOKUP('Données projet'!$B$17,Paramètres!$A$1:$I$89,5,0)</f>
        <v>316.46159999999992</v>
      </c>
      <c r="GB60" s="13">
        <f t="shared" si="49"/>
        <v>74.616644967491681</v>
      </c>
      <c r="GC60" s="20">
        <f t="shared" si="25"/>
        <v>681.1279433183812</v>
      </c>
      <c r="GD60" s="59">
        <f t="shared" si="26"/>
        <v>974.46127665171457</v>
      </c>
      <c r="GE60" s="59">
        <f ca="1">AVERAGE(OFFSET($GD$3,0,0,'Données projet'!$E$17+1,1))-AVERAGE(OFFSET($H$3,0,0,'Données projet'!$E$17+1,1))</f>
        <v>488.67934252295686</v>
      </c>
      <c r="GF60" s="59">
        <f t="shared" si="50"/>
        <v>424.50324471331095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100.76605155679746</v>
      </c>
      <c r="GM60" s="21">
        <f>EXP(-LN(2)/25)*GM59+(1-EXP(-LN(2)/25))/(LN(2)/25)*Calculateur!GH60*Calculateur!GJ60*VLOOKUP('Données projet'!$B$17,Paramètres!$A$1:$I$89,3,0)*0.475*44/12</f>
        <v>23.172416342084663</v>
      </c>
      <c r="GN60" s="21">
        <f>EXP(-LN(2)/2)*GN59+(1-EXP(-LN(2)/2))/(LN(2)/2)*GH60*GK60*VLOOKUP('Données projet'!$B$17,Paramètres!$A$1:$I$89,3,0)*0.475*44/12</f>
        <v>7.0036196496409223E-5</v>
      </c>
      <c r="GO60" s="21">
        <f t="shared" si="27"/>
        <v>123.93853793507861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22.4</v>
      </c>
      <c r="GU60" s="12">
        <f>IF('Données projet'!$A$270&gt;35,GU59+GT60-HC59,IF(A60&lt;'Données projet'!$A$270,$GR$205^A60,IF(A60='Données projet'!$A$270,'Données projet'!$B$270,GU59+GT60-HC59)))</f>
        <v>616.79999999999995</v>
      </c>
      <c r="GV60" s="17">
        <f>GU60*VLOOKUP('Données projet'!$B$18,Paramètres!$A$1:$I$89,3,0)*VLOOKUP('Données projet'!$B$18,Paramètres!$A$1:$I$89,5,0)</f>
        <v>296.68079999999998</v>
      </c>
      <c r="GW60" s="13">
        <f t="shared" si="51"/>
        <v>70.480181744771329</v>
      </c>
      <c r="GX60" s="20">
        <f t="shared" si="28"/>
        <v>639.47204320547678</v>
      </c>
      <c r="GY60" s="59">
        <f t="shared" si="29"/>
        <v>932.80537653881015</v>
      </c>
      <c r="GZ60" s="59">
        <f ca="1">AVERAGE(OFFSET($GY$3,0,0,'Données projet'!$E$18+1,1))-AVERAGE(OFFSET($H$3,0,0,'Données projet'!$E$18+1,1))</f>
        <v>458.80976193248841</v>
      </c>
      <c r="HA60" s="59">
        <f t="shared" si="52"/>
        <v>396.07405370178759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97.126350300103283</v>
      </c>
      <c r="HH60" s="21">
        <f>EXP(-LN(2)/25)*HH59+(1-EXP(-LN(2)/25))/(LN(2)/25)*Calculateur!HC60*Calculateur!HE60*VLOOKUP('Données projet'!$B$18,Paramètres!$A$1:$I$89,3,0)*0.475*44/12</f>
        <v>21.650995067099313</v>
      </c>
      <c r="HI60" s="21">
        <f>EXP(-LN(2)/2)*HI59+(1-EXP(-LN(2)/2))/(LN(2)/2)*HC60*HF60*VLOOKUP('Données projet'!$B$18,Paramètres!$A$1:$I$89,3,0)*0.475*44/12</f>
        <v>3.2318290219998395E-5</v>
      </c>
      <c r="HJ60" s="22">
        <f t="shared" si="30"/>
        <v>118.77737768549282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685.50170967350618</v>
      </c>
      <c r="S61" s="59">
        <f ca="1">AVERAGE(OFFSET($R$3,0,0,'Données projet'!$E$9+1,1))-AVERAGE(OFFSET($H$3,0,0,'Données projet'!$E$9+1,1))</f>
        <v>364.3481978218424</v>
      </c>
      <c r="T61" s="59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35.252963604063027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35.252963604063027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10.199999999999999</v>
      </c>
      <c r="AI61" s="13">
        <f>IF('Données projet'!$A$62&gt;35,AI60+AH61-AQ60,IF(A61&lt;'Données projet'!$A$62,$AF$205^A61,IF(A61='Données projet'!$A$62,'Données projet'!$B$62,AI60+AH61-AQ60)))</f>
        <v>645.59999999999968</v>
      </c>
      <c r="AJ61" s="13">
        <f>AI61*VLOOKUP('Données projet'!$B$10,Paramètres!$A$1:$I$89,3,0)*VLOOKUP('Données projet'!$B$10,Paramètres!$A$1:$I$89,5,0)</f>
        <v>360.89039999999977</v>
      </c>
      <c r="AK61" s="13">
        <f t="shared" si="35"/>
        <v>83.800943075865291</v>
      </c>
      <c r="AL61" s="20">
        <f t="shared" si="4"/>
        <v>774.50408919046504</v>
      </c>
      <c r="AM61" s="59">
        <f t="shared" si="5"/>
        <v>1067.8374225237983</v>
      </c>
      <c r="AN61" s="59">
        <f ca="1">AVERAGE(OFFSET($AM$3,0,0,'Données projet'!$E$10+1,1))-AVERAGE(OFFSET($H$3,0,0,'Données projet'!$E$10+1,1))</f>
        <v>443.34220761968419</v>
      </c>
      <c r="AO61" s="59">
        <f t="shared" si="36"/>
        <v>546.58234447298014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89.373665086372242</v>
      </c>
      <c r="AV61" s="21">
        <f>EXP(-LN(2)/25)*AV60+(1-EXP(-LN(2)/25))/(LN(2)/25)*Calculateur!AQ61*Calculateur!AS61*VLOOKUP('Données projet'!$B$10,Paramètres!$A$1:$I$89,3,0)*0.475*44/12</f>
        <v>10.093218158491009</v>
      </c>
      <c r="AW61" s="21">
        <f>EXP(-LN(2)/2)*AW60+(1-EXP(-LN(2)/2))/(LN(2)/2)*AQ61*AT61*VLOOKUP('Données projet'!$B$10,Paramètres!$A$1:$I$89,3,0)*0.475*44/12</f>
        <v>3.6876201420558345E-4</v>
      </c>
      <c r="AX61" s="21">
        <f t="shared" si="6"/>
        <v>99.467252006877459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10.8</v>
      </c>
      <c r="BD61" s="12">
        <f>IF('Données projet'!$A$88&gt;35,BD60+BC61-BL60,IF(A61&lt;'Données projet'!$A$88,$BA$205^A61,IF(A61='Données projet'!$A$88,'Données projet'!$B$88,BD60+BC61-BL60)))</f>
        <v>248.40000000000006</v>
      </c>
      <c r="BE61" s="13">
        <f>BD61*VLOOKUP('Données projet'!$B$11,Paramètres!$A$1:$I$89,3,0)*VLOOKUP('Données projet'!$B$11,Paramètres!$A$1:$I$89,5,0)</f>
        <v>213.12720000000004</v>
      </c>
      <c r="BF61" s="13">
        <f t="shared" si="37"/>
        <v>52.618368568459893</v>
      </c>
      <c r="BG61" s="20">
        <f t="shared" si="7"/>
        <v>462.8401985900677</v>
      </c>
      <c r="BH61" s="59">
        <f t="shared" si="8"/>
        <v>756.17353192340101</v>
      </c>
      <c r="BI61" s="59">
        <f ca="1">AVERAGE(OFFSET($BH$3,0,0,'Données projet'!$E$11+1,1))-AVERAGE(OFFSET($H$3,0,0,'Données projet'!$E$11+1,1))</f>
        <v>447.15627913956871</v>
      </c>
      <c r="BJ61" s="59">
        <f t="shared" si="38"/>
        <v>256.77417912163997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54.938459719777491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54.938459719777491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6.6</v>
      </c>
      <c r="BY61" s="12">
        <f>IF('Données projet'!$A$114&gt;35,BY60+BX61-CG60,IF(A61&lt;'Données projet'!$A$114,$BV$205^A61,IF(A61='Données projet'!$A$114,'Données projet'!$B$114,BY60+BX61-CG60)))</f>
        <v>243.79999999999995</v>
      </c>
      <c r="BZ61" s="13">
        <f>BY61*VLOOKUP('Données projet'!$B$12,Paramètres!$A$1:$I$89,3,0)*VLOOKUP('Données projet'!$B$12,Paramètres!$A$1:$I$89,5,0)</f>
        <v>232.00007999999994</v>
      </c>
      <c r="CA61" s="13">
        <f t="shared" si="39"/>
        <v>56.714927420893837</v>
      </c>
      <c r="CB61" s="20">
        <f t="shared" si="10"/>
        <v>502.84530459138995</v>
      </c>
      <c r="CC61" s="59">
        <f t="shared" si="11"/>
        <v>796.17863792472326</v>
      </c>
      <c r="CD61" s="59">
        <f ca="1">AVERAGE(OFFSET($CC$3,0,0,'Données projet'!$E$12+1,1))-AVERAGE(OFFSET($H$3,0,0,'Données projet'!$E$12+1,1))</f>
        <v>448.94764480536713</v>
      </c>
      <c r="CE61" s="59">
        <f t="shared" si="40"/>
        <v>469.26760321719695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52.679428381732926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52.679428381732926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187.80389738728508</v>
      </c>
      <c r="CZ61" s="59">
        <f t="shared" si="42"/>
        <v>439.28159165815265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70.937788071610896</v>
      </c>
      <c r="DG61" s="21">
        <f>EXP(-LN(2)/25)*DG60+(1-EXP(-LN(2)/25))/(LN(2)/25)*Calculateur!DB61*Calculateur!DD61*VLOOKUP('Données projet'!$B$13,Paramètres!$A$1:$I$89,3,0)*0.475*44/12</f>
        <v>6.6149113706402138</v>
      </c>
      <c r="DH61" s="21">
        <f>EXP(-LN(2)/2)*DH60+(1-EXP(-LN(2)/2))/(LN(2)/2)*DB61*DE61*VLOOKUP('Données projet'!$B$13,Paramètres!$A$1:$I$89,3,0)*0.475*44/12</f>
        <v>2.7442630616793758E-6</v>
      </c>
      <c r="DI61" s="22">
        <f t="shared" si="15"/>
        <v>77.552702186514168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255.00000000000006</v>
      </c>
      <c r="DP61" s="17">
        <f>DO61*VLOOKUP('Données projet'!$B$14,Paramètres!$A$1:$I$89,3,0)*VLOOKUP('Données projet'!$B$14,Paramètres!$A$1:$I$89,5,0)</f>
        <v>186.96600000000004</v>
      </c>
      <c r="DQ61" s="13">
        <f t="shared" si="43"/>
        <v>46.868551400324648</v>
      </c>
      <c r="DR61" s="20">
        <f t="shared" si="16"/>
        <v>407.26184368889881</v>
      </c>
      <c r="DS61" s="59">
        <f t="shared" si="17"/>
        <v>700.59517702223206</v>
      </c>
      <c r="DT61" s="59">
        <f ca="1">AVERAGE(OFFSET($DS$3,0,0,'Données projet'!$E$14+1,1))-AVERAGE(OFFSET($H$3,0,0,'Données projet'!$E$14+1,1))</f>
        <v>239.25212250019609</v>
      </c>
      <c r="DU61" s="59">
        <f t="shared" si="44"/>
        <v>213.58492101729695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17</v>
      </c>
      <c r="EJ61" s="12">
        <f>IF('Données projet'!$A$192&gt;35,EJ60+EI61-ER60,IF(A61&lt;'Données projet'!$A$192,$EG$205^A61,IF(A61='Données projet'!$A$192,'Données projet'!$B$192,EJ60+EI61-ER60)))</f>
        <v>554.00000000000023</v>
      </c>
      <c r="EK61" s="17">
        <f>EJ61*VLOOKUP('Données projet'!$B$15,Paramètres!$A$1:$I$89,3,0)*VLOOKUP('Données projet'!$B$15,Paramètres!$A$1:$I$89,5,0)</f>
        <v>331.29200000000014</v>
      </c>
      <c r="EL61" s="13">
        <f t="shared" si="45"/>
        <v>77.698110787752142</v>
      </c>
      <c r="EM61" s="20">
        <f t="shared" si="19"/>
        <v>712.32444295533526</v>
      </c>
      <c r="EN61" s="59">
        <f t="shared" si="20"/>
        <v>1005.6577762886686</v>
      </c>
      <c r="EO61" s="59">
        <f ca="1">AVERAGE(OFFSET($EN$3,0,0,'Données projet'!$E$15+1,1))-AVERAGE(OFFSET($H$3,0,0,'Données projet'!$E$15+1,1))</f>
        <v>504.81063008331739</v>
      </c>
      <c r="EP61" s="59">
        <f t="shared" si="46"/>
        <v>441.82647565372287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77.849471768178773</v>
      </c>
      <c r="EW61" s="21">
        <f>EXP(-LN(2)/25)*EW60+(1-EXP(-LN(2)/25))/(LN(2)/25)*Calculateur!ER61*Calculateur!ET61*VLOOKUP('Données projet'!$B$15,Paramètres!$A$1:$I$89,3,0)*0.475*44/12</f>
        <v>27.089972902135205</v>
      </c>
      <c r="EX61" s="21">
        <f>EXP(-LN(2)/2)*EX60+(1-EXP(-LN(2)/2))/(LN(2)/2)*ER61*EU61*VLOOKUP('Données projet'!$B$15,Paramètres!$A$1:$I$89,3,0)*0.475*44/12</f>
        <v>3.1960962686853447E-6</v>
      </c>
      <c r="EY61" s="22">
        <f t="shared" si="21"/>
        <v>104.93944786641025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14.4</v>
      </c>
      <c r="FE61" s="12">
        <f>IF('Données projet'!$A$218&gt;35,FE60+FD61-FM60,IF(A61&lt;'Données projet'!$A$218,$FB$205^A61,IF(A61='Données projet'!$A$218,'Données projet'!$B$218,FE60+FD61-FM60)))</f>
        <v>371.19999999999993</v>
      </c>
      <c r="FF61" s="17">
        <f>FE61*VLOOKUP('Données projet'!$B$16,Paramètres!$A$1:$I$89,3,0)*VLOOKUP('Données projet'!$B$16,Paramètres!$A$1:$I$89,5,0)</f>
        <v>212.32639999999998</v>
      </c>
      <c r="FG61" s="13">
        <f t="shared" si="47"/>
        <v>52.443636199504745</v>
      </c>
      <c r="FH61" s="20">
        <f t="shared" si="22"/>
        <v>461.141146380804</v>
      </c>
      <c r="FI61" s="59">
        <f t="shared" si="23"/>
        <v>754.47447971413726</v>
      </c>
      <c r="FJ61" s="59">
        <f ca="1">AVERAGE(OFFSET($FI$3,0,0,'Données projet'!$E$16+1,1))-AVERAGE(OFFSET($H$3,0,0,'Données projet'!$E$16+1,1))</f>
        <v>393.41577134252316</v>
      </c>
      <c r="FK61" s="59">
        <f t="shared" si="48"/>
        <v>255.54039659391475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55.975034431471364</v>
      </c>
      <c r="FR61" s="21">
        <f>EXP(-LN(2)/25)*FR60+(1-EXP(-LN(2)/25))/(LN(2)/25)*Calculateur!FM61*Calculateur!FO61*VLOOKUP('Données projet'!$B$16,Paramètres!$A$1:$I$89,3,0)*0.475*44/12</f>
        <v>12.293872035614152</v>
      </c>
      <c r="FS61" s="21">
        <f>EXP(-LN(2)/2)*FS60+(1-EXP(-LN(2)/2))/(LN(2)/2)*FM61*FP61*VLOOKUP('Données projet'!$B$16,Paramètres!$A$1:$I$89,3,0)*0.475*44/12</f>
        <v>2.2234847517647734E-5</v>
      </c>
      <c r="FT61" s="22">
        <f t="shared" si="24"/>
        <v>68.268928701933035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22.6</v>
      </c>
      <c r="FZ61" s="12">
        <f>IF('Données projet'!$A$244&gt;35,FZ60+FY61-GH60,IF(A61&lt;'Données projet'!$A$244,$FW$205^A61,IF(A61='Données projet'!$A$244,'Données projet'!$B$244,FZ60+FY61-GH60)))</f>
        <v>698.79999999999984</v>
      </c>
      <c r="GA61" s="17">
        <f>FZ61*VLOOKUP('Données projet'!$B$17,Paramètres!$A$1:$I$89,3,0)*VLOOKUP('Données projet'!$B$17,Paramètres!$A$1:$I$89,5,0)</f>
        <v>327.03839999999991</v>
      </c>
      <c r="GB61" s="13">
        <f t="shared" si="49"/>
        <v>76.815970143630011</v>
      </c>
      <c r="GC61" s="20">
        <f t="shared" si="25"/>
        <v>703.37969466682216</v>
      </c>
      <c r="GD61" s="59">
        <f t="shared" si="26"/>
        <v>996.71302800015542</v>
      </c>
      <c r="GE61" s="59">
        <f ca="1">AVERAGE(OFFSET($GD$3,0,0,'Données projet'!$E$17+1,1))-AVERAGE(OFFSET($H$3,0,0,'Données projet'!$E$17+1,1))</f>
        <v>488.67934252295686</v>
      </c>
      <c r="GF61" s="59">
        <f t="shared" si="50"/>
        <v>424.50324471331095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98.790090746991325</v>
      </c>
      <c r="GM61" s="21">
        <f>EXP(-LN(2)/25)*GM60+(1-EXP(-LN(2)/25))/(LN(2)/25)*Calculateur!GH61*Calculateur!GJ61*VLOOKUP('Données projet'!$B$17,Paramètres!$A$1:$I$89,3,0)*0.475*44/12</f>
        <v>22.538765398625944</v>
      </c>
      <c r="GN61" s="21">
        <f>EXP(-LN(2)/2)*GN60+(1-EXP(-LN(2)/2))/(LN(2)/2)*GH61*GK61*VLOOKUP('Données projet'!$B$17,Paramètres!$A$1:$I$89,3,0)*0.475*44/12</f>
        <v>4.9523069471124484E-5</v>
      </c>
      <c r="GO61" s="21">
        <f t="shared" si="27"/>
        <v>121.32890566868674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22.4</v>
      </c>
      <c r="GU61" s="12">
        <f>IF('Données projet'!$A$270&gt;35,GU60+GT61-HC60,IF(A61&lt;'Données projet'!$A$270,$GR$205^A61,IF(A61='Données projet'!$A$270,'Données projet'!$B$270,GU60+GT61-HC60)))</f>
        <v>639.19999999999993</v>
      </c>
      <c r="GV61" s="17">
        <f>GU61*VLOOKUP('Données projet'!$B$18,Paramètres!$A$1:$I$89,3,0)*VLOOKUP('Données projet'!$B$18,Paramètres!$A$1:$I$89,5,0)</f>
        <v>307.45519999999993</v>
      </c>
      <c r="GW61" s="13">
        <f t="shared" si="51"/>
        <v>72.737119955693998</v>
      </c>
      <c r="GX61" s="20">
        <f t="shared" si="28"/>
        <v>662.16829058950032</v>
      </c>
      <c r="GY61" s="59">
        <f t="shared" si="29"/>
        <v>955.50162392283369</v>
      </c>
      <c r="GZ61" s="59">
        <f ca="1">AVERAGE(OFFSET($GY$3,0,0,'Données projet'!$E$18+1,1))-AVERAGE(OFFSET($H$3,0,0,'Données projet'!$E$18+1,1))</f>
        <v>458.80976193248841</v>
      </c>
      <c r="HA61" s="59">
        <f t="shared" si="52"/>
        <v>396.07405370178759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95.221761811942358</v>
      </c>
      <c r="HH61" s="21">
        <f>EXP(-LN(2)/25)*HH60+(1-EXP(-LN(2)/25))/(LN(2)/25)*Calculateur!HC61*Calculateur!HE61*VLOOKUP('Données projet'!$B$18,Paramètres!$A$1:$I$89,3,0)*0.475*44/12</f>
        <v>21.058947468413134</v>
      </c>
      <c r="HI61" s="21">
        <f>EXP(-LN(2)/2)*HI60+(1-EXP(-LN(2)/2))/(LN(2)/2)*HC61*HF61*VLOOKUP('Données projet'!$B$18,Paramètres!$A$1:$I$89,3,0)*0.475*44/12</f>
        <v>2.2852482170915744E-5</v>
      </c>
      <c r="HJ61" s="22">
        <f t="shared" si="30"/>
        <v>116.28073213283767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364.3481978218424</v>
      </c>
      <c r="T62" s="59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34.561674489971985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34.561674489971985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10.199999999999999</v>
      </c>
      <c r="AI62" s="13">
        <f>IF('Données projet'!$A$62&gt;35,AI61+AH62-AQ61,IF(A62&lt;'Données projet'!$A$62,$AF$205^A62,IF(A62='Données projet'!$A$62,'Données projet'!$B$62,AI61+AH62-AQ61)))</f>
        <v>655.79999999999973</v>
      </c>
      <c r="AJ62" s="13">
        <f>AI62*VLOOKUP('Données projet'!$B$10,Paramètres!$A$1:$I$89,3,0)*VLOOKUP('Données projet'!$B$10,Paramètres!$A$1:$I$89,5,0)</f>
        <v>366.59219999999982</v>
      </c>
      <c r="AK62" s="13">
        <f t="shared" si="35"/>
        <v>84.969753481055022</v>
      </c>
      <c r="AL62" s="20">
        <f t="shared" si="4"/>
        <v>786.47040231283711</v>
      </c>
      <c r="AM62" s="59">
        <f t="shared" si="5"/>
        <v>1079.8037356461705</v>
      </c>
      <c r="AN62" s="59">
        <f ca="1">AVERAGE(OFFSET($AM$3,0,0,'Données projet'!$E$10+1,1))-AVERAGE(OFFSET($H$3,0,0,'Données projet'!$E$10+1,1))</f>
        <v>443.34220761968419</v>
      </c>
      <c r="AO62" s="59">
        <f t="shared" si="36"/>
        <v>546.58234447298014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87.621102026581511</v>
      </c>
      <c r="AV62" s="21">
        <f>EXP(-LN(2)/25)*AV61+(1-EXP(-LN(2)/25))/(LN(2)/25)*Calculateur!AQ62*Calculateur!AS62*VLOOKUP('Données projet'!$B$10,Paramètres!$A$1:$I$89,3,0)*0.475*44/12</f>
        <v>9.8172185771677984</v>
      </c>
      <c r="AW62" s="21">
        <f>EXP(-LN(2)/2)*AW61+(1-EXP(-LN(2)/2))/(LN(2)/2)*AQ62*AT62*VLOOKUP('Données projet'!$B$10,Paramètres!$A$1:$I$89,3,0)*0.475*44/12</f>
        <v>2.6075412088877802E-4</v>
      </c>
      <c r="AX62" s="21">
        <f t="shared" si="6"/>
        <v>97.438581357870191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10.8</v>
      </c>
      <c r="BD62" s="12">
        <f>IF('Données projet'!$A$88&gt;35,BD61+BC62-BL61,IF(A62&lt;'Données projet'!$A$88,$BA$205^A62,IF(A62='Données projet'!$A$88,'Données projet'!$B$88,BD61+BC62-BL61)))</f>
        <v>259.20000000000005</v>
      </c>
      <c r="BE62" s="13">
        <f>BD62*VLOOKUP('Données projet'!$B$11,Paramètres!$A$1:$I$89,3,0)*VLOOKUP('Données projet'!$B$11,Paramètres!$A$1:$I$89,5,0)</f>
        <v>222.39360000000005</v>
      </c>
      <c r="BF62" s="13">
        <f t="shared" si="37"/>
        <v>54.634794757949287</v>
      </c>
      <c r="BG62" s="20">
        <f t="shared" si="7"/>
        <v>482.49112087009513</v>
      </c>
      <c r="BH62" s="59">
        <f t="shared" si="8"/>
        <v>775.82445420342844</v>
      </c>
      <c r="BI62" s="59">
        <f ca="1">AVERAGE(OFFSET($BH$3,0,0,'Données projet'!$E$11+1,1))-AVERAGE(OFFSET($H$3,0,0,'Données projet'!$E$11+1,1))</f>
        <v>447.15627913956871</v>
      </c>
      <c r="BJ62" s="59">
        <f t="shared" si="38"/>
        <v>256.77417912163997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53.86115003382433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53.86115003382433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6.6</v>
      </c>
      <c r="BY62" s="12">
        <f>IF('Données projet'!$A$114&gt;35,BY61+BX62-CG61,IF(A62&lt;'Données projet'!$A$114,$BV$205^A62,IF(A62='Données projet'!$A$114,'Données projet'!$B$114,BY61+BX62-CG61)))</f>
        <v>250.39999999999995</v>
      </c>
      <c r="BZ62" s="13">
        <f>BY62*VLOOKUP('Données projet'!$B$12,Paramètres!$A$1:$I$89,3,0)*VLOOKUP('Données projet'!$B$12,Paramètres!$A$1:$I$89,5,0)</f>
        <v>238.28063999999998</v>
      </c>
      <c r="CA62" s="13">
        <f t="shared" si="39"/>
        <v>58.069447149935201</v>
      </c>
      <c r="CB62" s="20">
        <f t="shared" si="10"/>
        <v>516.14306845280373</v>
      </c>
      <c r="CC62" s="59">
        <f t="shared" si="11"/>
        <v>809.4764017861371</v>
      </c>
      <c r="CD62" s="59">
        <f ca="1">AVERAGE(OFFSET($CC$3,0,0,'Données projet'!$E$12+1,1))-AVERAGE(OFFSET($H$3,0,0,'Données projet'!$E$12+1,1))</f>
        <v>448.94764480536713</v>
      </c>
      <c r="CE62" s="59">
        <f t="shared" si="40"/>
        <v>469.26760321719695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51.646416922445759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51.646416922445759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187.80389738728508</v>
      </c>
      <c r="CZ62" s="59">
        <f t="shared" si="42"/>
        <v>439.28159165815265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69.546741315304999</v>
      </c>
      <c r="DG62" s="21">
        <f>EXP(-LN(2)/25)*DG61+(1-EXP(-LN(2)/25))/(LN(2)/25)*Calculateur!DB62*Calculateur!DD62*VLOOKUP('Données projet'!$B$13,Paramètres!$A$1:$I$89,3,0)*0.475*44/12</f>
        <v>6.4340262713469869</v>
      </c>
      <c r="DH62" s="21">
        <f>EXP(-LN(2)/2)*DH61+(1-EXP(-LN(2)/2))/(LN(2)/2)*DB62*DE62*VLOOKUP('Données projet'!$B$13,Paramètres!$A$1:$I$89,3,0)*0.475*44/12</f>
        <v>1.9404870202732433E-6</v>
      </c>
      <c r="DI62" s="22">
        <f t="shared" si="15"/>
        <v>75.980769527139003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255.00000000000006</v>
      </c>
      <c r="DP62" s="17">
        <f>DO62*VLOOKUP('Données projet'!$B$14,Paramètres!$A$1:$I$89,3,0)*VLOOKUP('Données projet'!$B$14,Paramètres!$A$1:$I$89,5,0)</f>
        <v>186.96600000000004</v>
      </c>
      <c r="DQ62" s="13">
        <f t="shared" si="43"/>
        <v>46.868551400324648</v>
      </c>
      <c r="DR62" s="20">
        <f t="shared" si="16"/>
        <v>407.26184368889881</v>
      </c>
      <c r="DS62" s="59">
        <f t="shared" si="17"/>
        <v>700.59517702223206</v>
      </c>
      <c r="DT62" s="59">
        <f ca="1">AVERAGE(OFFSET($DS$3,0,0,'Données projet'!$E$14+1,1))-AVERAGE(OFFSET($H$3,0,0,'Données projet'!$E$14+1,1))</f>
        <v>239.25212250019609</v>
      </c>
      <c r="DU62" s="59">
        <f t="shared" si="44"/>
        <v>213.58492101729695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17</v>
      </c>
      <c r="EJ62" s="12">
        <f>IF('Données projet'!$A$192&gt;35,EJ61+EI62-ER61,IF(A62&lt;'Données projet'!$A$192,$EG$205^A62,IF(A62='Données projet'!$A$192,'Données projet'!$B$192,EJ61+EI62-ER61)))</f>
        <v>571.00000000000023</v>
      </c>
      <c r="EK62" s="17">
        <f>EJ62*VLOOKUP('Données projet'!$B$15,Paramètres!$A$1:$I$89,3,0)*VLOOKUP('Données projet'!$B$15,Paramètres!$A$1:$I$89,5,0)</f>
        <v>341.4580000000002</v>
      </c>
      <c r="EL62" s="13">
        <f t="shared" si="45"/>
        <v>79.801103392528489</v>
      </c>
      <c r="EM62" s="20">
        <f t="shared" si="19"/>
        <v>733.69293840865419</v>
      </c>
      <c r="EN62" s="59">
        <f t="shared" si="20"/>
        <v>1027.0262717419876</v>
      </c>
      <c r="EO62" s="59">
        <f ca="1">AVERAGE(OFFSET($EN$3,0,0,'Données projet'!$E$15+1,1))-AVERAGE(OFFSET($H$3,0,0,'Données projet'!$E$15+1,1))</f>
        <v>504.81063008331739</v>
      </c>
      <c r="EP62" s="59">
        <f t="shared" si="46"/>
        <v>441.82647565372287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76.322891110293966</v>
      </c>
      <c r="EW62" s="21">
        <f>EXP(-LN(2)/25)*EW61+(1-EXP(-LN(2)/25))/(LN(2)/25)*Calculateur!ER62*Calculateur!ET62*VLOOKUP('Données projet'!$B$15,Paramètres!$A$1:$I$89,3,0)*0.475*44/12</f>
        <v>26.349196168526557</v>
      </c>
      <c r="EX62" s="21">
        <f>EXP(-LN(2)/2)*EX61+(1-EXP(-LN(2)/2))/(LN(2)/2)*ER62*EU62*VLOOKUP('Données projet'!$B$15,Paramètres!$A$1:$I$89,3,0)*0.475*44/12</f>
        <v>2.259981344912429E-6</v>
      </c>
      <c r="EY62" s="22">
        <f t="shared" si="21"/>
        <v>102.67208953880187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14.4</v>
      </c>
      <c r="FE62" s="12">
        <f>IF('Données projet'!$A$218&gt;35,FE61+FD62-FM61,IF(A62&lt;'Données projet'!$A$218,$FB$205^A62,IF(A62='Données projet'!$A$218,'Données projet'!$B$218,FE61+FD62-FM61)))</f>
        <v>385.59999999999991</v>
      </c>
      <c r="FF62" s="17">
        <f>FE62*VLOOKUP('Données projet'!$B$16,Paramètres!$A$1:$I$89,3,0)*VLOOKUP('Données projet'!$B$16,Paramètres!$A$1:$I$89,5,0)</f>
        <v>220.56319999999997</v>
      </c>
      <c r="FG62" s="13">
        <f t="shared" si="47"/>
        <v>54.23727623736265</v>
      </c>
      <c r="FH62" s="20">
        <f t="shared" si="22"/>
        <v>478.6108294467399</v>
      </c>
      <c r="FI62" s="59">
        <f t="shared" si="23"/>
        <v>771.94416278007316</v>
      </c>
      <c r="FJ62" s="59">
        <f ca="1">AVERAGE(OFFSET($FI$3,0,0,'Données projet'!$E$16+1,1))-AVERAGE(OFFSET($H$3,0,0,'Données projet'!$E$16+1,1))</f>
        <v>393.41577134252316</v>
      </c>
      <c r="FK62" s="59">
        <f t="shared" si="48"/>
        <v>255.54039659391475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54.877398147670029</v>
      </c>
      <c r="FR62" s="21">
        <f>EXP(-LN(2)/25)*FR61+(1-EXP(-LN(2)/25))/(LN(2)/25)*Calculateur!FM62*Calculateur!FO62*VLOOKUP('Données projet'!$B$16,Paramètres!$A$1:$I$89,3,0)*0.475*44/12</f>
        <v>11.957695458293651</v>
      </c>
      <c r="FS62" s="21">
        <f>EXP(-LN(2)/2)*FS61+(1-EXP(-LN(2)/2))/(LN(2)/2)*FM62*FP62*VLOOKUP('Données projet'!$B$16,Paramètres!$A$1:$I$89,3,0)*0.475*44/12</f>
        <v>1.5722411458377586E-5</v>
      </c>
      <c r="FT62" s="22">
        <f t="shared" si="24"/>
        <v>66.83510932837514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22.6</v>
      </c>
      <c r="FZ62" s="12">
        <f>IF('Données projet'!$A$244&gt;35,FZ61+FY62-GH61,IF(A62&lt;'Données projet'!$A$244,$FW$205^A62,IF(A62='Données projet'!$A$244,'Données projet'!$B$244,FZ61+FY62-GH61)))</f>
        <v>721.39999999999986</v>
      </c>
      <c r="GA62" s="17">
        <f>FZ62*VLOOKUP('Données projet'!$B$17,Paramètres!$A$1:$I$89,3,0)*VLOOKUP('Données projet'!$B$17,Paramètres!$A$1:$I$89,5,0)</f>
        <v>337.61519999999996</v>
      </c>
      <c r="GB62" s="13">
        <f t="shared" si="49"/>
        <v>79.007029978996599</v>
      </c>
      <c r="GC62" s="20">
        <f t="shared" si="25"/>
        <v>725.61705054675224</v>
      </c>
      <c r="GD62" s="59">
        <f t="shared" si="26"/>
        <v>1018.9503838800856</v>
      </c>
      <c r="GE62" s="59">
        <f ca="1">AVERAGE(OFFSET($GD$3,0,0,'Données projet'!$E$17+1,1))-AVERAGE(OFFSET($H$3,0,0,'Données projet'!$E$17+1,1))</f>
        <v>488.67934252295686</v>
      </c>
      <c r="GF62" s="59">
        <f t="shared" si="50"/>
        <v>424.50324471331095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96.852877323448396</v>
      </c>
      <c r="GM62" s="21">
        <f>EXP(-LN(2)/25)*GM61+(1-EXP(-LN(2)/25))/(LN(2)/25)*Calculateur!GH62*Calculateur!GJ62*VLOOKUP('Données projet'!$B$17,Paramètres!$A$1:$I$89,3,0)*0.475*44/12</f>
        <v>21.922441673538358</v>
      </c>
      <c r="GN62" s="21">
        <f>EXP(-LN(2)/2)*GN61+(1-EXP(-LN(2)/2))/(LN(2)/2)*GH62*GK62*VLOOKUP('Données projet'!$B$17,Paramètres!$A$1:$I$89,3,0)*0.475*44/12</f>
        <v>3.5018098248204612E-5</v>
      </c>
      <c r="GO62" s="21">
        <f t="shared" si="27"/>
        <v>118.775354015085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22.4</v>
      </c>
      <c r="GU62" s="12">
        <f>IF('Données projet'!$A$270&gt;35,GU61+GT62-HC61,IF(A62&lt;'Données projet'!$A$270,$GR$205^A62,IF(A62='Données projet'!$A$270,'Données projet'!$B$270,GU61+GT62-HC61)))</f>
        <v>661.59999999999991</v>
      </c>
      <c r="GV62" s="17">
        <f>GU62*VLOOKUP('Données projet'!$B$18,Paramètres!$A$1:$I$89,3,0)*VLOOKUP('Données projet'!$B$18,Paramètres!$A$1:$I$89,5,0)</f>
        <v>318.22959999999995</v>
      </c>
      <c r="GW62" s="13">
        <f t="shared" si="51"/>
        <v>74.984868656755665</v>
      </c>
      <c r="GX62" s="20">
        <f t="shared" si="28"/>
        <v>684.84853291051604</v>
      </c>
      <c r="GY62" s="59">
        <f t="shared" si="29"/>
        <v>978.1818662438493</v>
      </c>
      <c r="GZ62" s="59">
        <f ca="1">AVERAGE(OFFSET($GY$3,0,0,'Données projet'!$E$18+1,1))-AVERAGE(OFFSET($H$3,0,0,'Données projet'!$E$18+1,1))</f>
        <v>458.80976193248841</v>
      </c>
      <c r="HA62" s="59">
        <f t="shared" si="52"/>
        <v>396.07405370178759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93.354521142349995</v>
      </c>
      <c r="HH62" s="21">
        <f>EXP(-LN(2)/25)*HH61+(1-EXP(-LN(2)/25))/(LN(2)/25)*Calculateur!HC62*Calculateur!HE62*VLOOKUP('Données projet'!$B$18,Paramètres!$A$1:$I$89,3,0)*0.475*44/12</f>
        <v>20.483089442447461</v>
      </c>
      <c r="HI62" s="21">
        <f>EXP(-LN(2)/2)*HI61+(1-EXP(-LN(2)/2))/(LN(2)/2)*HC62*HF62*VLOOKUP('Données projet'!$B$18,Paramètres!$A$1:$I$89,3,0)*0.475*44/12</f>
        <v>1.6159145109999197E-5</v>
      </c>
      <c r="HJ62" s="22">
        <f t="shared" si="30"/>
        <v>113.83762674394256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714.76126520309413</v>
      </c>
      <c r="S63" s="59">
        <f ca="1">AVERAGE(OFFSET($R$3,0,0,'Données projet'!$E$9+1,1))-AVERAGE(OFFSET($H$3,0,0,'Données projet'!$E$9+1,1))</f>
        <v>364.3481978218424</v>
      </c>
      <c r="T63" s="59">
        <f t="shared" si="34"/>
        <v>231.36959598460686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42.916014416358301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42.916014416358301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666</v>
      </c>
      <c r="AG63" s="12">
        <f>VLOOKUP(A63,'Données projet'!$A$61:$I$81,9,0)</f>
        <v>10.199999999999999</v>
      </c>
      <c r="AH63" s="12">
        <f t="array" ref="AH63">INDEX(AG:AG,MIN(IF(ISNUMBER(AG63:AG259),ROW(AG63:AG259),"")))</f>
        <v>10.199999999999999</v>
      </c>
      <c r="AI63" s="13">
        <f>IF('Données projet'!$A$62&gt;35,AI62+AH63-AQ62,IF(A63&lt;'Données projet'!$A$62,$AF$205^A63,IF(A63='Données projet'!$A$62,'Données projet'!$B$62,AI62+AH63-AQ62)))</f>
        <v>665.99999999999977</v>
      </c>
      <c r="AJ63" s="13">
        <f>AI63*VLOOKUP('Données projet'!$B$10,Paramètres!$A$1:$I$89,3,0)*VLOOKUP('Données projet'!$B$10,Paramètres!$A$1:$I$89,5,0)</f>
        <v>372.29399999999987</v>
      </c>
      <c r="AK63" s="13">
        <f t="shared" si="35"/>
        <v>86.136449661008839</v>
      </c>
      <c r="AL63" s="20">
        <f t="shared" si="4"/>
        <v>798.43303315959008</v>
      </c>
      <c r="AM63" s="59">
        <f t="shared" si="5"/>
        <v>1091.7663664929235</v>
      </c>
      <c r="AN63" s="59">
        <f ca="1">AVERAGE(OFFSET($AM$3,0,0,'Données projet'!$E$10+1,1))-AVERAGE(OFFSET($H$3,0,0,'Données projet'!$E$10+1,1))</f>
        <v>443.34220761968419</v>
      </c>
      <c r="AO63" s="59">
        <f t="shared" si="36"/>
        <v>546.58234447298014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29</v>
      </c>
      <c r="AR63" s="16">
        <f>IF(ISNA(VLOOKUP(A63,'Données projet'!$A$61:$I$81,5,0)),0%,VLOOKUP(A63,'Données projet'!$A$61:$I$81,5,0)*VLOOKUP('Données projet'!$B$10,Paramètres!$A$1:$I$89,7,0))</f>
        <v>0.55000000000000004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97.730620672357077</v>
      </c>
      <c r="AV63" s="21">
        <f>EXP(-LN(2)/25)*AV62+(1-EXP(-LN(2)/25))/(LN(2)/25)*Calculateur!AQ63*Calculateur!AS63*VLOOKUP('Données projet'!$B$10,Paramètres!$A$1:$I$89,3,0)*0.475*44/12</f>
        <v>9.5487662189100568</v>
      </c>
      <c r="AW63" s="21">
        <f>EXP(-LN(2)/2)*AW62+(1-EXP(-LN(2)/2))/(LN(2)/2)*AQ63*AT63*VLOOKUP('Données projet'!$B$10,Paramètres!$A$1:$I$89,3,0)*0.475*44/12</f>
        <v>1.8438100710279173E-4</v>
      </c>
      <c r="AX63" s="21">
        <f t="shared" si="6"/>
        <v>107.27957127227424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270</v>
      </c>
      <c r="BB63" s="12">
        <f>VLOOKUP(A63,'Données projet'!$A$87:$I$107,9,0)</f>
        <v>10.8</v>
      </c>
      <c r="BC63" s="12">
        <f t="array" ref="BC63">INDEX(BB:BB,MIN(IF(ISNUMBER(BB63:BB259),ROW(BB63:BB259),"")))</f>
        <v>10.8</v>
      </c>
      <c r="BD63" s="12">
        <f>IF('Données projet'!$A$88&gt;35,BD62+BC63-BL62,IF(A63&lt;'Données projet'!$A$88,$BA$205^A63,IF(A63='Données projet'!$A$88,'Données projet'!$B$88,BD62+BC63-BL62)))</f>
        <v>270.00000000000006</v>
      </c>
      <c r="BE63" s="13">
        <f>BD63*VLOOKUP('Données projet'!$B$11,Paramètres!$A$1:$I$89,3,0)*VLOOKUP('Données projet'!$B$11,Paramètres!$A$1:$I$89,5,0)</f>
        <v>231.66000000000011</v>
      </c>
      <c r="BF63" s="13">
        <f t="shared" si="37"/>
        <v>56.641461975682823</v>
      </c>
      <c r="BG63" s="20">
        <f t="shared" si="7"/>
        <v>502.1250462743144</v>
      </c>
      <c r="BH63" s="59">
        <f t="shared" si="8"/>
        <v>795.45837960764766</v>
      </c>
      <c r="BI63" s="59">
        <f ca="1">AVERAGE(OFFSET($BH$3,0,0,'Données projet'!$E$11+1,1))-AVERAGE(OFFSET($H$3,0,0,'Données projet'!$E$11+1,1))</f>
        <v>447.15627913956871</v>
      </c>
      <c r="BJ63" s="59">
        <f t="shared" si="38"/>
        <v>256.77417912163997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66.880610544605474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66.880610544605474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257</v>
      </c>
      <c r="BW63" s="12">
        <f>VLOOKUP(A63,'Données projet'!$A$113:$I$133,9,0)</f>
        <v>6.6</v>
      </c>
      <c r="BX63" s="12">
        <f t="array" ref="BX63">INDEX(BW:BW,MIN(IF(ISNUMBER(BW63:BW259),ROW(BW63:BW259),"")))</f>
        <v>6.6</v>
      </c>
      <c r="BY63" s="12">
        <f>IF('Données projet'!$A$114&gt;35,BY62+BX63-CG62,IF(A63&lt;'Données projet'!$A$114,$BV$205^A63,IF(A63='Données projet'!$A$114,'Données projet'!$B$114,BY62+BX63-CG62)))</f>
        <v>256.99999999999994</v>
      </c>
      <c r="BZ63" s="13">
        <f>BY63*VLOOKUP('Données projet'!$B$12,Paramètres!$A$1:$I$89,3,0)*VLOOKUP('Données projet'!$B$12,Paramètres!$A$1:$I$89,5,0)</f>
        <v>244.56119999999993</v>
      </c>
      <c r="CA63" s="13">
        <f t="shared" si="39"/>
        <v>59.419817003915256</v>
      </c>
      <c r="CB63" s="20">
        <f t="shared" si="10"/>
        <v>529.43360461515238</v>
      </c>
      <c r="CC63" s="59">
        <f t="shared" si="11"/>
        <v>822.76693794848575</v>
      </c>
      <c r="CD63" s="59">
        <f ca="1">AVERAGE(OFFSET($CC$3,0,0,'Données projet'!$E$12+1,1))-AVERAGE(OFFSET($H$3,0,0,'Données projet'!$E$12+1,1))</f>
        <v>448.94764480536713</v>
      </c>
      <c r="CE63" s="59">
        <f t="shared" si="40"/>
        <v>469.26760321719695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29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63.751673383949971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63.751673383949971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187.80389738728508</v>
      </c>
      <c r="CZ63" s="59">
        <f t="shared" si="42"/>
        <v>439.28159165815265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68.182972137435513</v>
      </c>
      <c r="DG63" s="21">
        <f>EXP(-LN(2)/25)*DG62+(1-EXP(-LN(2)/25))/(LN(2)/25)*Calculateur!DB63*Calculateur!DD63*VLOOKUP('Données projet'!$B$13,Paramètres!$A$1:$I$89,3,0)*0.475*44/12</f>
        <v>6.2580874846062668</v>
      </c>
      <c r="DH63" s="21">
        <f>EXP(-LN(2)/2)*DH62+(1-EXP(-LN(2)/2))/(LN(2)/2)*DB63*DE63*VLOOKUP('Données projet'!$B$13,Paramètres!$A$1:$I$89,3,0)*0.475*44/12</f>
        <v>1.3721315308396879E-6</v>
      </c>
      <c r="DI63" s="22">
        <f t="shared" si="15"/>
        <v>74.441060994173313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255.00000000000006</v>
      </c>
      <c r="DP63" s="17">
        <f>DO63*VLOOKUP('Données projet'!$B$14,Paramètres!$A$1:$I$89,3,0)*VLOOKUP('Données projet'!$B$14,Paramètres!$A$1:$I$89,5,0)</f>
        <v>186.96600000000004</v>
      </c>
      <c r="DQ63" s="13">
        <f t="shared" si="43"/>
        <v>46.868551400324648</v>
      </c>
      <c r="DR63" s="20">
        <f t="shared" si="16"/>
        <v>407.26184368889881</v>
      </c>
      <c r="DS63" s="59">
        <f t="shared" si="17"/>
        <v>700.59517702223206</v>
      </c>
      <c r="DT63" s="59">
        <f ca="1">AVERAGE(OFFSET($DS$3,0,0,'Données projet'!$E$14+1,1))-AVERAGE(OFFSET($H$3,0,0,'Données projet'!$E$14+1,1))</f>
        <v>239.25212250019609</v>
      </c>
      <c r="DU63" s="59">
        <f t="shared" si="44"/>
        <v>213.58492101729695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588</v>
      </c>
      <c r="EH63" s="12">
        <f>VLOOKUP(A63,'Données projet'!$A$191:$I$211,9,0)</f>
        <v>17</v>
      </c>
      <c r="EI63" s="12">
        <f t="array" ref="EI63">INDEX(EH:EH,MIN(IF(ISNUMBER(EH63:EH259),ROW(EH63:EH259),"")))</f>
        <v>17</v>
      </c>
      <c r="EJ63" s="12">
        <f>IF('Données projet'!$A$192&gt;35,EJ62+EI63-ER62,IF(A63&lt;'Données projet'!$A$192,$EG$205^A63,IF(A63='Données projet'!$A$192,'Données projet'!$B$192,EJ62+EI63-ER62)))</f>
        <v>588.00000000000023</v>
      </c>
      <c r="EK63" s="17">
        <f>EJ63*VLOOKUP('Données projet'!$B$15,Paramètres!$A$1:$I$89,3,0)*VLOOKUP('Données projet'!$B$15,Paramètres!$A$1:$I$89,5,0)</f>
        <v>351.62400000000019</v>
      </c>
      <c r="EL63" s="13">
        <f t="shared" si="45"/>
        <v>81.89681955603848</v>
      </c>
      <c r="EM63" s="20">
        <f t="shared" si="19"/>
        <v>755.04876072676723</v>
      </c>
      <c r="EN63" s="59">
        <f t="shared" si="20"/>
        <v>1048.3820940601006</v>
      </c>
      <c r="EO63" s="59">
        <f ca="1">AVERAGE(OFFSET($EN$3,0,0,'Données projet'!$E$15+1,1))-AVERAGE(OFFSET($H$3,0,0,'Données projet'!$E$15+1,1))</f>
        <v>504.81063008331739</v>
      </c>
      <c r="EP63" s="59">
        <f t="shared" si="46"/>
        <v>441.82647565372287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39</v>
      </c>
      <c r="ES63" s="16">
        <f>IF(ISNA(VLOOKUP(A63,'Données projet'!$A$191:$I$211,5,0)),0%,VLOOKUP(A63,'Données projet'!$A$191:$I$211,5,0)*VLOOKUP('Données projet'!$B$15,Paramètres!$A$1:$I$89,7,0))</f>
        <v>0.45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88.748407071380441</v>
      </c>
      <c r="EW63" s="21">
        <f>EXP(-LN(2)/25)*EW62+(1-EXP(-LN(2)/25))/(LN(2)/25)*Calculateur!ER63*Calculateur!ET63*VLOOKUP('Données projet'!$B$15,Paramètres!$A$1:$I$89,3,0)*0.475*44/12</f>
        <v>25.628676013654193</v>
      </c>
      <c r="EX63" s="21">
        <f>EXP(-LN(2)/2)*EX62+(1-EXP(-LN(2)/2))/(LN(2)/2)*ER63*EU63*VLOOKUP('Données projet'!$B$15,Paramètres!$A$1:$I$89,3,0)*0.475*44/12</f>
        <v>1.5980481343426724E-6</v>
      </c>
      <c r="EY63" s="22">
        <f t="shared" si="21"/>
        <v>114.37708468308276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400</v>
      </c>
      <c r="FC63" s="12">
        <f>VLOOKUP(A63,'Données projet'!$A$217:$I$237,9,0)</f>
        <v>14.4</v>
      </c>
      <c r="FD63" s="12">
        <f t="array" ref="FD63">INDEX(FC:FC,MIN(IF(ISNUMBER(FC63:FC259),ROW(FC63:FC259),"")))</f>
        <v>14.4</v>
      </c>
      <c r="FE63" s="12">
        <f>IF('Données projet'!$A$218&gt;35,FE62+FD63-FM62,IF(A63&lt;'Données projet'!$A$218,$FB$205^A63,IF(A63='Données projet'!$A$218,'Données projet'!$B$218,FE62+FD63-FM62)))</f>
        <v>399.99999999999989</v>
      </c>
      <c r="FF63" s="17">
        <f>FE63*VLOOKUP('Données projet'!$B$16,Paramètres!$A$1:$I$89,3,0)*VLOOKUP('Données projet'!$B$16,Paramètres!$A$1:$I$89,5,0)</f>
        <v>228.79999999999993</v>
      </c>
      <c r="FG63" s="13">
        <f t="shared" si="47"/>
        <v>56.023134533701196</v>
      </c>
      <c r="FH63" s="20">
        <f t="shared" si="22"/>
        <v>496.06695931286276</v>
      </c>
      <c r="FI63" s="59">
        <f t="shared" si="23"/>
        <v>789.40029264619602</v>
      </c>
      <c r="FJ63" s="59">
        <f ca="1">AVERAGE(OFFSET($FI$3,0,0,'Données projet'!$E$16+1,1))-AVERAGE(OFFSET($H$3,0,0,'Données projet'!$E$16+1,1))</f>
        <v>393.41577134252316</v>
      </c>
      <c r="FK63" s="59">
        <f t="shared" si="48"/>
        <v>255.54039659391475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40</v>
      </c>
      <c r="FN63" s="16">
        <f>IF(ISNA(VLOOKUP(A63,'Données projet'!$A$217:$I$237,5,0)),0%,VLOOKUP(A63,'Données projet'!$A$217:$I$237,5,0)*VLOOKUP('Données projet'!$B$16,Paramètres!$A$1:$I$89,7,0))</f>
        <v>0.45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67.459593475107525</v>
      </c>
      <c r="FR63" s="21">
        <f>EXP(-LN(2)/25)*FR62+(1-EXP(-LN(2)/25))/(LN(2)/25)*Calculateur!FM63*Calculateur!FO63*VLOOKUP('Données projet'!$B$16,Paramètres!$A$1:$I$89,3,0)*0.475*44/12</f>
        <v>11.630711647158737</v>
      </c>
      <c r="FS63" s="21">
        <f>EXP(-LN(2)/2)*FS62+(1-EXP(-LN(2)/2))/(LN(2)/2)*FM63*FP63*VLOOKUP('Données projet'!$B$16,Paramètres!$A$1:$I$89,3,0)*0.475*44/12</f>
        <v>1.1117423758823867E-5</v>
      </c>
      <c r="FT63" s="22">
        <f t="shared" si="24"/>
        <v>79.090316239690011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744</v>
      </c>
      <c r="FX63" s="12">
        <f>VLOOKUP(A63,'Données projet'!$A$243:$I$263,9,0)</f>
        <v>22.6</v>
      </c>
      <c r="FY63" s="12">
        <f t="array" ref="FY63">INDEX(FX:FX,MIN(IF(ISNUMBER(FX63:FX259),ROW(FX63:FX259),"")))</f>
        <v>22.6</v>
      </c>
      <c r="FZ63" s="12">
        <f>IF('Données projet'!$A$244&gt;35,FZ62+FY63-GH62,IF(A63&lt;'Données projet'!$A$244,$FW$205^A63,IF(A63='Données projet'!$A$244,'Données projet'!$B$244,FZ62+FY63-GH62)))</f>
        <v>743.99999999999989</v>
      </c>
      <c r="GA63" s="17">
        <f>FZ63*VLOOKUP('Données projet'!$B$17,Paramètres!$A$1:$I$89,3,0)*VLOOKUP('Données projet'!$B$17,Paramètres!$A$1:$I$89,5,0)</f>
        <v>348.19200000000001</v>
      </c>
      <c r="GB63" s="13">
        <f t="shared" si="49"/>
        <v>81.190113119538722</v>
      </c>
      <c r="GC63" s="20">
        <f t="shared" si="25"/>
        <v>747.84051368319672</v>
      </c>
      <c r="GD63" s="59">
        <f t="shared" si="26"/>
        <v>1041.1738470165301</v>
      </c>
      <c r="GE63" s="59">
        <f ca="1">AVERAGE(OFFSET($GD$3,0,0,'Données projet'!$E$17+1,1))-AVERAGE(OFFSET($H$3,0,0,'Données projet'!$E$17+1,1))</f>
        <v>488.67934252295686</v>
      </c>
      <c r="GF63" s="59">
        <f t="shared" si="50"/>
        <v>424.50324471331095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60</v>
      </c>
      <c r="GI63" s="16">
        <f>IF(ISNA(VLOOKUP(A63,'Données projet'!$A$243:$I$263,5,0)),0%,VLOOKUP(A63,'Données projet'!$A$243:$I$263,5,0)*VLOOKUP('Données projet'!$B$17,Paramètres!$A$1:$I$89,7,0))</f>
        <v>0.55000000000000004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115.44111292336589</v>
      </c>
      <c r="GM63" s="21">
        <f>EXP(-LN(2)/25)*GM62+(1-EXP(-LN(2)/25))/(LN(2)/25)*Calculateur!GH63*Calculateur!GJ63*VLOOKUP('Données projet'!$B$17,Paramètres!$A$1:$I$89,3,0)*0.475*44/12</f>
        <v>21.322971353124348</v>
      </c>
      <c r="GN63" s="21">
        <f>EXP(-LN(2)/2)*GN62+(1-EXP(-LN(2)/2))/(LN(2)/2)*GH63*GK63*VLOOKUP('Données projet'!$B$17,Paramètres!$A$1:$I$89,3,0)*0.475*44/12</f>
        <v>2.4761534735562242E-5</v>
      </c>
      <c r="GO63" s="21">
        <f t="shared" si="27"/>
        <v>136.764109038025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684</v>
      </c>
      <c r="GS63" s="12">
        <f>VLOOKUP(A63,'Données projet'!$A$269:$I$289,9,0)</f>
        <v>22.4</v>
      </c>
      <c r="GT63" s="12">
        <f t="array" ref="GT63">INDEX(GS:GS,MIN(IF(ISNUMBER(GS63:GS259),ROW(GS63:GS259),"")))</f>
        <v>22.4</v>
      </c>
      <c r="GU63" s="12">
        <f>IF('Données projet'!$A$270&gt;35,GU62+GT63-HC62,IF(A63&lt;'Données projet'!$A$270,$GR$205^A63,IF(A63='Données projet'!$A$270,'Données projet'!$B$270,GU62+GT63-HC62)))</f>
        <v>683.99999999999989</v>
      </c>
      <c r="GV63" s="17">
        <f>GU63*VLOOKUP('Données projet'!$B$18,Paramètres!$A$1:$I$89,3,0)*VLOOKUP('Données projet'!$B$18,Paramètres!$A$1:$I$89,5,0)</f>
        <v>329.00399999999996</v>
      </c>
      <c r="GW63" s="13">
        <f t="shared" si="51"/>
        <v>77.223774646935937</v>
      </c>
      <c r="GX63" s="20">
        <f t="shared" si="28"/>
        <v>707.51337417674677</v>
      </c>
      <c r="GY63" s="59">
        <f t="shared" si="29"/>
        <v>1000.84670751008</v>
      </c>
      <c r="GZ63" s="59">
        <f ca="1">AVERAGE(OFFSET($GY$3,0,0,'Données projet'!$E$18+1,1))-AVERAGE(OFFSET($H$3,0,0,'Données projet'!$E$18+1,1))</f>
        <v>458.80976193248841</v>
      </c>
      <c r="HA63" s="59">
        <f t="shared" si="52"/>
        <v>396.07405370178759</v>
      </c>
      <c r="HB63" s="15">
        <f>IF(ISNA(VLOOKUP(A63,'Données projet'!$A$269:$I$289,3,0)),0,VLOOKUP(A63,'Données projet'!$A$269:$I$289,3,0))</f>
        <v>9</v>
      </c>
      <c r="HC63" s="15">
        <f>IF(ISNA(VLOOKUP(A63,'Données projet'!$A$269:$I$289,4,0)),0,VLOOKUP(A63,'Données projet'!$A$269:$I$289,4,0))</f>
        <v>60</v>
      </c>
      <c r="HD63" s="16">
        <f>IF(ISNA(VLOOKUP(A63,'Données projet'!$A$269:$I$289,5,0)),0%,VLOOKUP(A63,'Données projet'!$A$269:$I$289,5,0)*VLOOKUP('Données projet'!$B$18,Paramètres!$A$1:$I$89,7,0))</f>
        <v>0.55000000000000004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112.58045352457582</v>
      </c>
      <c r="HH63" s="21">
        <f>EXP(-LN(2)/25)*HH62+(1-EXP(-LN(2)/25))/(LN(2)/25)*Calculateur!HC63*Calculateur!HE63*VLOOKUP('Données projet'!$B$18,Paramètres!$A$1:$I$89,3,0)*0.475*44/12</f>
        <v>19.922978284484877</v>
      </c>
      <c r="HI63" s="21">
        <f>EXP(-LN(2)/2)*HI62+(1-EXP(-LN(2)/2))/(LN(2)/2)*HC63*HF63*VLOOKUP('Données projet'!$B$18,Paramètres!$A$1:$I$89,3,0)*0.475*44/12</f>
        <v>1.1426241085457872E-5</v>
      </c>
      <c r="HJ63" s="22">
        <f t="shared" si="30"/>
        <v>132.50344323530177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688.19859268339724</v>
      </c>
      <c r="S64" s="59">
        <f ca="1">AVERAGE(OFFSET($R$3,0,0,'Données projet'!$E$9+1,1))-AVERAGE(OFFSET($H$3,0,0,'Données projet'!$E$9+1,1))</f>
        <v>364.3481978218424</v>
      </c>
      <c r="T64" s="59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42.074457549837625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42.074457549837625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636.99999999999977</v>
      </c>
      <c r="AJ64" s="13">
        <f>AI64*VLOOKUP('Données projet'!$B$10,Paramètres!$A$1:$I$89,3,0)*VLOOKUP('Données projet'!$B$10,Paramètres!$A$1:$I$89,5,0)</f>
        <v>356.08299999999991</v>
      </c>
      <c r="AK64" s="13">
        <f t="shared" si="35"/>
        <v>82.813805255716545</v>
      </c>
      <c r="AL64" s="20">
        <f t="shared" si="4"/>
        <v>764.41193582037283</v>
      </c>
      <c r="AM64" s="59">
        <f t="shared" si="5"/>
        <v>1057.7452691537062</v>
      </c>
      <c r="AN64" s="59">
        <f ca="1">AVERAGE(OFFSET($AM$3,0,0,'Données projet'!$E$10+1,1))-AVERAGE(OFFSET($H$3,0,0,'Données projet'!$E$10+1,1))</f>
        <v>443.34220761968419</v>
      </c>
      <c r="AO64" s="59">
        <f t="shared" si="36"/>
        <v>546.58234447298014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95.814182810764791</v>
      </c>
      <c r="AV64" s="21">
        <f>EXP(-LN(2)/25)*AV63+(1-EXP(-LN(2)/25))/(LN(2)/25)*Calculateur!AQ64*Calculateur!AS64*VLOOKUP('Données projet'!$B$10,Paramètres!$A$1:$I$89,3,0)*0.475*44/12</f>
        <v>9.2876547045061706</v>
      </c>
      <c r="AW64" s="21">
        <f>EXP(-LN(2)/2)*AW63+(1-EXP(-LN(2)/2))/(LN(2)/2)*AQ64*AT64*VLOOKUP('Données projet'!$B$10,Paramètres!$A$1:$I$89,3,0)*0.475*44/12</f>
        <v>1.3037706044438901E-4</v>
      </c>
      <c r="AX64" s="21">
        <f t="shared" si="6"/>
        <v>105.1019678923314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10.4</v>
      </c>
      <c r="BD64" s="12">
        <f>IF('Données projet'!$A$88&gt;35,BD63+BC64-BL63,IF(A64&lt;'Données projet'!$A$88,$BA$205^A64,IF(A64='Données projet'!$A$88,'Données projet'!$B$88,BD63+BC64-BL63)))</f>
        <v>252.40000000000003</v>
      </c>
      <c r="BE64" s="13">
        <f>BD64*VLOOKUP('Données projet'!$B$11,Paramètres!$A$1:$I$89,3,0)*VLOOKUP('Données projet'!$B$11,Paramètres!$A$1:$I$89,5,0)</f>
        <v>216.55920000000003</v>
      </c>
      <c r="BF64" s="13">
        <f t="shared" si="37"/>
        <v>53.366360125240483</v>
      </c>
      <c r="BG64" s="20">
        <f t="shared" si="7"/>
        <v>470.12035055146049</v>
      </c>
      <c r="BH64" s="59">
        <f t="shared" si="8"/>
        <v>763.4536838847938</v>
      </c>
      <c r="BI64" s="59">
        <f ca="1">AVERAGE(OFFSET($BH$3,0,0,'Données projet'!$E$11+1,1))-AVERAGE(OFFSET($H$3,0,0,'Données projet'!$E$11+1,1))</f>
        <v>447.15627913956871</v>
      </c>
      <c r="BJ64" s="59">
        <f t="shared" si="38"/>
        <v>256.77417912163997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65.569122564970201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65.569122564970201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6.6</v>
      </c>
      <c r="BY64" s="12">
        <f>IF('Données projet'!$A$114&gt;35,BY63+BX64-CG63,IF(A64&lt;'Données projet'!$A$114,$BV$205^A64,IF(A64='Données projet'!$A$114,'Données projet'!$B$114,BY63+BX64-CG63)))</f>
        <v>234.59999999999997</v>
      </c>
      <c r="BZ64" s="13">
        <f>BY64*VLOOKUP('Données projet'!$B$12,Paramètres!$A$1:$I$89,3,0)*VLOOKUP('Données projet'!$B$12,Paramètres!$A$1:$I$89,5,0)</f>
        <v>223.24535999999995</v>
      </c>
      <c r="CA64" s="13">
        <f t="shared" si="39"/>
        <v>54.819646394591118</v>
      </c>
      <c r="CB64" s="20">
        <f t="shared" si="10"/>
        <v>484.29655280391279</v>
      </c>
      <c r="CC64" s="59">
        <f t="shared" si="11"/>
        <v>777.6298861372461</v>
      </c>
      <c r="CD64" s="59">
        <f ca="1">AVERAGE(OFFSET($CC$3,0,0,'Données projet'!$E$12+1,1))-AVERAGE(OFFSET($H$3,0,0,'Données projet'!$E$12+1,1))</f>
        <v>448.94764480536713</v>
      </c>
      <c r="CE64" s="59">
        <f t="shared" si="40"/>
        <v>469.26760321719695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62.50154195357193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62.50154195357193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187.80389738728508</v>
      </c>
      <c r="CZ64" s="59">
        <f t="shared" si="42"/>
        <v>439.28159165815265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66.845945641326978</v>
      </c>
      <c r="DG64" s="21">
        <f>EXP(-LN(2)/25)*DG63+(1-EXP(-LN(2)/25))/(LN(2)/25)*Calculateur!DB64*Calculateur!DD64*VLOOKUP('Données projet'!$B$13,Paramètres!$A$1:$I$89,3,0)*0.475*44/12</f>
        <v>6.0869597532411905</v>
      </c>
      <c r="DH64" s="21">
        <f>EXP(-LN(2)/2)*DH63+(1-EXP(-LN(2)/2))/(LN(2)/2)*DB64*DE64*VLOOKUP('Données projet'!$B$13,Paramètres!$A$1:$I$89,3,0)*0.475*44/12</f>
        <v>9.7024351013662166E-7</v>
      </c>
      <c r="DI64" s="22">
        <f t="shared" si="15"/>
        <v>72.932906364811672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255.00000000000006</v>
      </c>
      <c r="DP64" s="17">
        <f>DO64*VLOOKUP('Données projet'!$B$14,Paramètres!$A$1:$I$89,3,0)*VLOOKUP('Données projet'!$B$14,Paramètres!$A$1:$I$89,5,0)</f>
        <v>186.96600000000004</v>
      </c>
      <c r="DQ64" s="13">
        <f t="shared" si="43"/>
        <v>46.868551400324648</v>
      </c>
      <c r="DR64" s="20">
        <f t="shared" si="16"/>
        <v>407.26184368889881</v>
      </c>
      <c r="DS64" s="59">
        <f t="shared" si="17"/>
        <v>700.59517702223206</v>
      </c>
      <c r="DT64" s="59">
        <f ca="1">AVERAGE(OFFSET($DS$3,0,0,'Données projet'!$E$14+1,1))-AVERAGE(OFFSET($H$3,0,0,'Données projet'!$E$14+1,1))</f>
        <v>239.25212250019609</v>
      </c>
      <c r="DU64" s="59">
        <f t="shared" si="44"/>
        <v>213.58492101729695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15.6</v>
      </c>
      <c r="EJ64" s="12">
        <f>IF('Données projet'!$A$192&gt;35,EJ63+EI64-ER63,IF(A64&lt;'Données projet'!$A$192,$EG$205^A64,IF(A64='Données projet'!$A$192,'Données projet'!$B$192,EJ63+EI64-ER63)))</f>
        <v>564.60000000000025</v>
      </c>
      <c r="EK64" s="17">
        <f>EJ64*VLOOKUP('Données projet'!$B$15,Paramètres!$A$1:$I$89,3,0)*VLOOKUP('Données projet'!$B$15,Paramètres!$A$1:$I$89,5,0)</f>
        <v>337.63080000000019</v>
      </c>
      <c r="EL64" s="13">
        <f t="shared" si="45"/>
        <v>79.01025567088999</v>
      </c>
      <c r="EM64" s="20">
        <f t="shared" si="19"/>
        <v>725.64983862680037</v>
      </c>
      <c r="EN64" s="59">
        <f t="shared" si="20"/>
        <v>1018.9831719601336</v>
      </c>
      <c r="EO64" s="59">
        <f ca="1">AVERAGE(OFFSET($EN$3,0,0,'Données projet'!$E$15+1,1))-AVERAGE(OFFSET($H$3,0,0,'Données projet'!$E$15+1,1))</f>
        <v>504.81063008331739</v>
      </c>
      <c r="EP64" s="59">
        <f t="shared" si="46"/>
        <v>441.82647565372287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87.008104939893968</v>
      </c>
      <c r="EW64" s="21">
        <f>EXP(-LN(2)/25)*EW63+(1-EXP(-LN(2)/25))/(LN(2)/25)*Calculateur!ER64*Calculateur!ET64*VLOOKUP('Données projet'!$B$15,Paramètres!$A$1:$I$89,3,0)*0.475*44/12</f>
        <v>24.927858520307321</v>
      </c>
      <c r="EX64" s="21">
        <f>EXP(-LN(2)/2)*EX63+(1-EXP(-LN(2)/2))/(LN(2)/2)*ER64*EU64*VLOOKUP('Données projet'!$B$15,Paramètres!$A$1:$I$89,3,0)*0.475*44/12</f>
        <v>1.1299906724562145E-6</v>
      </c>
      <c r="EY64" s="22">
        <f t="shared" si="21"/>
        <v>111.93596459019197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13.4</v>
      </c>
      <c r="FE64" s="12">
        <f>IF('Données projet'!$A$218&gt;35,FE63+FD64-FM63,IF(A64&lt;'Données projet'!$A$218,$FB$205^A64,IF(A64='Données projet'!$A$218,'Données projet'!$B$218,FE63+FD64-FM63)))</f>
        <v>373.39999999999986</v>
      </c>
      <c r="FF64" s="17">
        <f>FE64*VLOOKUP('Données projet'!$B$16,Paramètres!$A$1:$I$89,3,0)*VLOOKUP('Données projet'!$B$16,Paramètres!$A$1:$I$89,5,0)</f>
        <v>213.58479999999992</v>
      </c>
      <c r="FG64" s="13">
        <f t="shared" si="47"/>
        <v>52.71818131194199</v>
      </c>
      <c r="FH64" s="20">
        <f t="shared" si="22"/>
        <v>463.81102578496547</v>
      </c>
      <c r="FI64" s="59">
        <f t="shared" si="23"/>
        <v>757.14435911829878</v>
      </c>
      <c r="FJ64" s="59">
        <f ca="1">AVERAGE(OFFSET($FI$3,0,0,'Données projet'!$E$16+1,1))-AVERAGE(OFFSET($H$3,0,0,'Données projet'!$E$16+1,1))</f>
        <v>393.41577134252316</v>
      </c>
      <c r="FK64" s="59">
        <f t="shared" si="48"/>
        <v>255.54039659391475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66.136751993349833</v>
      </c>
      <c r="FR64" s="21">
        <f>EXP(-LN(2)/25)*FR63+(1-EXP(-LN(2)/25))/(LN(2)/25)*Calculateur!FM64*Calculateur!FO64*VLOOKUP('Données projet'!$B$16,Paramètres!$A$1:$I$89,3,0)*0.475*44/12</f>
        <v>11.312669225534638</v>
      </c>
      <c r="FS64" s="21">
        <f>EXP(-LN(2)/2)*FS63+(1-EXP(-LN(2)/2))/(LN(2)/2)*FM64*FP64*VLOOKUP('Données projet'!$B$16,Paramètres!$A$1:$I$89,3,0)*0.475*44/12</f>
        <v>7.8612057291887928E-6</v>
      </c>
      <c r="FT64" s="22">
        <f t="shared" si="24"/>
        <v>77.449429080090198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21.2</v>
      </c>
      <c r="FZ64" s="12">
        <f>IF('Données projet'!$A$244&gt;35,FZ63+FY64-GH63,IF(A64&lt;'Données projet'!$A$244,$FW$205^A64,IF(A64='Données projet'!$A$244,'Données projet'!$B$244,FZ63+FY64-GH63)))</f>
        <v>705.19999999999993</v>
      </c>
      <c r="GA64" s="17">
        <f>FZ64*VLOOKUP('Données projet'!$B$17,Paramètres!$A$1:$I$89,3,0)*VLOOKUP('Données projet'!$B$17,Paramètres!$A$1:$I$89,5,0)</f>
        <v>330.03359999999998</v>
      </c>
      <c r="GB64" s="13">
        <f t="shared" si="49"/>
        <v>77.437273267793145</v>
      </c>
      <c r="GC64" s="20">
        <f t="shared" si="25"/>
        <v>709.67843760807307</v>
      </c>
      <c r="GD64" s="59">
        <f t="shared" si="26"/>
        <v>1003.0117709414064</v>
      </c>
      <c r="GE64" s="59">
        <f ca="1">AVERAGE(OFFSET($GD$3,0,0,'Données projet'!$E$17+1,1))-AVERAGE(OFFSET($H$3,0,0,'Données projet'!$E$17+1,1))</f>
        <v>488.67934252295686</v>
      </c>
      <c r="GF64" s="59">
        <f t="shared" si="50"/>
        <v>424.50324471331095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113.17738311106496</v>
      </c>
      <c r="GM64" s="21">
        <f>EXP(-LN(2)/25)*GM63+(1-EXP(-LN(2)/25))/(LN(2)/25)*Calculateur!GH64*Calculateur!GJ64*VLOOKUP('Données projet'!$B$17,Paramètres!$A$1:$I$89,3,0)*0.475*44/12</f>
        <v>20.739893580146834</v>
      </c>
      <c r="GN64" s="21">
        <f>EXP(-LN(2)/2)*GN63+(1-EXP(-LN(2)/2))/(LN(2)/2)*GH64*GK64*VLOOKUP('Données projet'!$B$17,Paramètres!$A$1:$I$89,3,0)*0.475*44/12</f>
        <v>1.7509049124102306E-5</v>
      </c>
      <c r="GO64" s="21">
        <f t="shared" si="27"/>
        <v>133.9172942002609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21</v>
      </c>
      <c r="GU64" s="12">
        <f>IF('Données projet'!$A$270&gt;35,GU63+GT64-HC63,IF(A64&lt;'Données projet'!$A$270,$GR$205^A64,IF(A64='Données projet'!$A$270,'Données projet'!$B$270,GU63+GT64-HC63)))</f>
        <v>644.99999999999989</v>
      </c>
      <c r="GV64" s="17">
        <f>GU64*VLOOKUP('Données projet'!$B$18,Paramètres!$A$1:$I$89,3,0)*VLOOKUP('Données projet'!$B$18,Paramètres!$A$1:$I$89,5,0)</f>
        <v>310.24499999999995</v>
      </c>
      <c r="GW64" s="13">
        <f t="shared" si="51"/>
        <v>73.319993570281667</v>
      </c>
      <c r="GX64" s="20">
        <f t="shared" si="28"/>
        <v>668.04236380157374</v>
      </c>
      <c r="GY64" s="59">
        <f t="shared" si="29"/>
        <v>961.37569713490711</v>
      </c>
      <c r="GZ64" s="59">
        <f ca="1">AVERAGE(OFFSET($GY$3,0,0,'Données projet'!$E$18+1,1))-AVERAGE(OFFSET($H$3,0,0,'Données projet'!$E$18+1,1))</f>
        <v>458.80976193248841</v>
      </c>
      <c r="HA64" s="59">
        <f t="shared" si="52"/>
        <v>396.07405370178759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110.3728194982552</v>
      </c>
      <c r="HH64" s="21">
        <f>EXP(-LN(2)/25)*HH63+(1-EXP(-LN(2)/25))/(LN(2)/25)*Calculateur!HC64*Calculateur!HE64*VLOOKUP('Données projet'!$B$18,Paramètres!$A$1:$I$89,3,0)*0.475*44/12</f>
        <v>19.378183395591744</v>
      </c>
      <c r="HI64" s="21">
        <f>EXP(-LN(2)/2)*HI63+(1-EXP(-LN(2)/2))/(LN(2)/2)*HC64*HF64*VLOOKUP('Données projet'!$B$18,Paramètres!$A$1:$I$89,3,0)*0.475*44/12</f>
        <v>8.0795725549995987E-6</v>
      </c>
      <c r="HJ64" s="22">
        <f t="shared" si="30"/>
        <v>129.75101097341948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702.06203699024263</v>
      </c>
      <c r="S65" s="59">
        <f ca="1">AVERAGE(OFFSET($R$3,0,0,'Données projet'!$E$9+1,1))-AVERAGE(OFFSET($H$3,0,0,'Données projet'!$E$9+1,1))</f>
        <v>364.3481978218424</v>
      </c>
      <c r="T65" s="59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41.249403100170419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41.249403100170419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636.99999999999977</v>
      </c>
      <c r="AJ65" s="13">
        <f>AI65*VLOOKUP('Données projet'!$B$10,Paramètres!$A$1:$I$89,3,0)*VLOOKUP('Données projet'!$B$10,Paramètres!$A$1:$I$89,5,0)</f>
        <v>356.08299999999991</v>
      </c>
      <c r="AK65" s="13">
        <f t="shared" si="35"/>
        <v>82.813805255716545</v>
      </c>
      <c r="AL65" s="20">
        <f t="shared" si="4"/>
        <v>764.41193582037283</v>
      </c>
      <c r="AM65" s="59">
        <f t="shared" si="5"/>
        <v>1057.7452691537062</v>
      </c>
      <c r="AN65" s="59">
        <f ca="1">AVERAGE(OFFSET($AM$3,0,0,'Données projet'!$E$10+1,1))-AVERAGE(OFFSET($H$3,0,0,'Données projet'!$E$10+1,1))</f>
        <v>443.34220761968419</v>
      </c>
      <c r="AO65" s="59">
        <f t="shared" si="36"/>
        <v>546.58234447298014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93.935325126726653</v>
      </c>
      <c r="AV65" s="21">
        <f>EXP(-LN(2)/25)*AV64+(1-EXP(-LN(2)/25))/(LN(2)/25)*Calculateur!AQ65*Calculateur!AS65*VLOOKUP('Données projet'!$B$10,Paramètres!$A$1:$I$89,3,0)*0.475*44/12</f>
        <v>9.0336832981949158</v>
      </c>
      <c r="AW65" s="21">
        <f>EXP(-LN(2)/2)*AW64+(1-EXP(-LN(2)/2))/(LN(2)/2)*AQ65*AT65*VLOOKUP('Données projet'!$B$10,Paramètres!$A$1:$I$89,3,0)*0.475*44/12</f>
        <v>9.2190503551395863E-5</v>
      </c>
      <c r="AX65" s="21">
        <f t="shared" si="6"/>
        <v>102.96910061542512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10.4</v>
      </c>
      <c r="BD65" s="12">
        <f>IF('Données projet'!$A$88&gt;35,BD64+BC65-BL64,IF(A65&lt;'Données projet'!$A$88,$BA$205^A65,IF(A65='Données projet'!$A$88,'Données projet'!$B$88,BD64+BC65-BL64)))</f>
        <v>262.8</v>
      </c>
      <c r="BE65" s="13">
        <f>BD65*VLOOKUP('Données projet'!$B$11,Paramètres!$A$1:$I$89,3,0)*VLOOKUP('Données projet'!$B$11,Paramètres!$A$1:$I$89,5,0)</f>
        <v>225.48240000000004</v>
      </c>
      <c r="BF65" s="13">
        <f t="shared" si="37"/>
        <v>55.304745901414371</v>
      </c>
      <c r="BG65" s="20">
        <f t="shared" si="7"/>
        <v>489.03761244496349</v>
      </c>
      <c r="BH65" s="59">
        <f t="shared" si="8"/>
        <v>782.3709457782968</v>
      </c>
      <c r="BI65" s="59">
        <f ca="1">AVERAGE(OFFSET($BH$3,0,0,'Données projet'!$E$11+1,1))-AVERAGE(OFFSET($H$3,0,0,'Données projet'!$E$11+1,1))</f>
        <v>447.15627913956871</v>
      </c>
      <c r="BJ65" s="59">
        <f t="shared" si="38"/>
        <v>256.77417912163997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64.283352064686895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64.283352064686895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6.6</v>
      </c>
      <c r="BY65" s="12">
        <f>IF('Données projet'!$A$114&gt;35,BY64+BX65-CG64,IF(A65&lt;'Données projet'!$A$114,$BV$205^A65,IF(A65='Données projet'!$A$114,'Données projet'!$B$114,BY64+BX65-CG64)))</f>
        <v>241.19999999999996</v>
      </c>
      <c r="BZ65" s="13">
        <f>BY65*VLOOKUP('Données projet'!$B$12,Paramètres!$A$1:$I$89,3,0)*VLOOKUP('Données projet'!$B$12,Paramètres!$A$1:$I$89,5,0)</f>
        <v>229.52591999999999</v>
      </c>
      <c r="CA65" s="13">
        <f t="shared" si="39"/>
        <v>56.180162044652285</v>
      </c>
      <c r="CB65" s="20">
        <f t="shared" si="10"/>
        <v>497.60475956110264</v>
      </c>
      <c r="CC65" s="59">
        <f t="shared" si="11"/>
        <v>790.93809289443595</v>
      </c>
      <c r="CD65" s="59">
        <f ca="1">AVERAGE(OFFSET($CC$3,0,0,'Données projet'!$E$12+1,1))-AVERAGE(OFFSET($H$3,0,0,'Données projet'!$E$12+1,1))</f>
        <v>448.94764480536713</v>
      </c>
      <c r="CE65" s="59">
        <f t="shared" si="40"/>
        <v>469.26760321719695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61.275924838038726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61.275924838038726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187.80389738728508</v>
      </c>
      <c r="CZ65" s="59">
        <f t="shared" si="42"/>
        <v>439.28159165815265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65.535137419301492</v>
      </c>
      <c r="DG65" s="21">
        <f>EXP(-LN(2)/25)*DG64+(1-EXP(-LN(2)/25))/(LN(2)/25)*Calculateur!DB65*Calculateur!DD65*VLOOKUP('Données projet'!$B$13,Paramètres!$A$1:$I$89,3,0)*0.475*44/12</f>
        <v>5.9205115186895085</v>
      </c>
      <c r="DH65" s="21">
        <f>EXP(-LN(2)/2)*DH64+(1-EXP(-LN(2)/2))/(LN(2)/2)*DB65*DE65*VLOOKUP('Données projet'!$B$13,Paramètres!$A$1:$I$89,3,0)*0.475*44/12</f>
        <v>6.8606576541984394E-7</v>
      </c>
      <c r="DI65" s="22">
        <f t="shared" si="15"/>
        <v>71.455649624056761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255.00000000000006</v>
      </c>
      <c r="DP65" s="17">
        <f>DO65*VLOOKUP('Données projet'!$B$14,Paramètres!$A$1:$I$89,3,0)*VLOOKUP('Données projet'!$B$14,Paramètres!$A$1:$I$89,5,0)</f>
        <v>186.96600000000004</v>
      </c>
      <c r="DQ65" s="13">
        <f t="shared" si="43"/>
        <v>46.868551400324648</v>
      </c>
      <c r="DR65" s="20">
        <f t="shared" si="16"/>
        <v>407.26184368889881</v>
      </c>
      <c r="DS65" s="59">
        <f t="shared" si="17"/>
        <v>700.59517702223206</v>
      </c>
      <c r="DT65" s="59">
        <f ca="1">AVERAGE(OFFSET($DS$3,0,0,'Données projet'!$E$14+1,1))-AVERAGE(OFFSET($H$3,0,0,'Données projet'!$E$14+1,1))</f>
        <v>239.25212250019609</v>
      </c>
      <c r="DU65" s="59">
        <f t="shared" si="44"/>
        <v>213.58492101729695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15.6</v>
      </c>
      <c r="EJ65" s="12">
        <f>IF('Données projet'!$A$192&gt;35,EJ64+EI65-ER64,IF(A65&lt;'Données projet'!$A$192,$EG$205^A65,IF(A65='Données projet'!$A$192,'Données projet'!$B$192,EJ64+EI65-ER64)))</f>
        <v>580.20000000000027</v>
      </c>
      <c r="EK65" s="17">
        <f>EJ65*VLOOKUP('Données projet'!$B$15,Paramètres!$A$1:$I$89,3,0)*VLOOKUP('Données projet'!$B$15,Paramètres!$A$1:$I$89,5,0)</f>
        <v>346.95960000000014</v>
      </c>
      <c r="EL65" s="13">
        <f t="shared" si="45"/>
        <v>80.936143758770243</v>
      </c>
      <c r="EM65" s="20">
        <f t="shared" si="19"/>
        <v>745.25175371319165</v>
      </c>
      <c r="EN65" s="59">
        <f t="shared" si="20"/>
        <v>1038.5850870465249</v>
      </c>
      <c r="EO65" s="59">
        <f ca="1">AVERAGE(OFFSET($EN$3,0,0,'Données projet'!$E$15+1,1))-AVERAGE(OFFSET($H$3,0,0,'Données projet'!$E$15+1,1))</f>
        <v>504.81063008331739</v>
      </c>
      <c r="EP65" s="59">
        <f t="shared" si="46"/>
        <v>441.82647565372287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85.301929071726462</v>
      </c>
      <c r="EW65" s="21">
        <f>EXP(-LN(2)/25)*EW64+(1-EXP(-LN(2)/25))/(LN(2)/25)*Calculateur!ER65*Calculateur!ET65*VLOOKUP('Données projet'!$B$15,Paramètres!$A$1:$I$89,3,0)*0.475*44/12</f>
        <v>24.246204918170413</v>
      </c>
      <c r="EX65" s="21">
        <f>EXP(-LN(2)/2)*EX64+(1-EXP(-LN(2)/2))/(LN(2)/2)*ER65*EU65*VLOOKUP('Données projet'!$B$15,Paramètres!$A$1:$I$89,3,0)*0.475*44/12</f>
        <v>7.9902406717133618E-7</v>
      </c>
      <c r="EY65" s="22">
        <f t="shared" si="21"/>
        <v>109.54813478892095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13.4</v>
      </c>
      <c r="FE65" s="12">
        <f>IF('Données projet'!$A$218&gt;35,FE64+FD65-FM64,IF(A65&lt;'Données projet'!$A$218,$FB$205^A65,IF(A65='Données projet'!$A$218,'Données projet'!$B$218,FE64+FD65-FM64)))</f>
        <v>386.79999999999984</v>
      </c>
      <c r="FF65" s="17">
        <f>FE65*VLOOKUP('Données projet'!$B$16,Paramètres!$A$1:$I$89,3,0)*VLOOKUP('Données projet'!$B$16,Paramètres!$A$1:$I$89,5,0)</f>
        <v>221.2495999999999</v>
      </c>
      <c r="FG65" s="13">
        <f t="shared" si="47"/>
        <v>54.386390513185972</v>
      </c>
      <c r="FH65" s="20">
        <f t="shared" si="22"/>
        <v>480.06601681046544</v>
      </c>
      <c r="FI65" s="59">
        <f t="shared" si="23"/>
        <v>773.39935014379876</v>
      </c>
      <c r="FJ65" s="59">
        <f ca="1">AVERAGE(OFFSET($FI$3,0,0,'Données projet'!$E$16+1,1))-AVERAGE(OFFSET($H$3,0,0,'Données projet'!$E$16+1,1))</f>
        <v>393.41577134252316</v>
      </c>
      <c r="FK65" s="59">
        <f t="shared" si="48"/>
        <v>255.54039659391475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64.839850626195769</v>
      </c>
      <c r="FR65" s="21">
        <f>EXP(-LN(2)/25)*FR64+(1-EXP(-LN(2)/25))/(LN(2)/25)*Calculateur!FM65*Calculateur!FO65*VLOOKUP('Données projet'!$B$16,Paramètres!$A$1:$I$89,3,0)*0.475*44/12</f>
        <v>11.003323690654973</v>
      </c>
      <c r="FS65" s="21">
        <f>EXP(-LN(2)/2)*FS64+(1-EXP(-LN(2)/2))/(LN(2)/2)*FM65*FP65*VLOOKUP('Données projet'!$B$16,Paramètres!$A$1:$I$89,3,0)*0.475*44/12</f>
        <v>5.5587118794119335E-6</v>
      </c>
      <c r="FT65" s="22">
        <f t="shared" si="24"/>
        <v>75.843179875562612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21.2</v>
      </c>
      <c r="FZ65" s="12">
        <f>IF('Données projet'!$A$244&gt;35,FZ64+FY65-GH64,IF(A65&lt;'Données projet'!$A$244,$FW$205^A65,IF(A65='Données projet'!$A$244,'Données projet'!$B$244,FZ64+FY65-GH64)))</f>
        <v>726.4</v>
      </c>
      <c r="GA65" s="17">
        <f>FZ65*VLOOKUP('Données projet'!$B$17,Paramètres!$A$1:$I$89,3,0)*VLOOKUP('Données projet'!$B$17,Paramètres!$A$1:$I$89,5,0)</f>
        <v>339.95519999999999</v>
      </c>
      <c r="GB65" s="13">
        <f t="shared" si="49"/>
        <v>79.49069038716631</v>
      </c>
      <c r="GC65" s="20">
        <f t="shared" si="25"/>
        <v>730.53492575764778</v>
      </c>
      <c r="GD65" s="59">
        <f t="shared" si="26"/>
        <v>1023.8682590909812</v>
      </c>
      <c r="GE65" s="59">
        <f ca="1">AVERAGE(OFFSET($GD$3,0,0,'Données projet'!$E$17+1,1))-AVERAGE(OFFSET($H$3,0,0,'Données projet'!$E$17+1,1))</f>
        <v>488.67934252295686</v>
      </c>
      <c r="GF65" s="59">
        <f t="shared" si="50"/>
        <v>424.50324471331095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110.95804365964439</v>
      </c>
      <c r="GM65" s="21">
        <f>EXP(-LN(2)/25)*GM64+(1-EXP(-LN(2)/25))/(LN(2)/25)*Calculateur!GH65*Calculateur!GJ65*VLOOKUP('Données projet'!$B$17,Paramètres!$A$1:$I$89,3,0)*0.475*44/12</f>
        <v>20.172760099534116</v>
      </c>
      <c r="GN65" s="21">
        <f>EXP(-LN(2)/2)*GN64+(1-EXP(-LN(2)/2))/(LN(2)/2)*GH65*GK65*VLOOKUP('Données projet'!$B$17,Paramètres!$A$1:$I$89,3,0)*0.475*44/12</f>
        <v>1.2380767367781121E-5</v>
      </c>
      <c r="GO65" s="21">
        <f t="shared" si="27"/>
        <v>131.13081613994586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21</v>
      </c>
      <c r="GU65" s="12">
        <f>IF('Données projet'!$A$270&gt;35,GU64+GT65-HC64,IF(A65&lt;'Données projet'!$A$270,$GR$205^A65,IF(A65='Données projet'!$A$270,'Données projet'!$B$270,GU64+GT65-HC64)))</f>
        <v>665.99999999999989</v>
      </c>
      <c r="GV65" s="17">
        <f>GU65*VLOOKUP('Données projet'!$B$18,Paramètres!$A$1:$I$89,3,0)*VLOOKUP('Données projet'!$B$18,Paramètres!$A$1:$I$89,5,0)</f>
        <v>320.34599999999995</v>
      </c>
      <c r="GW65" s="13">
        <f t="shared" si="51"/>
        <v>75.425341163221859</v>
      </c>
      <c r="GX65" s="20">
        <f t="shared" si="28"/>
        <v>689.30175252594461</v>
      </c>
      <c r="GY65" s="59">
        <f t="shared" si="29"/>
        <v>982.63508585927798</v>
      </c>
      <c r="GZ65" s="59">
        <f ca="1">AVERAGE(OFFSET($GY$3,0,0,'Données projet'!$E$18+1,1))-AVERAGE(OFFSET($H$3,0,0,'Données projet'!$E$18+1,1))</f>
        <v>458.80976193248841</v>
      </c>
      <c r="HA65" s="59">
        <f t="shared" si="52"/>
        <v>396.07405370178759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108.20847582866693</v>
      </c>
      <c r="HH65" s="21">
        <f>EXP(-LN(2)/25)*HH64+(1-EXP(-LN(2)/25))/(LN(2)/25)*Calculateur!HC65*Calculateur!HE65*VLOOKUP('Données projet'!$B$18,Paramètres!$A$1:$I$89,3,0)*0.475*44/12</f>
        <v>18.848285951584913</v>
      </c>
      <c r="HI65" s="21">
        <f>EXP(-LN(2)/2)*HI64+(1-EXP(-LN(2)/2))/(LN(2)/2)*HC65*HF65*VLOOKUP('Données projet'!$B$18,Paramètres!$A$1:$I$89,3,0)*0.475*44/12</f>
        <v>5.713120542728936E-6</v>
      </c>
      <c r="HJ65" s="22">
        <f t="shared" si="30"/>
        <v>127.05676749337239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715.91532773426115</v>
      </c>
      <c r="S66" s="59">
        <f ca="1">AVERAGE(OFFSET($R$3,0,0,'Données projet'!$E$9+1,1))-AVERAGE(OFFSET($H$3,0,0,'Données projet'!$E$9+1,1))</f>
        <v>364.3481978218424</v>
      </c>
      <c r="T66" s="59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40.440527465027657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40.440527465027657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636.99999999999977</v>
      </c>
      <c r="AJ66" s="13">
        <f>AI66*VLOOKUP('Données projet'!$B$10,Paramètres!$A$1:$I$89,3,0)*VLOOKUP('Données projet'!$B$10,Paramètres!$A$1:$I$89,5,0)</f>
        <v>356.08299999999991</v>
      </c>
      <c r="AK66" s="13">
        <f t="shared" si="35"/>
        <v>82.813805255716545</v>
      </c>
      <c r="AL66" s="20">
        <f t="shared" si="4"/>
        <v>764.41193582037283</v>
      </c>
      <c r="AM66" s="59">
        <f t="shared" si="5"/>
        <v>1057.7452691537062</v>
      </c>
      <c r="AN66" s="59">
        <f ca="1">AVERAGE(OFFSET($AM$3,0,0,'Données projet'!$E$10+1,1))-AVERAGE(OFFSET($H$3,0,0,'Données projet'!$E$10+1,1))</f>
        <v>443.34220761968419</v>
      </c>
      <c r="AO66" s="59">
        <f t="shared" si="36"/>
        <v>546.58234447298014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92.093310695882465</v>
      </c>
      <c r="AV66" s="21">
        <f>EXP(-LN(2)/25)*AV65+(1-EXP(-LN(2)/25))/(LN(2)/25)*Calculateur!AQ66*Calculateur!AS66*VLOOKUP('Données projet'!$B$10,Paramètres!$A$1:$I$89,3,0)*0.475*44/12</f>
        <v>8.7866567533450173</v>
      </c>
      <c r="AW66" s="21">
        <f>EXP(-LN(2)/2)*AW65+(1-EXP(-LN(2)/2))/(LN(2)/2)*AQ66*AT66*VLOOKUP('Données projet'!$B$10,Paramètres!$A$1:$I$89,3,0)*0.475*44/12</f>
        <v>6.5188530222194506E-5</v>
      </c>
      <c r="AX66" s="21">
        <f t="shared" si="6"/>
        <v>100.88003263775771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10.4</v>
      </c>
      <c r="BD66" s="12">
        <f>IF('Données projet'!$A$88&gt;35,BD65+BC66-BL65,IF(A66&lt;'Données projet'!$A$88,$BA$205^A66,IF(A66='Données projet'!$A$88,'Données projet'!$B$88,BD65+BC66-BL65)))</f>
        <v>273.2</v>
      </c>
      <c r="BE66" s="13">
        <f>BD66*VLOOKUP('Données projet'!$B$11,Paramètres!$A$1:$I$89,3,0)*VLOOKUP('Données projet'!$B$11,Paramètres!$A$1:$I$89,5,0)</f>
        <v>234.40560000000005</v>
      </c>
      <c r="BF66" s="13">
        <f t="shared" si="37"/>
        <v>57.234220788626125</v>
      </c>
      <c r="BG66" s="20">
        <f t="shared" si="7"/>
        <v>507.93935454019061</v>
      </c>
      <c r="BH66" s="59">
        <f t="shared" si="8"/>
        <v>801.27268787352386</v>
      </c>
      <c r="BI66" s="59">
        <f ca="1">AVERAGE(OFFSET($BH$3,0,0,'Données projet'!$E$11+1,1))-AVERAGE(OFFSET($H$3,0,0,'Données projet'!$E$11+1,1))</f>
        <v>447.15627913956871</v>
      </c>
      <c r="BJ66" s="59">
        <f t="shared" si="38"/>
        <v>256.77417912163997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63.022794739671582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63.022794739671582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6.6</v>
      </c>
      <c r="BY66" s="12">
        <f>IF('Données projet'!$A$114&gt;35,BY65+BX66-CG65,IF(A66&lt;'Données projet'!$A$114,$BV$205^A66,IF(A66='Données projet'!$A$114,'Données projet'!$B$114,BY65+BX66-CG65)))</f>
        <v>247.79999999999995</v>
      </c>
      <c r="BZ66" s="13">
        <f>BY66*VLOOKUP('Données projet'!$B$12,Paramètres!$A$1:$I$89,3,0)*VLOOKUP('Données projet'!$B$12,Paramètres!$A$1:$I$89,5,0)</f>
        <v>235.80647999999994</v>
      </c>
      <c r="CA66" s="13">
        <f t="shared" si="39"/>
        <v>57.5363506739358</v>
      </c>
      <c r="CB66" s="20">
        <f t="shared" si="10"/>
        <v>510.90543009043807</v>
      </c>
      <c r="CC66" s="59">
        <f t="shared" si="11"/>
        <v>804.23876342377139</v>
      </c>
      <c r="CD66" s="59">
        <f ca="1">AVERAGE(OFFSET($CC$3,0,0,'Données projet'!$E$12+1,1))-AVERAGE(OFFSET($H$3,0,0,'Données projet'!$E$12+1,1))</f>
        <v>448.94764480536713</v>
      </c>
      <c r="CE66" s="59">
        <f t="shared" si="40"/>
        <v>469.26760321719695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60.074341326588502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60.074341326588502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187.80389738728508</v>
      </c>
      <c r="CZ66" s="59">
        <f t="shared" si="42"/>
        <v>439.28159165815265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64.250033346995863</v>
      </c>
      <c r="DG66" s="21">
        <f>EXP(-LN(2)/25)*DG65+(1-EXP(-LN(2)/25))/(LN(2)/25)*Calculateur!DB66*Calculateur!DD66*VLOOKUP('Données projet'!$B$13,Paramètres!$A$1:$I$89,3,0)*0.475*44/12</f>
        <v>5.7586148198647749</v>
      </c>
      <c r="DH66" s="21">
        <f>EXP(-LN(2)/2)*DH65+(1-EXP(-LN(2)/2))/(LN(2)/2)*DB66*DE66*VLOOKUP('Données projet'!$B$13,Paramètres!$A$1:$I$89,3,0)*0.475*44/12</f>
        <v>4.8512175506831083E-7</v>
      </c>
      <c r="DI66" s="22">
        <f t="shared" si="15"/>
        <v>70.008648651982398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255.00000000000006</v>
      </c>
      <c r="DP66" s="17">
        <f>DO66*VLOOKUP('Données projet'!$B$14,Paramètres!$A$1:$I$89,3,0)*VLOOKUP('Données projet'!$B$14,Paramètres!$A$1:$I$89,5,0)</f>
        <v>186.96600000000004</v>
      </c>
      <c r="DQ66" s="13">
        <f t="shared" si="43"/>
        <v>46.868551400324648</v>
      </c>
      <c r="DR66" s="20">
        <f t="shared" si="16"/>
        <v>407.26184368889881</v>
      </c>
      <c r="DS66" s="59">
        <f t="shared" si="17"/>
        <v>700.59517702223206</v>
      </c>
      <c r="DT66" s="59">
        <f ca="1">AVERAGE(OFFSET($DS$3,0,0,'Données projet'!$E$14+1,1))-AVERAGE(OFFSET($H$3,0,0,'Données projet'!$E$14+1,1))</f>
        <v>239.25212250019609</v>
      </c>
      <c r="DU66" s="59">
        <f t="shared" si="44"/>
        <v>213.58492101729695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15.6</v>
      </c>
      <c r="EJ66" s="12">
        <f>IF('Données projet'!$A$192&gt;35,EJ65+EI66-ER65,IF(A66&lt;'Données projet'!$A$192,$EG$205^A66,IF(A66='Données projet'!$A$192,'Données projet'!$B$192,EJ65+EI66-ER65)))</f>
        <v>595.8000000000003</v>
      </c>
      <c r="EK66" s="17">
        <f>EJ66*VLOOKUP('Données projet'!$B$15,Paramètres!$A$1:$I$89,3,0)*VLOOKUP('Données projet'!$B$15,Paramètres!$A$1:$I$89,5,0)</f>
        <v>356.28840000000019</v>
      </c>
      <c r="EL66" s="13">
        <f t="shared" si="45"/>
        <v>82.856013090111389</v>
      </c>
      <c r="EM66" s="20">
        <f t="shared" si="19"/>
        <v>764.84318613194444</v>
      </c>
      <c r="EN66" s="59">
        <f t="shared" si="20"/>
        <v>1058.1765194652778</v>
      </c>
      <c r="EO66" s="59">
        <f ca="1">AVERAGE(OFFSET($EN$3,0,0,'Données projet'!$E$15+1,1))-AVERAGE(OFFSET($H$3,0,0,'Données projet'!$E$15+1,1))</f>
        <v>504.81063008331739</v>
      </c>
      <c r="EP66" s="59">
        <f t="shared" si="46"/>
        <v>441.82647565372287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83.629210271669194</v>
      </c>
      <c r="EW66" s="21">
        <f>EXP(-LN(2)/25)*EW65+(1-EXP(-LN(2)/25))/(LN(2)/25)*Calculateur!ER66*Calculateur!ET66*VLOOKUP('Données projet'!$B$15,Paramètres!$A$1:$I$89,3,0)*0.475*44/12</f>
        <v>23.583191169630542</v>
      </c>
      <c r="EX66" s="21">
        <f>EXP(-LN(2)/2)*EX65+(1-EXP(-LN(2)/2))/(LN(2)/2)*ER66*EU66*VLOOKUP('Données projet'!$B$15,Paramètres!$A$1:$I$89,3,0)*0.475*44/12</f>
        <v>5.6499533622810726E-7</v>
      </c>
      <c r="EY66" s="22">
        <f t="shared" si="21"/>
        <v>107.21240200629506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13.4</v>
      </c>
      <c r="FE66" s="12">
        <f>IF('Données projet'!$A$218&gt;35,FE65+FD66-FM65,IF(A66&lt;'Données projet'!$A$218,$FB$205^A66,IF(A66='Données projet'!$A$218,'Données projet'!$B$218,FE65+FD66-FM65)))</f>
        <v>400.19999999999982</v>
      </c>
      <c r="FF66" s="17">
        <f>FE66*VLOOKUP('Données projet'!$B$16,Paramètres!$A$1:$I$89,3,0)*VLOOKUP('Données projet'!$B$16,Paramètres!$A$1:$I$89,5,0)</f>
        <v>228.91439999999989</v>
      </c>
      <c r="FG66" s="13">
        <f t="shared" si="47"/>
        <v>56.047884834417424</v>
      </c>
      <c r="FH66" s="20">
        <f t="shared" si="22"/>
        <v>496.30931275327674</v>
      </c>
      <c r="FI66" s="59">
        <f t="shared" si="23"/>
        <v>789.64264608661006</v>
      </c>
      <c r="FJ66" s="59">
        <f ca="1">AVERAGE(OFFSET($FI$3,0,0,'Données projet'!$E$16+1,1))-AVERAGE(OFFSET($H$3,0,0,'Données projet'!$E$16+1,1))</f>
        <v>393.41577134252316</v>
      </c>
      <c r="FK66" s="59">
        <f t="shared" si="48"/>
        <v>255.54039659391475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63.568380703819869</v>
      </c>
      <c r="FR66" s="21">
        <f>EXP(-LN(2)/25)*FR65+(1-EXP(-LN(2)/25))/(LN(2)/25)*Calculateur!FM66*Calculateur!FO66*VLOOKUP('Données projet'!$B$16,Paramètres!$A$1:$I$89,3,0)*0.475*44/12</f>
        <v>10.702437225694368</v>
      </c>
      <c r="FS66" s="21">
        <f>EXP(-LN(2)/2)*FS65+(1-EXP(-LN(2)/2))/(LN(2)/2)*FM66*FP66*VLOOKUP('Données projet'!$B$16,Paramètres!$A$1:$I$89,3,0)*0.475*44/12</f>
        <v>3.9306028645943964E-6</v>
      </c>
      <c r="FT66" s="22">
        <f t="shared" si="24"/>
        <v>74.270821860117096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21.2</v>
      </c>
      <c r="FZ66" s="12">
        <f>IF('Données projet'!$A$244&gt;35,FZ65+FY66-GH65,IF(A66&lt;'Données projet'!$A$244,$FW$205^A66,IF(A66='Données projet'!$A$244,'Données projet'!$B$244,FZ65+FY66-GH65)))</f>
        <v>747.6</v>
      </c>
      <c r="GA66" s="17">
        <f>FZ66*VLOOKUP('Données projet'!$B$17,Paramètres!$A$1:$I$89,3,0)*VLOOKUP('Données projet'!$B$17,Paramètres!$A$1:$I$89,5,0)</f>
        <v>349.87680000000006</v>
      </c>
      <c r="GB66" s="13">
        <f t="shared" si="49"/>
        <v>81.537142558789228</v>
      </c>
      <c r="GC66" s="20">
        <f t="shared" si="25"/>
        <v>751.3792832898913</v>
      </c>
      <c r="GD66" s="59">
        <f t="shared" si="26"/>
        <v>1044.7126166232247</v>
      </c>
      <c r="GE66" s="59">
        <f ca="1">AVERAGE(OFFSET($GD$3,0,0,'Données projet'!$E$17+1,1))-AVERAGE(OFFSET($H$3,0,0,'Données projet'!$E$17+1,1))</f>
        <v>488.67934252295686</v>
      </c>
      <c r="GF66" s="59">
        <f t="shared" si="50"/>
        <v>424.50324471331095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108.78222410120277</v>
      </c>
      <c r="GM66" s="21">
        <f>EXP(-LN(2)/25)*GM65+(1-EXP(-LN(2)/25))/(LN(2)/25)*Calculateur!GH66*Calculateur!GJ66*VLOOKUP('Données projet'!$B$17,Paramètres!$A$1:$I$89,3,0)*0.475*44/12</f>
        <v>19.621134913773009</v>
      </c>
      <c r="GN66" s="21">
        <f>EXP(-LN(2)/2)*GN65+(1-EXP(-LN(2)/2))/(LN(2)/2)*GH66*GK66*VLOOKUP('Données projet'!$B$17,Paramètres!$A$1:$I$89,3,0)*0.475*44/12</f>
        <v>8.7545245620511529E-6</v>
      </c>
      <c r="GO66" s="21">
        <f t="shared" si="27"/>
        <v>128.40336776950036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21</v>
      </c>
      <c r="GU66" s="12">
        <f>IF('Données projet'!$A$270&gt;35,GU65+GT66-HC65,IF(A66&lt;'Données projet'!$A$270,$GR$205^A66,IF(A66='Données projet'!$A$270,'Données projet'!$B$270,GU65+GT66-HC65)))</f>
        <v>686.99999999999989</v>
      </c>
      <c r="GV66" s="17">
        <f>GU66*VLOOKUP('Données projet'!$B$18,Paramètres!$A$1:$I$89,3,0)*VLOOKUP('Données projet'!$B$18,Paramètres!$A$1:$I$89,5,0)</f>
        <v>330.44699999999995</v>
      </c>
      <c r="GW66" s="13">
        <f t="shared" si="51"/>
        <v>77.522974374032586</v>
      </c>
      <c r="GX66" s="20">
        <f t="shared" si="28"/>
        <v>710.54770536810656</v>
      </c>
      <c r="GY66" s="59">
        <f t="shared" si="29"/>
        <v>1003.8810387014398</v>
      </c>
      <c r="GZ66" s="59">
        <f ca="1">AVERAGE(OFFSET($GY$3,0,0,'Données projet'!$E$18+1,1))-AVERAGE(OFFSET($H$3,0,0,'Données projet'!$E$18+1,1))</f>
        <v>458.80976193248841</v>
      </c>
      <c r="HA66" s="59">
        <f t="shared" si="52"/>
        <v>396.07405370178759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106.08657361832</v>
      </c>
      <c r="HH66" s="21">
        <f>EXP(-LN(2)/25)*HH65+(1-EXP(-LN(2)/25))/(LN(2)/25)*Calculateur!HC66*Calculateur!HE66*VLOOKUP('Données projet'!$B$18,Paramètres!$A$1:$I$89,3,0)*0.475*44/12</f>
        <v>18.332878581050544</v>
      </c>
      <c r="HI66" s="21">
        <f>EXP(-LN(2)/2)*HI65+(1-EXP(-LN(2)/2))/(LN(2)/2)*HC66*HF66*VLOOKUP('Données projet'!$B$18,Paramètres!$A$1:$I$89,3,0)*0.475*44/12</f>
        <v>4.0397862774997993E-6</v>
      </c>
      <c r="HJ66" s="22">
        <f t="shared" si="30"/>
        <v>124.41945623915682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729.75884463141938</v>
      </c>
      <c r="S67" s="59">
        <f ca="1">AVERAGE(OFFSET($R$3,0,0,'Données projet'!$E$9+1,1))-AVERAGE(OFFSET($H$3,0,0,'Données projet'!$E$9+1,1))</f>
        <v>364.3481978218424</v>
      </c>
      <c r="T67" s="59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39.647513387724622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39.647513387724622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636.99999999999977</v>
      </c>
      <c r="AJ67" s="13">
        <f>AI67*VLOOKUP('Données projet'!$B$10,Paramètres!$A$1:$I$89,3,0)*VLOOKUP('Données projet'!$B$10,Paramètres!$A$1:$I$89,5,0)</f>
        <v>356.08299999999991</v>
      </c>
      <c r="AK67" s="13">
        <f t="shared" si="35"/>
        <v>82.813805255716545</v>
      </c>
      <c r="AL67" s="20">
        <f t="shared" si="4"/>
        <v>764.41193582037283</v>
      </c>
      <c r="AM67" s="59">
        <f t="shared" si="5"/>
        <v>1057.7452691537062</v>
      </c>
      <c r="AN67" s="59">
        <f ca="1">AVERAGE(OFFSET($AM$3,0,0,'Données projet'!$E$10+1,1))-AVERAGE(OFFSET($H$3,0,0,'Données projet'!$E$10+1,1))</f>
        <v>443.34220761968419</v>
      </c>
      <c r="AO67" s="59">
        <f t="shared" si="36"/>
        <v>546.58234447298014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90.287417044509269</v>
      </c>
      <c r="AV67" s="21">
        <f>EXP(-LN(2)/25)*AV66+(1-EXP(-LN(2)/25))/(LN(2)/25)*Calculateur!AQ67*Calculateur!AS67*VLOOKUP('Données projet'!$B$10,Paramètres!$A$1:$I$89,3,0)*0.475*44/12</f>
        <v>8.5463851623546017</v>
      </c>
      <c r="AW67" s="21">
        <f>EXP(-LN(2)/2)*AW66+(1-EXP(-LN(2)/2))/(LN(2)/2)*AQ67*AT67*VLOOKUP('Données projet'!$B$10,Paramètres!$A$1:$I$89,3,0)*0.475*44/12</f>
        <v>4.6095251775697931E-5</v>
      </c>
      <c r="AX67" s="21">
        <f t="shared" si="6"/>
        <v>98.833848302115641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10.4</v>
      </c>
      <c r="BD67" s="12">
        <f>IF('Données projet'!$A$88&gt;35,BD66+BC67-BL66,IF(A67&lt;'Données projet'!$A$88,$BA$205^A67,IF(A67='Données projet'!$A$88,'Données projet'!$B$88,BD66+BC67-BL66)))</f>
        <v>283.59999999999997</v>
      </c>
      <c r="BE67" s="13">
        <f>BD67*VLOOKUP('Données projet'!$B$11,Paramètres!$A$1:$I$89,3,0)*VLOOKUP('Données projet'!$B$11,Paramètres!$A$1:$I$89,5,0)</f>
        <v>243.3288</v>
      </c>
      <c r="BF67" s="13">
        <f t="shared" si="37"/>
        <v>59.155162833418565</v>
      </c>
      <c r="BG67" s="20">
        <f t="shared" si="7"/>
        <v>526.82623526820396</v>
      </c>
      <c r="BH67" s="59">
        <f t="shared" si="8"/>
        <v>820.15956860153733</v>
      </c>
      <c r="BI67" s="59">
        <f ca="1">AVERAGE(OFFSET($BH$3,0,0,'Données projet'!$E$11+1,1))-AVERAGE(OFFSET($H$3,0,0,'Données projet'!$E$11+1,1))</f>
        <v>447.15627913956871</v>
      </c>
      <c r="BJ67" s="59">
        <f t="shared" si="38"/>
        <v>256.77417912163997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61.786956174935767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61.786956174935767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6.6</v>
      </c>
      <c r="BY67" s="12">
        <f>IF('Données projet'!$A$114&gt;35,BY66+BX67-CG66,IF(A67&lt;'Données projet'!$A$114,$BV$205^A67,IF(A67='Données projet'!$A$114,'Données projet'!$B$114,BY66+BX67-CG66)))</f>
        <v>254.39999999999995</v>
      </c>
      <c r="BZ67" s="13">
        <f>BY67*VLOOKUP('Données projet'!$B$12,Paramètres!$A$1:$I$89,3,0)*VLOOKUP('Données projet'!$B$12,Paramètres!$A$1:$I$89,5,0)</f>
        <v>242.08703999999997</v>
      </c>
      <c r="CA67" s="13">
        <f t="shared" si="39"/>
        <v>58.888340776302016</v>
      </c>
      <c r="CB67" s="20">
        <f t="shared" si="10"/>
        <v>524.19878818539257</v>
      </c>
      <c r="CC67" s="59">
        <f t="shared" si="11"/>
        <v>817.53212151872594</v>
      </c>
      <c r="CD67" s="59">
        <f ca="1">AVERAGE(OFFSET($CC$3,0,0,'Données projet'!$E$12+1,1))-AVERAGE(OFFSET($H$3,0,0,'Données projet'!$E$12+1,1))</f>
        <v>448.94764480536713</v>
      </c>
      <c r="CE67" s="59">
        <f t="shared" si="40"/>
        <v>469.26760321719695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58.896320134904244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58.896320134904244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187.80389738728508</v>
      </c>
      <c r="CZ67" s="59">
        <f t="shared" si="42"/>
        <v>439.28159165815265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62.990129381712059</v>
      </c>
      <c r="DG67" s="21">
        <f>EXP(-LN(2)/25)*DG66+(1-EXP(-LN(2)/25))/(LN(2)/25)*Calculateur!DB67*Calculateur!DD67*VLOOKUP('Données projet'!$B$13,Paramètres!$A$1:$I$89,3,0)*0.475*44/12</f>
        <v>5.6011451947831805</v>
      </c>
      <c r="DH67" s="21">
        <f>EXP(-LN(2)/2)*DH66+(1-EXP(-LN(2)/2))/(LN(2)/2)*DB67*DE67*VLOOKUP('Données projet'!$B$13,Paramètres!$A$1:$I$89,3,0)*0.475*44/12</f>
        <v>3.4303288270992197E-7</v>
      </c>
      <c r="DI67" s="22">
        <f t="shared" si="15"/>
        <v>68.591274919528118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255.00000000000006</v>
      </c>
      <c r="DP67" s="17">
        <f>DO67*VLOOKUP('Données projet'!$B$14,Paramètres!$A$1:$I$89,3,0)*VLOOKUP('Données projet'!$B$14,Paramètres!$A$1:$I$89,5,0)</f>
        <v>186.96600000000004</v>
      </c>
      <c r="DQ67" s="13">
        <f t="shared" si="43"/>
        <v>46.868551400324648</v>
      </c>
      <c r="DR67" s="20">
        <f t="shared" si="16"/>
        <v>407.26184368889881</v>
      </c>
      <c r="DS67" s="59">
        <f t="shared" si="17"/>
        <v>700.59517702223206</v>
      </c>
      <c r="DT67" s="59">
        <f ca="1">AVERAGE(OFFSET($DS$3,0,0,'Données projet'!$E$14+1,1))-AVERAGE(OFFSET($H$3,0,0,'Données projet'!$E$14+1,1))</f>
        <v>239.25212250019609</v>
      </c>
      <c r="DU67" s="59">
        <f t="shared" si="44"/>
        <v>213.58492101729695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15.6</v>
      </c>
      <c r="EJ67" s="12">
        <f>IF('Données projet'!$A$192&gt;35,EJ66+EI67-ER66,IF(A67&lt;'Données projet'!$A$192,$EG$205^A67,IF(A67='Données projet'!$A$192,'Données projet'!$B$192,EJ66+EI67-ER66)))</f>
        <v>611.40000000000032</v>
      </c>
      <c r="EK67" s="17">
        <f>EJ67*VLOOKUP('Données projet'!$B$15,Paramètres!$A$1:$I$89,3,0)*VLOOKUP('Données projet'!$B$15,Paramètres!$A$1:$I$89,5,0)</f>
        <v>365.6172000000002</v>
      </c>
      <c r="EL67" s="13">
        <f t="shared" si="45"/>
        <v>84.770039372098395</v>
      </c>
      <c r="EM67" s="20">
        <f t="shared" si="19"/>
        <v>784.42444190640492</v>
      </c>
      <c r="EN67" s="59">
        <f t="shared" si="20"/>
        <v>1077.7577752397383</v>
      </c>
      <c r="EO67" s="59">
        <f ca="1">AVERAGE(OFFSET($EN$3,0,0,'Données projet'!$E$15+1,1))-AVERAGE(OFFSET($H$3,0,0,'Données projet'!$E$15+1,1))</f>
        <v>504.81063008331739</v>
      </c>
      <c r="EP67" s="59">
        <f t="shared" si="46"/>
        <v>441.82647565372287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81.989292467023333</v>
      </c>
      <c r="EW67" s="21">
        <f>EXP(-LN(2)/25)*EW66+(1-EXP(-LN(2)/25))/(LN(2)/25)*Calculateur!ER67*Calculateur!ET67*VLOOKUP('Données projet'!$B$15,Paramètres!$A$1:$I$89,3,0)*0.475*44/12</f>
        <v>22.938307566910872</v>
      </c>
      <c r="EX67" s="21">
        <f>EXP(-LN(2)/2)*EX66+(1-EXP(-LN(2)/2))/(LN(2)/2)*ER67*EU67*VLOOKUP('Données projet'!$B$15,Paramètres!$A$1:$I$89,3,0)*0.475*44/12</f>
        <v>3.9951203358566809E-7</v>
      </c>
      <c r="EY67" s="22">
        <f t="shared" si="21"/>
        <v>104.92760043344623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13.4</v>
      </c>
      <c r="FE67" s="12">
        <f>IF('Données projet'!$A$218&gt;35,FE66+FD67-FM66,IF(A67&lt;'Données projet'!$A$218,$FB$205^A67,IF(A67='Données projet'!$A$218,'Données projet'!$B$218,FE66+FD67-FM66)))</f>
        <v>413.5999999999998</v>
      </c>
      <c r="FF67" s="17">
        <f>FE67*VLOOKUP('Données projet'!$B$16,Paramètres!$A$1:$I$89,3,0)*VLOOKUP('Données projet'!$B$16,Paramètres!$A$1:$I$89,5,0)</f>
        <v>236.5791999999999</v>
      </c>
      <c r="FG67" s="13">
        <f t="shared" si="47"/>
        <v>57.70291488923025</v>
      </c>
      <c r="FH67" s="20">
        <f t="shared" si="22"/>
        <v>512.54135009874256</v>
      </c>
      <c r="FI67" s="59">
        <f t="shared" si="23"/>
        <v>805.87468343207593</v>
      </c>
      <c r="FJ67" s="59">
        <f ca="1">AVERAGE(OFFSET($FI$3,0,0,'Données projet'!$E$16+1,1))-AVERAGE(OFFSET($H$3,0,0,'Données projet'!$E$16+1,1))</f>
        <v>393.41577134252316</v>
      </c>
      <c r="FK67" s="59">
        <f t="shared" si="48"/>
        <v>255.54039659391475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62.321843531101685</v>
      </c>
      <c r="FR67" s="21">
        <f>EXP(-LN(2)/25)*FR66+(1-EXP(-LN(2)/25))/(LN(2)/25)*Calculateur!FM67*Calculateur!FO67*VLOOKUP('Données projet'!$B$16,Paramètres!$A$1:$I$89,3,0)*0.475*44/12</f>
        <v>10.409778516941042</v>
      </c>
      <c r="FS67" s="21">
        <f>EXP(-LN(2)/2)*FS66+(1-EXP(-LN(2)/2))/(LN(2)/2)*FM67*FP67*VLOOKUP('Données projet'!$B$16,Paramètres!$A$1:$I$89,3,0)*0.475*44/12</f>
        <v>2.7793559397059668E-6</v>
      </c>
      <c r="FT67" s="22">
        <f t="shared" si="24"/>
        <v>72.731624827398662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21.2</v>
      </c>
      <c r="FZ67" s="12">
        <f>IF('Données projet'!$A$244&gt;35,FZ66+FY67-GH66,IF(A67&lt;'Données projet'!$A$244,$FW$205^A67,IF(A67='Données projet'!$A$244,'Données projet'!$B$244,FZ66+FY67-GH66)))</f>
        <v>768.80000000000007</v>
      </c>
      <c r="GA67" s="17">
        <f>FZ67*VLOOKUP('Données projet'!$B$17,Paramètres!$A$1:$I$89,3,0)*VLOOKUP('Données projet'!$B$17,Paramètres!$A$1:$I$89,5,0)</f>
        <v>359.79840000000007</v>
      </c>
      <c r="GB67" s="13">
        <f t="shared" si="49"/>
        <v>83.576849976748889</v>
      </c>
      <c r="GC67" s="20">
        <f t="shared" si="25"/>
        <v>772.21189370950435</v>
      </c>
      <c r="GD67" s="59">
        <f t="shared" si="26"/>
        <v>1065.5452270428377</v>
      </c>
      <c r="GE67" s="59">
        <f ca="1">AVERAGE(OFFSET($GD$3,0,0,'Données projet'!$E$17+1,1))-AVERAGE(OFFSET($H$3,0,0,'Données projet'!$E$17+1,1))</f>
        <v>488.67934252295686</v>
      </c>
      <c r="GF67" s="59">
        <f t="shared" si="50"/>
        <v>424.50324471331095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106.6490710371833</v>
      </c>
      <c r="GM67" s="21">
        <f>EXP(-LN(2)/25)*GM66+(1-EXP(-LN(2)/25))/(LN(2)/25)*Calculateur!GH67*Calculateur!GJ67*VLOOKUP('Données projet'!$B$17,Paramètres!$A$1:$I$89,3,0)*0.475*44/12</f>
        <v>19.084593947725246</v>
      </c>
      <c r="GN67" s="21">
        <f>EXP(-LN(2)/2)*GN66+(1-EXP(-LN(2)/2))/(LN(2)/2)*GH67*GK67*VLOOKUP('Données projet'!$B$17,Paramètres!$A$1:$I$89,3,0)*0.475*44/12</f>
        <v>6.1903836838905605E-6</v>
      </c>
      <c r="GO67" s="21">
        <f t="shared" si="27"/>
        <v>125.73367117529224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21</v>
      </c>
      <c r="GU67" s="12">
        <f>IF('Données projet'!$A$270&gt;35,GU66+GT67-HC66,IF(A67&lt;'Données projet'!$A$270,$GR$205^A67,IF(A67='Données projet'!$A$270,'Données projet'!$B$270,GU66+GT67-HC66)))</f>
        <v>707.99999999999989</v>
      </c>
      <c r="GV67" s="17">
        <f>GU67*VLOOKUP('Données projet'!$B$18,Paramètres!$A$1:$I$89,3,0)*VLOOKUP('Données projet'!$B$18,Paramètres!$A$1:$I$89,5,0)</f>
        <v>340.548</v>
      </c>
      <c r="GW67" s="13">
        <f t="shared" si="51"/>
        <v>79.613156077144751</v>
      </c>
      <c r="GX67" s="20">
        <f t="shared" si="28"/>
        <v>731.78068016769384</v>
      </c>
      <c r="GY67" s="59">
        <f t="shared" si="29"/>
        <v>1025.1140135010271</v>
      </c>
      <c r="GZ67" s="59">
        <f ca="1">AVERAGE(OFFSET($GY$3,0,0,'Données projet'!$E$18+1,1))-AVERAGE(OFFSET($H$3,0,0,'Données projet'!$E$18+1,1))</f>
        <v>458.80976193248841</v>
      </c>
      <c r="HA67" s="59">
        <f t="shared" si="52"/>
        <v>396.07405370178759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104.00628061608542</v>
      </c>
      <c r="HH67" s="21">
        <f>EXP(-LN(2)/25)*HH66+(1-EXP(-LN(2)/25))/(LN(2)/25)*Calculateur!HC67*Calculateur!HE67*VLOOKUP('Données projet'!$B$18,Paramètres!$A$1:$I$89,3,0)*0.475*44/12</f>
        <v>17.831565052167534</v>
      </c>
      <c r="HI67" s="21">
        <f>EXP(-LN(2)/2)*HI66+(1-EXP(-LN(2)/2))/(LN(2)/2)*HC67*HF67*VLOOKUP('Données projet'!$B$18,Paramètres!$A$1:$I$89,3,0)*0.475*44/12</f>
        <v>2.856560271364468E-6</v>
      </c>
      <c r="HJ67" s="22">
        <f t="shared" si="30"/>
        <v>121.83784852481323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743.59294134580057</v>
      </c>
      <c r="S68" s="59">
        <f ca="1">AVERAGE(OFFSET($R$3,0,0,'Données projet'!$E$9+1,1))-AVERAGE(OFFSET($H$3,0,0,'Données projet'!$E$9+1,1))</f>
        <v>364.3481978218424</v>
      </c>
      <c r="T68" s="59">
        <f t="shared" si="34"/>
        <v>231.36959598460686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47.902123115381436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47.902123115381436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636.99999999999977</v>
      </c>
      <c r="AJ68" s="13">
        <f>AI68*VLOOKUP('Données projet'!$B$10,Paramètres!$A$1:$I$89,3,0)*VLOOKUP('Données projet'!$B$10,Paramètres!$A$1:$I$89,5,0)</f>
        <v>356.08299999999991</v>
      </c>
      <c r="AK68" s="13">
        <f t="shared" si="35"/>
        <v>82.813805255716545</v>
      </c>
      <c r="AL68" s="20">
        <f t="shared" ref="AL68:AL131" si="58">(AJ68+AK68)*0.475*44/12</f>
        <v>764.41193582037283</v>
      </c>
      <c r="AM68" s="59">
        <f t="shared" ref="AM68:AM131" si="59">AL68+(AD68+AE68)*44/12</f>
        <v>1057.7452691537062</v>
      </c>
      <c r="AN68" s="59">
        <f ca="1">AVERAGE(OFFSET($AM$3,0,0,'Données projet'!$E$10+1,1))-AVERAGE(OFFSET($H$3,0,0,'Données projet'!$E$10+1,1))</f>
        <v>443.34220761968419</v>
      </c>
      <c r="AO68" s="59">
        <f t="shared" si="36"/>
        <v>546.58234447298014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88.516935866153133</v>
      </c>
      <c r="AV68" s="21">
        <f>EXP(-LN(2)/25)*AV67+(1-EXP(-LN(2)/25))/(LN(2)/25)*Calculateur!AQ68*Calculateur!AS68*VLOOKUP('Données projet'!$B$10,Paramètres!$A$1:$I$89,3,0)*0.475*44/12</f>
        <v>8.3126838106551517</v>
      </c>
      <c r="AW68" s="21">
        <f>EXP(-LN(2)/2)*AW67+(1-EXP(-LN(2)/2))/(LN(2)/2)*AQ68*AT68*VLOOKUP('Données projet'!$B$10,Paramètres!$A$1:$I$89,3,0)*0.475*44/12</f>
        <v>3.2594265111097253E-5</v>
      </c>
      <c r="AX68" s="21">
        <f t="shared" ref="AX68:AX131" si="60">SUM(AU68:AW68)</f>
        <v>96.829652271073385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294</v>
      </c>
      <c r="BB68" s="12">
        <f>VLOOKUP(A68,'Données projet'!$A$87:$I$107,9,0)</f>
        <v>10.4</v>
      </c>
      <c r="BC68" s="12">
        <f t="array" ref="BC68">INDEX(BB:BB,MIN(IF(ISNUMBER(BB68:BB264),ROW(BB68:BB264),"")))</f>
        <v>10.4</v>
      </c>
      <c r="BD68" s="12">
        <f>IF('Données projet'!$A$88&gt;35,BD67+BC68-BL67,IF(A68&lt;'Données projet'!$A$88,$BA$205^A68,IF(A68='Données projet'!$A$88,'Données projet'!$B$88,BD67+BC68-BL67)))</f>
        <v>293.99999999999994</v>
      </c>
      <c r="BE68" s="13">
        <f>BD68*VLOOKUP('Données projet'!$B$11,Paramètres!$A$1:$I$89,3,0)*VLOOKUP('Données projet'!$B$11,Paramètres!$A$1:$I$89,5,0)</f>
        <v>252.25199999999998</v>
      </c>
      <c r="BF68" s="13">
        <f t="shared" si="37"/>
        <v>61.067920784150822</v>
      </c>
      <c r="BG68" s="20">
        <f t="shared" ref="BG68:BG131" si="61">(BE68+BF68)*0.475*44/12</f>
        <v>545.69886203239594</v>
      </c>
      <c r="BH68" s="59">
        <f t="shared" ref="BH68:BH131" si="62">BG68+(AY68+AZ68)*44/12</f>
        <v>839.03219536572919</v>
      </c>
      <c r="BI68" s="59">
        <f ca="1">AVERAGE(OFFSET($BH$3,0,0,'Données projet'!$E$11+1,1))-AVERAGE(OFFSET($H$3,0,0,'Données projet'!$E$11+1,1))</f>
        <v>447.15627913956871</v>
      </c>
      <c r="BJ68" s="59">
        <f t="shared" si="38"/>
        <v>256.77417912163997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74.650996461554115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74.650996461554115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261</v>
      </c>
      <c r="BW68" s="12">
        <f>VLOOKUP(A68,'Données projet'!$A$113:$I$133,9,0)</f>
        <v>6.6</v>
      </c>
      <c r="BX68" s="12">
        <f t="array" ref="BX68">INDEX(BW:BW,MIN(IF(ISNUMBER(BW68:BW264),ROW(BW68:BW264),"")))</f>
        <v>6.6</v>
      </c>
      <c r="BY68" s="12">
        <f>IF('Données projet'!$A$114&gt;35,BY67+BX68-CG67,IF(A68&lt;'Données projet'!$A$114,$BV$205^A68,IF(A68='Données projet'!$A$114,'Données projet'!$B$114,BY67+BX68-CG67)))</f>
        <v>260.99999999999994</v>
      </c>
      <c r="BZ68" s="13">
        <f>BY68*VLOOKUP('Données projet'!$B$12,Paramètres!$A$1:$I$89,3,0)*VLOOKUP('Données projet'!$B$12,Paramètres!$A$1:$I$89,5,0)</f>
        <v>248.36759999999992</v>
      </c>
      <c r="CA68" s="13">
        <f t="shared" si="39"/>
        <v>60.236253798706286</v>
      </c>
      <c r="CB68" s="20">
        <f t="shared" ref="CB68:CB131" si="64">(BZ68+CA68)*0.475*44/12</f>
        <v>537.48504536607993</v>
      </c>
      <c r="CC68" s="59">
        <f t="shared" ref="CC68:CC131" si="65">CB68+(BT68+BU68)*44/12</f>
        <v>830.81837869941319</v>
      </c>
      <c r="CD68" s="59">
        <f ca="1">AVERAGE(OFFSET($CC$3,0,0,'Données projet'!$E$12+1,1))-AVERAGE(OFFSET($H$3,0,0,'Données projet'!$E$12+1,1))</f>
        <v>448.94764480536713</v>
      </c>
      <c r="CE68" s="59">
        <f t="shared" si="40"/>
        <v>469.26760321719695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29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70.859410416416466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70.859410416416466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187.80389738728508</v>
      </c>
      <c r="CZ68" s="59">
        <f t="shared" si="42"/>
        <v>439.28159165815265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61.754931364721934</v>
      </c>
      <c r="DG68" s="21">
        <f>EXP(-LN(2)/25)*DG67+(1-EXP(-LN(2)/25))/(LN(2)/25)*Calculateur!DB68*Calculateur!DD68*VLOOKUP('Données projet'!$B$13,Paramètres!$A$1:$I$89,3,0)*0.475*44/12</f>
        <v>5.4479815848804103</v>
      </c>
      <c r="DH68" s="21">
        <f>EXP(-LN(2)/2)*DH67+(1-EXP(-LN(2)/2))/(LN(2)/2)*DB68*DE68*VLOOKUP('Données projet'!$B$13,Paramètres!$A$1:$I$89,3,0)*0.475*44/12</f>
        <v>2.4256087753415542E-7</v>
      </c>
      <c r="DI68" s="22">
        <f t="shared" ref="DI68:DI131" si="69">SUM(DF68:DH68)</f>
        <v>67.202913192163223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255.00000000000006</v>
      </c>
      <c r="DP68" s="17">
        <f>DO68*VLOOKUP('Données projet'!$B$14,Paramètres!$A$1:$I$89,3,0)*VLOOKUP('Données projet'!$B$14,Paramètres!$A$1:$I$89,5,0)</f>
        <v>186.96600000000004</v>
      </c>
      <c r="DQ68" s="13">
        <f t="shared" si="43"/>
        <v>46.868551400324648</v>
      </c>
      <c r="DR68" s="20">
        <f t="shared" ref="DR68:DR131" si="70">(DP68+DQ68)*0.475*44/12</f>
        <v>407.26184368889881</v>
      </c>
      <c r="DS68" s="59">
        <f t="shared" ref="DS68:DS131" si="71">DR68+(DJ68+DK68)*44/12</f>
        <v>700.59517702223206</v>
      </c>
      <c r="DT68" s="59">
        <f ca="1">AVERAGE(OFFSET($DS$3,0,0,'Données projet'!$E$14+1,1))-AVERAGE(OFFSET($H$3,0,0,'Données projet'!$E$14+1,1))</f>
        <v>239.25212250019609</v>
      </c>
      <c r="DU68" s="59">
        <f t="shared" si="44"/>
        <v>213.58492101729695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627</v>
      </c>
      <c r="EH68" s="12">
        <f>VLOOKUP(A68,'Données projet'!$A$191:$I$211,9,0)</f>
        <v>15.6</v>
      </c>
      <c r="EI68" s="12">
        <f t="array" ref="EI68">INDEX(EH:EH,MIN(IF(ISNUMBER(EH68:EH264),ROW(EH68:EH264),"")))</f>
        <v>15.6</v>
      </c>
      <c r="EJ68" s="12">
        <f>IF('Données projet'!$A$192&gt;35,EJ67+EI68-ER67,IF(A68&lt;'Données projet'!$A$192,$EG$205^A68,IF(A68='Données projet'!$A$192,'Données projet'!$B$192,EJ67+EI68-ER67)))</f>
        <v>627.00000000000034</v>
      </c>
      <c r="EK68" s="17">
        <f>EJ68*VLOOKUP('Données projet'!$B$15,Paramètres!$A$1:$I$89,3,0)*VLOOKUP('Données projet'!$B$15,Paramètres!$A$1:$I$89,5,0)</f>
        <v>374.94600000000025</v>
      </c>
      <c r="EL68" s="13">
        <f t="shared" si="45"/>
        <v>86.678388834633466</v>
      </c>
      <c r="EM68" s="20">
        <f t="shared" ref="EM68:EM131" si="73">(EK68+EL68)*0.475*44/12</f>
        <v>803.99581055365354</v>
      </c>
      <c r="EN68" s="59">
        <f t="shared" ref="EN68:EN131" si="74">EM68+(EE68+EF68)*44/12</f>
        <v>1097.3291438869869</v>
      </c>
      <c r="EO68" s="59">
        <f ca="1">AVERAGE(OFFSET($EN$3,0,0,'Données projet'!$E$15+1,1))-AVERAGE(OFFSET($H$3,0,0,'Données projet'!$E$15+1,1))</f>
        <v>504.81063008331739</v>
      </c>
      <c r="EP68" s="59">
        <f t="shared" si="46"/>
        <v>441.82647565372287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34</v>
      </c>
      <c r="ES68" s="16">
        <f>IF(ISNA(VLOOKUP(A68,'Données projet'!$A$191:$I$211,5,0)),0%,VLOOKUP(A68,'Données projet'!$A$191:$I$211,5,0)*VLOOKUP('Données projet'!$B$15,Paramètres!$A$1:$I$89,7,0))</f>
        <v>0.45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92.518801278874008</v>
      </c>
      <c r="EW68" s="21">
        <f>EXP(-LN(2)/25)*EW67+(1-EXP(-LN(2)/25))/(LN(2)/25)*Calculateur!ER68*Calculateur!ET68*VLOOKUP('Données projet'!$B$15,Paramètres!$A$1:$I$89,3,0)*0.475*44/12</f>
        <v>22.311058340220526</v>
      </c>
      <c r="EX68" s="21">
        <f>EXP(-LN(2)/2)*EX67+(1-EXP(-LN(2)/2))/(LN(2)/2)*ER68*EU68*VLOOKUP('Données projet'!$B$15,Paramètres!$A$1:$I$89,3,0)*0.475*44/12</f>
        <v>2.8249766811405363E-7</v>
      </c>
      <c r="EY68" s="22">
        <f t="shared" ref="EY68:EY131" si="75">SUM(EV68:EX68)</f>
        <v>114.8298599015922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427</v>
      </c>
      <c r="FC68" s="12">
        <f>VLOOKUP(A68,'Données projet'!$A$217:$I$237,9,0)</f>
        <v>13.4</v>
      </c>
      <c r="FD68" s="12">
        <f t="array" ref="FD68">INDEX(FC:FC,MIN(IF(ISNUMBER(FC68:FC264),ROW(FC68:FC264),"")))</f>
        <v>13.4</v>
      </c>
      <c r="FE68" s="12">
        <f>IF('Données projet'!$A$218&gt;35,FE67+FD68-FM67,IF(A68&lt;'Données projet'!$A$218,$FB$205^A68,IF(A68='Données projet'!$A$218,'Données projet'!$B$218,FE67+FD68-FM67)))</f>
        <v>426.99999999999977</v>
      </c>
      <c r="FF68" s="17">
        <f>FE68*VLOOKUP('Données projet'!$B$16,Paramètres!$A$1:$I$89,3,0)*VLOOKUP('Données projet'!$B$16,Paramètres!$A$1:$I$89,5,0)</f>
        <v>244.24399999999989</v>
      </c>
      <c r="FG68" s="13">
        <f t="shared" si="47"/>
        <v>59.351714130365565</v>
      </c>
      <c r="FH68" s="20">
        <f t="shared" ref="FH68:FH131" si="76">(FF68+FG68)*0.475*44/12</f>
        <v>528.7625354437198</v>
      </c>
      <c r="FI68" s="59">
        <f t="shared" ref="FI68:FI131" si="77">FH68+(EZ68+FA68)*44/12</f>
        <v>822.09586877705306</v>
      </c>
      <c r="FJ68" s="59">
        <f ca="1">AVERAGE(OFFSET($FI$3,0,0,'Données projet'!$E$16+1,1))-AVERAGE(OFFSET($H$3,0,0,'Données projet'!$E$16+1,1))</f>
        <v>393.41577134252316</v>
      </c>
      <c r="FK68" s="59">
        <f t="shared" si="48"/>
        <v>255.54039659391475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37</v>
      </c>
      <c r="FN68" s="16">
        <f>IF(ISNA(VLOOKUP(A68,'Données projet'!$A$217:$I$237,5,0)),0%,VLOOKUP(A68,'Données projet'!$A$217:$I$237,5,0)*VLOOKUP('Données projet'!$B$16,Paramètres!$A$1:$I$89,7,0))</f>
        <v>0.45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73.733684752743002</v>
      </c>
      <c r="FR68" s="21">
        <f>EXP(-LN(2)/25)*FR67+(1-EXP(-LN(2)/25))/(LN(2)/25)*Calculateur!FM68*Calculateur!FO68*VLOOKUP('Données projet'!$B$16,Paramètres!$A$1:$I$89,3,0)*0.475*44/12</f>
        <v>10.125122575968829</v>
      </c>
      <c r="FS68" s="21">
        <f>EXP(-LN(2)/2)*FS67+(1-EXP(-LN(2)/2))/(LN(2)/2)*FM68*FP68*VLOOKUP('Données projet'!$B$16,Paramètres!$A$1:$I$89,3,0)*0.475*44/12</f>
        <v>1.9653014322971982E-6</v>
      </c>
      <c r="FT68" s="22">
        <f t="shared" ref="FT68:FT131" si="78">SUM(FQ68:FS68)</f>
        <v>83.85880929401327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790</v>
      </c>
      <c r="FX68" s="12">
        <f>VLOOKUP(A68,'Données projet'!$A$243:$I$263,9,0)</f>
        <v>21.2</v>
      </c>
      <c r="FY68" s="12">
        <f t="array" ref="FY68">INDEX(FX:FX,MIN(IF(ISNUMBER(FX68:FX264),ROW(FX68:FX264),"")))</f>
        <v>21.2</v>
      </c>
      <c r="FZ68" s="12">
        <f>IF('Données projet'!$A$244&gt;35,FZ67+FY68-GH67,IF(A68&lt;'Données projet'!$A$244,$FW$205^A68,IF(A68='Données projet'!$A$244,'Données projet'!$B$244,FZ67+FY68-GH67)))</f>
        <v>790.00000000000011</v>
      </c>
      <c r="GA68" s="17">
        <f>FZ68*VLOOKUP('Données projet'!$B$17,Paramètres!$A$1:$I$89,3,0)*VLOOKUP('Données projet'!$B$17,Paramètres!$A$1:$I$89,5,0)</f>
        <v>369.72000000000008</v>
      </c>
      <c r="GB68" s="13">
        <f t="shared" si="49"/>
        <v>85.610020000143891</v>
      </c>
      <c r="GC68" s="20">
        <f t="shared" ref="GC68:GC131" si="79">(GA68+GB68)*0.475*44/12</f>
        <v>793.03311816691746</v>
      </c>
      <c r="GD68" s="59">
        <f t="shared" ref="GD68:GD131" si="80">GC68+(FU68+FV68)*44/12</f>
        <v>1086.3664515002508</v>
      </c>
      <c r="GE68" s="59">
        <f ca="1">AVERAGE(OFFSET($GD$3,0,0,'Données projet'!$E$17+1,1))-AVERAGE(OFFSET($H$3,0,0,'Données projet'!$E$17+1,1))</f>
        <v>488.67934252295686</v>
      </c>
      <c r="GF68" s="59">
        <f t="shared" si="50"/>
        <v>424.50324471331095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56</v>
      </c>
      <c r="GI68" s="16">
        <f>IF(ISNA(VLOOKUP(A68,'Données projet'!$A$243:$I$263,5,0)),0%,VLOOKUP(A68,'Données projet'!$A$243:$I$263,5,0)*VLOOKUP('Données projet'!$B$17,Paramètres!$A$1:$I$89,7,0))</f>
        <v>0.55000000000000004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123.67937849014207</v>
      </c>
      <c r="GM68" s="21">
        <f>EXP(-LN(2)/25)*GM67+(1-EXP(-LN(2)/25))/(LN(2)/25)*Calculateur!GH68*Calculateur!GJ68*VLOOKUP('Données projet'!$B$17,Paramètres!$A$1:$I$89,3,0)*0.475*44/12</f>
        <v>18.56272472260952</v>
      </c>
      <c r="GN68" s="21">
        <f>EXP(-LN(2)/2)*GN67+(1-EXP(-LN(2)/2))/(LN(2)/2)*GH68*GK68*VLOOKUP('Données projet'!$B$17,Paramètres!$A$1:$I$89,3,0)*0.475*44/12</f>
        <v>4.3772622810255764E-6</v>
      </c>
      <c r="GO68" s="21">
        <f t="shared" ref="GO68:GO131" si="81">SUM(GL68:GN68)</f>
        <v>142.24210759001389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729</v>
      </c>
      <c r="GS68" s="12">
        <f>VLOOKUP(A68,'Données projet'!$A$269:$I$289,9,0)</f>
        <v>21</v>
      </c>
      <c r="GT68" s="12">
        <f t="array" ref="GT68">INDEX(GS:GS,MIN(IF(ISNUMBER(GS68:GS264),ROW(GS68:GS264),"")))</f>
        <v>21</v>
      </c>
      <c r="GU68" s="12">
        <f>IF('Données projet'!$A$270&gt;35,GU67+GT68-HC67,IF(A68&lt;'Données projet'!$A$270,$GR$205^A68,IF(A68='Données projet'!$A$270,'Données projet'!$B$270,GU67+GT68-HC67)))</f>
        <v>728.99999999999989</v>
      </c>
      <c r="GV68" s="17">
        <f>GU68*VLOOKUP('Données projet'!$B$18,Paramètres!$A$1:$I$89,3,0)*VLOOKUP('Données projet'!$B$18,Paramètres!$A$1:$I$89,5,0)</f>
        <v>350.64899999999994</v>
      </c>
      <c r="GW68" s="13">
        <f t="shared" si="51"/>
        <v>81.696132666292101</v>
      </c>
      <c r="GX68" s="20">
        <f t="shared" ref="GX68:GX131" si="82">(GV68+GW68)*0.475*44/12</f>
        <v>753.00110606045848</v>
      </c>
      <c r="GY68" s="59">
        <f t="shared" ref="GY68:GY131" si="83">GX68+(GP68+GQ68)*44/12</f>
        <v>1046.3344393937919</v>
      </c>
      <c r="GZ68" s="59">
        <f ca="1">AVERAGE(OFFSET($GY$3,0,0,'Données projet'!$E$18+1,1))-AVERAGE(OFFSET($H$3,0,0,'Données projet'!$E$18+1,1))</f>
        <v>458.80976193248841</v>
      </c>
      <c r="HA68" s="59">
        <f t="shared" si="52"/>
        <v>396.07405370178759</v>
      </c>
      <c r="HB68" s="15">
        <f>IF(ISNA(VLOOKUP(A68,'Données projet'!$A$269:$I$289,3,0)),0,VLOOKUP(A68,'Données projet'!$A$269:$I$289,3,0))</f>
        <v>10</v>
      </c>
      <c r="HC68" s="15">
        <f>IF(ISNA(VLOOKUP(A68,'Données projet'!$A$269:$I$289,4,0)),0,VLOOKUP(A68,'Données projet'!$A$269:$I$289,4,0))</f>
        <v>56</v>
      </c>
      <c r="HD68" s="16">
        <f>IF(ISNA(VLOOKUP(A68,'Données projet'!$A$269:$I$289,5,0)),0%,VLOOKUP(A68,'Données projet'!$A$269:$I$289,5,0)*VLOOKUP('Données projet'!$B$18,Paramètres!$A$1:$I$89,7,0))</f>
        <v>0.55000000000000004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121.61956798521692</v>
      </c>
      <c r="HH68" s="21">
        <f>EXP(-LN(2)/25)*HH67+(1-EXP(-LN(2)/25))/(LN(2)/25)*Calculateur!HC68*Calculateur!HE68*VLOOKUP('Données projet'!$B$18,Paramètres!$A$1:$I$89,3,0)*0.475*44/12</f>
        <v>17.343959968094762</v>
      </c>
      <c r="HI68" s="21">
        <f>EXP(-LN(2)/2)*HI67+(1-EXP(-LN(2)/2))/(LN(2)/2)*HC68*HF68*VLOOKUP('Données projet'!$B$18,Paramètres!$A$1:$I$89,3,0)*0.475*44/12</f>
        <v>2.0198931387498997E-6</v>
      </c>
      <c r="HJ68" s="22">
        <f t="shared" ref="HJ68:HJ131" si="84">SUM(HG68:HI68)</f>
        <v>138.96352997320483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716.30000015441919</v>
      </c>
      <c r="S69" s="59">
        <f ca="1">AVERAGE(OFFSET($R$3,0,0,'Données projet'!$E$9+1,1))-AVERAGE(OFFSET($H$3,0,0,'Données projet'!$E$9+1,1))</f>
        <v>364.3481978218424</v>
      </c>
      <c r="T69" s="59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46.962791698498926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46.962791698498926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636.99999999999977</v>
      </c>
      <c r="AJ69" s="13">
        <f>AI69*VLOOKUP('Données projet'!$B$10,Paramètres!$A$1:$I$89,3,0)*VLOOKUP('Données projet'!$B$10,Paramètres!$A$1:$I$89,5,0)</f>
        <v>356.08299999999991</v>
      </c>
      <c r="AK69" s="13">
        <f t="shared" ref="AK69:AK132" si="89">EXP(-1.0587+0.8836*LN(AJ69)+0.284)</f>
        <v>82.813805255716545</v>
      </c>
      <c r="AL69" s="20">
        <f t="shared" si="58"/>
        <v>764.41193582037283</v>
      </c>
      <c r="AM69" s="59">
        <f t="shared" si="59"/>
        <v>1057.7452691537062</v>
      </c>
      <c r="AN69" s="59">
        <f ca="1">AVERAGE(OFFSET($AM$3,0,0,'Données projet'!$E$10+1,1))-AVERAGE(OFFSET($H$3,0,0,'Données projet'!$E$10+1,1))</f>
        <v>443.34220761968419</v>
      </c>
      <c r="AO69" s="59">
        <f t="shared" ref="AO69:AO132" si="90">$AO$3</f>
        <v>546.58234447298014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86.781172743817677</v>
      </c>
      <c r="AV69" s="21">
        <f>EXP(-LN(2)/25)*AV68+(1-EXP(-LN(2)/25))/(LN(2)/25)*Calculateur!AQ69*Calculateur!AS69*VLOOKUP('Données projet'!$B$10,Paramètres!$A$1:$I$89,3,0)*0.475*44/12</f>
        <v>8.085373034707743</v>
      </c>
      <c r="AW69" s="21">
        <f>EXP(-LN(2)/2)*AW68+(1-EXP(-LN(2)/2))/(LN(2)/2)*AQ69*AT69*VLOOKUP('Données projet'!$B$10,Paramètres!$A$1:$I$89,3,0)*0.475*44/12</f>
        <v>2.3047625887848966E-5</v>
      </c>
      <c r="AX69" s="21">
        <f t="shared" si="60"/>
        <v>94.866568826151308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</v>
      </c>
      <c r="BD69" s="12">
        <f>IF('Données projet'!$A$88&gt;35,BD68+BC69-BL68,IF(A69&lt;'Données projet'!$A$88,$BA$205^A69,IF(A69='Données projet'!$A$88,'Données projet'!$B$88,BD68+BC69-BL68)))</f>
        <v>275.99999999999994</v>
      </c>
      <c r="BE69" s="13">
        <f>BD69*VLOOKUP('Données projet'!$B$11,Paramètres!$A$1:$I$89,3,0)*VLOOKUP('Données projet'!$B$11,Paramètres!$A$1:$I$89,5,0)</f>
        <v>236.80799999999999</v>
      </c>
      <c r="BF69" s="13">
        <f t="shared" ref="BF69:BF132" si="91">EXP(-1.0587+0.8836*LN(BE69)+0.284)</f>
        <v>57.752221878398714</v>
      </c>
      <c r="BG69" s="20">
        <f t="shared" si="61"/>
        <v>513.02571977154435</v>
      </c>
      <c r="BH69" s="59">
        <f t="shared" si="62"/>
        <v>806.3590531048776</v>
      </c>
      <c r="BI69" s="59">
        <f ca="1">AVERAGE(OFFSET($BH$3,0,0,'Données projet'!$E$11+1,1))-AVERAGE(OFFSET($H$3,0,0,'Données projet'!$E$11+1,1))</f>
        <v>447.15627913956871</v>
      </c>
      <c r="BJ69" s="59">
        <f t="shared" ref="BJ69:BJ132" si="92">$BJ$3</f>
        <v>256.77417912163997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73.187135953554915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73.187135953554915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6.2</v>
      </c>
      <c r="BY69" s="12">
        <f>IF('Données projet'!$A$114&gt;35,BY68+BX69-CG68,IF(A69&lt;'Données projet'!$A$114,$BV$205^A69,IF(A69='Données projet'!$A$114,'Données projet'!$B$114,BY68+BX69-CG68)))</f>
        <v>238.19999999999993</v>
      </c>
      <c r="BZ69" s="13">
        <f>BY69*VLOOKUP('Données projet'!$B$12,Paramètres!$A$1:$I$89,3,0)*VLOOKUP('Données projet'!$B$12,Paramètres!$A$1:$I$89,5,0)</f>
        <v>226.67111999999995</v>
      </c>
      <c r="CA69" s="13">
        <f t="shared" ref="CA69:CA132" si="93">EXP(-1.0587+0.8836*LN(BZ69)+0.284)</f>
        <v>55.562290245986702</v>
      </c>
      <c r="CB69" s="20">
        <f t="shared" si="64"/>
        <v>491.55652284509341</v>
      </c>
      <c r="CC69" s="59">
        <f t="shared" si="65"/>
        <v>784.88985617842673</v>
      </c>
      <c r="CD69" s="59">
        <f ca="1">AVERAGE(OFFSET($CC$3,0,0,'Données projet'!$E$12+1,1))-AVERAGE(OFFSET($H$3,0,0,'Données projet'!$E$12+1,1))</f>
        <v>448.94764480536713</v>
      </c>
      <c r="CE69" s="59">
        <f t="shared" ref="CE69:CE132" si="94">$CE$3</f>
        <v>469.26760321719695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69.469900598123274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69.469900598123274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187.80389738728508</v>
      </c>
      <c r="CZ69" s="59">
        <f t="shared" ref="CZ69:CZ132" si="96">$CZ$3</f>
        <v>439.28159165815265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60.54395482744858</v>
      </c>
      <c r="DG69" s="21">
        <f>EXP(-LN(2)/25)*DG68+(1-EXP(-LN(2)/25))/(LN(2)/25)*Calculateur!DB69*Calculateur!DD69*VLOOKUP('Données projet'!$B$13,Paramètres!$A$1:$I$89,3,0)*0.475*44/12</f>
        <v>5.2990062419449551</v>
      </c>
      <c r="DH69" s="21">
        <f>EXP(-LN(2)/2)*DH68+(1-EXP(-LN(2)/2))/(LN(2)/2)*DB69*DE69*VLOOKUP('Données projet'!$B$13,Paramètres!$A$1:$I$89,3,0)*0.475*44/12</f>
        <v>1.7151644135496099E-7</v>
      </c>
      <c r="DI69" s="22">
        <f t="shared" si="69"/>
        <v>65.842961240909986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255.00000000000006</v>
      </c>
      <c r="DP69" s="17">
        <f>DO69*VLOOKUP('Données projet'!$B$14,Paramètres!$A$1:$I$89,3,0)*VLOOKUP('Données projet'!$B$14,Paramètres!$A$1:$I$89,5,0)</f>
        <v>186.96600000000004</v>
      </c>
      <c r="DQ69" s="13">
        <f t="shared" ref="DQ69:DQ132" si="97">EXP(-1.0587+0.8836*LN(DP69)+0.284)</f>
        <v>46.868551400324648</v>
      </c>
      <c r="DR69" s="20">
        <f t="shared" si="70"/>
        <v>407.26184368889881</v>
      </c>
      <c r="DS69" s="59">
        <f t="shared" si="71"/>
        <v>700.59517702223206</v>
      </c>
      <c r="DT69" s="59">
        <f ca="1">AVERAGE(OFFSET($DS$3,0,0,'Données projet'!$E$14+1,1))-AVERAGE(OFFSET($H$3,0,0,'Données projet'!$E$14+1,1))</f>
        <v>239.25212250019609</v>
      </c>
      <c r="DU69" s="59">
        <f t="shared" ref="DU69:DU132" si="98">$DU$3</f>
        <v>213.58492101729695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13.8</v>
      </c>
      <c r="EJ69" s="12">
        <f>IF('Données projet'!$A$192&gt;35,EJ68+EI69-ER68,IF(A69&lt;'Données projet'!$A$192,$EG$205^A69,IF(A69='Données projet'!$A$192,'Données projet'!$B$192,EJ68+EI69-ER68)))</f>
        <v>606.8000000000003</v>
      </c>
      <c r="EK69" s="17">
        <f>EJ69*VLOOKUP('Données projet'!$B$15,Paramètres!$A$1:$I$89,3,0)*VLOOKUP('Données projet'!$B$15,Paramètres!$A$1:$I$89,5,0)</f>
        <v>362.86640000000023</v>
      </c>
      <c r="EL69" s="13">
        <f t="shared" ref="EL69:EL132" si="99">EXP(-1.0587+0.8836*LN(EK69)+0.284)</f>
        <v>84.206244461628913</v>
      </c>
      <c r="EM69" s="20">
        <f t="shared" si="73"/>
        <v>778.65152243733735</v>
      </c>
      <c r="EN69" s="59">
        <f t="shared" si="74"/>
        <v>1071.9848557706707</v>
      </c>
      <c r="EO69" s="59">
        <f ca="1">AVERAGE(OFFSET($EN$3,0,0,'Données projet'!$E$15+1,1))-AVERAGE(OFFSET($H$3,0,0,'Données projet'!$E$15+1,1))</f>
        <v>504.81063008331739</v>
      </c>
      <c r="EP69" s="59">
        <f t="shared" ref="EP69:EP132" si="100">$EP$3</f>
        <v>441.82647565372287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90.704564016691975</v>
      </c>
      <c r="EW69" s="21">
        <f>EXP(-LN(2)/25)*EW68+(1-EXP(-LN(2)/25))/(LN(2)/25)*Calculateur!ER69*Calculateur!ET69*VLOOKUP('Données projet'!$B$15,Paramètres!$A$1:$I$89,3,0)*0.475*44/12</f>
        <v>21.70096127661963</v>
      </c>
      <c r="EX69" s="21">
        <f>EXP(-LN(2)/2)*EX68+(1-EXP(-LN(2)/2))/(LN(2)/2)*ER69*EU69*VLOOKUP('Données projet'!$B$15,Paramètres!$A$1:$I$89,3,0)*0.475*44/12</f>
        <v>1.9975601679283405E-7</v>
      </c>
      <c r="EY69" s="22">
        <f t="shared" si="75"/>
        <v>112.40552549306761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12.2</v>
      </c>
      <c r="FE69" s="12">
        <f>IF('Données projet'!$A$218&gt;35,FE68+FD69-FM68,IF(A69&lt;'Données projet'!$A$218,$FB$205^A69,IF(A69='Données projet'!$A$218,'Données projet'!$B$218,FE68+FD69-FM68)))</f>
        <v>402.19999999999976</v>
      </c>
      <c r="FF69" s="17">
        <f>FE69*VLOOKUP('Données projet'!$B$16,Paramètres!$A$1:$I$89,3,0)*VLOOKUP('Données projet'!$B$16,Paramètres!$A$1:$I$89,5,0)</f>
        <v>230.05839999999989</v>
      </c>
      <c r="FG69" s="13">
        <f t="shared" ref="FG69:FG132" si="101">EXP(-1.0587+0.8836*LN(FF69)+0.284)</f>
        <v>56.295308789945764</v>
      </c>
      <c r="FH69" s="20">
        <f t="shared" si="76"/>
        <v>498.73270947582205</v>
      </c>
      <c r="FI69" s="59">
        <f t="shared" si="77"/>
        <v>792.06604280915531</v>
      </c>
      <c r="FJ69" s="59">
        <f ca="1">AVERAGE(OFFSET($FI$3,0,0,'Données projet'!$E$16+1,1))-AVERAGE(OFFSET($H$3,0,0,'Données projet'!$E$16+1,1))</f>
        <v>393.41577134252316</v>
      </c>
      <c r="FK69" s="59">
        <f t="shared" ref="FK69:FK132" si="102">$FK$3</f>
        <v>255.54039659391475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72.287812167848685</v>
      </c>
      <c r="FR69" s="21">
        <f>EXP(-LN(2)/25)*FR68+(1-EXP(-LN(2)/25))/(LN(2)/25)*Calculateur!FM69*Calculateur!FO69*VLOOKUP('Données projet'!$B$16,Paramètres!$A$1:$I$89,3,0)*0.475*44/12</f>
        <v>9.848250566671906</v>
      </c>
      <c r="FS69" s="21">
        <f>EXP(-LN(2)/2)*FS68+(1-EXP(-LN(2)/2))/(LN(2)/2)*FM69*FP69*VLOOKUP('Données projet'!$B$16,Paramètres!$A$1:$I$89,3,0)*0.475*44/12</f>
        <v>1.3896779698529834E-6</v>
      </c>
      <c r="FT69" s="22">
        <f t="shared" si="78"/>
        <v>82.136064124198569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19.399999999999999</v>
      </c>
      <c r="FZ69" s="12">
        <f>IF('Données projet'!$A$244&gt;35,FZ68+FY69-GH68,IF(A69&lt;'Données projet'!$A$244,$FW$205^A69,IF(A69='Données projet'!$A$244,'Données projet'!$B$244,FZ68+FY69-GH68)))</f>
        <v>753.40000000000009</v>
      </c>
      <c r="GA69" s="17">
        <f>FZ69*VLOOKUP('Données projet'!$B$17,Paramètres!$A$1:$I$89,3,0)*VLOOKUP('Données projet'!$B$17,Paramètres!$A$1:$I$89,5,0)</f>
        <v>352.59120000000007</v>
      </c>
      <c r="GB69" s="13">
        <f t="shared" ref="GB69:GB132" si="103">EXP(-1.0587+0.8836*LN(GA69)+0.284)</f>
        <v>82.095836961982101</v>
      </c>
      <c r="GC69" s="20">
        <f t="shared" si="79"/>
        <v>757.07992270878549</v>
      </c>
      <c r="GD69" s="59">
        <f t="shared" si="80"/>
        <v>1050.4132560421187</v>
      </c>
      <c r="GE69" s="59">
        <f ca="1">AVERAGE(OFFSET($GD$3,0,0,'Données projet'!$E$17+1,1))-AVERAGE(OFFSET($H$3,0,0,'Données projet'!$E$17+1,1))</f>
        <v>488.67934252295686</v>
      </c>
      <c r="GF69" s="59">
        <f t="shared" ref="GF69:GF132" si="104">$GF$3</f>
        <v>424.50324471331095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121.25410131492248</v>
      </c>
      <c r="GM69" s="21">
        <f>EXP(-LN(2)/25)*GM68+(1-EXP(-LN(2)/25))/(LN(2)/25)*Calculateur!GH69*Calculateur!GJ69*VLOOKUP('Données projet'!$B$17,Paramètres!$A$1:$I$89,3,0)*0.475*44/12</f>
        <v>18.055126038898496</v>
      </c>
      <c r="GN69" s="21">
        <f>EXP(-LN(2)/2)*GN68+(1-EXP(-LN(2)/2))/(LN(2)/2)*GH69*GK69*VLOOKUP('Données projet'!$B$17,Paramètres!$A$1:$I$89,3,0)*0.475*44/12</f>
        <v>3.0951918419452803E-6</v>
      </c>
      <c r="GO69" s="21">
        <f t="shared" si="81"/>
        <v>139.3092304490128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19.600000000000001</v>
      </c>
      <c r="GU69" s="12">
        <f>IF('Données projet'!$A$270&gt;35,GU68+GT69-HC68,IF(A69&lt;'Données projet'!$A$270,$GR$205^A69,IF(A69='Données projet'!$A$270,'Données projet'!$B$270,GU68+GT69-HC68)))</f>
        <v>692.59999999999991</v>
      </c>
      <c r="GV69" s="17">
        <f>GU69*VLOOKUP('Données projet'!$B$18,Paramètres!$A$1:$I$89,3,0)*VLOOKUP('Données projet'!$B$18,Paramètres!$A$1:$I$89,5,0)</f>
        <v>333.14059999999995</v>
      </c>
      <c r="GW69" s="13">
        <f t="shared" ref="GW69:GW132" si="105">EXP(-1.0587+0.8836*LN(GV69)+0.284)</f>
        <v>78.081074299117361</v>
      </c>
      <c r="GX69" s="20">
        <f t="shared" si="82"/>
        <v>716.21108273762923</v>
      </c>
      <c r="GY69" s="59">
        <f t="shared" si="83"/>
        <v>1009.5444160709626</v>
      </c>
      <c r="GZ69" s="59">
        <f ca="1">AVERAGE(OFFSET($GY$3,0,0,'Données projet'!$E$18+1,1))-AVERAGE(OFFSET($H$3,0,0,'Données projet'!$E$18+1,1))</f>
        <v>458.80976193248841</v>
      </c>
      <c r="HA69" s="59">
        <f t="shared" ref="HA69:HA132" si="106">$HA$3</f>
        <v>396.07405370178759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119.23468243763855</v>
      </c>
      <c r="HH69" s="21">
        <f>EXP(-LN(2)/25)*HH68+(1-EXP(-LN(2)/25))/(LN(2)/25)*Calculateur!HC69*Calculateur!HE69*VLOOKUP('Données projet'!$B$18,Paramètres!$A$1:$I$89,3,0)*0.475*44/12</f>
        <v>16.869688470687997</v>
      </c>
      <c r="HI69" s="21">
        <f>EXP(-LN(2)/2)*HI68+(1-EXP(-LN(2)/2))/(LN(2)/2)*HC69*HF69*VLOOKUP('Données projet'!$B$18,Paramètres!$A$1:$I$89,3,0)*0.475*44/12</f>
        <v>1.428280135682234E-6</v>
      </c>
      <c r="HJ69" s="22">
        <f t="shared" si="84"/>
        <v>136.1043723366067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364.3481978218424</v>
      </c>
      <c r="T70" s="59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46.041879997765889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46.041879997765889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636.99999999999977</v>
      </c>
      <c r="AJ70" s="13">
        <f>AI70*VLOOKUP('Données projet'!$B$10,Paramètres!$A$1:$I$89,3,0)*VLOOKUP('Données projet'!$B$10,Paramètres!$A$1:$I$89,5,0)</f>
        <v>356.08299999999991</v>
      </c>
      <c r="AK70" s="13">
        <f t="shared" si="89"/>
        <v>82.813805255716545</v>
      </c>
      <c r="AL70" s="20">
        <f t="shared" si="58"/>
        <v>764.41193582037283</v>
      </c>
      <c r="AM70" s="59">
        <f t="shared" si="59"/>
        <v>1057.7452691537062</v>
      </c>
      <c r="AN70" s="59">
        <f ca="1">AVERAGE(OFFSET($AM$3,0,0,'Données projet'!$E$10+1,1))-AVERAGE(OFFSET($H$3,0,0,'Données projet'!$E$10+1,1))</f>
        <v>443.34220761968419</v>
      </c>
      <c r="AO70" s="59">
        <f t="shared" si="90"/>
        <v>546.58234447298014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85.079446877600262</v>
      </c>
      <c r="AV70" s="21">
        <f>EXP(-LN(2)/25)*AV69+(1-EXP(-LN(2)/25))/(LN(2)/25)*Calculateur!AQ70*Calculateur!AS70*VLOOKUP('Données projet'!$B$10,Paramètres!$A$1:$I$89,3,0)*0.475*44/12</f>
        <v>7.8642780838823709</v>
      </c>
      <c r="AW70" s="21">
        <f>EXP(-LN(2)/2)*AW69+(1-EXP(-LN(2)/2))/(LN(2)/2)*AQ70*AT70*VLOOKUP('Données projet'!$B$10,Paramètres!$A$1:$I$89,3,0)*0.475*44/12</f>
        <v>1.6297132555548626E-5</v>
      </c>
      <c r="AX70" s="21">
        <f t="shared" si="60"/>
        <v>92.943741258615191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</v>
      </c>
      <c r="BD70" s="12">
        <f>IF('Données projet'!$A$88&gt;35,BD69+BC70-BL69,IF(A70&lt;'Données projet'!$A$88,$BA$205^A70,IF(A70='Données projet'!$A$88,'Données projet'!$B$88,BD69+BC70-BL69)))</f>
        <v>285.99999999999994</v>
      </c>
      <c r="BE70" s="13">
        <f>BD70*VLOOKUP('Données projet'!$B$11,Paramètres!$A$1:$I$89,3,0)*VLOOKUP('Données projet'!$B$11,Paramètres!$A$1:$I$89,5,0)</f>
        <v>245.38799999999998</v>
      </c>
      <c r="BF70" s="13">
        <f t="shared" si="91"/>
        <v>59.597282764919569</v>
      </c>
      <c r="BG70" s="20">
        <f t="shared" si="61"/>
        <v>531.18270081556818</v>
      </c>
      <c r="BH70" s="59">
        <f t="shared" si="62"/>
        <v>824.51603414890155</v>
      </c>
      <c r="BI70" s="59">
        <f ca="1">AVERAGE(OFFSET($BH$3,0,0,'Données projet'!$E$11+1,1))-AVERAGE(OFFSET($H$3,0,0,'Données projet'!$E$11+1,1))</f>
        <v>447.15627913956871</v>
      </c>
      <c r="BJ70" s="59">
        <f t="shared" si="92"/>
        <v>256.77417912163997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71.751980857250828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71.751980857250828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6.2</v>
      </c>
      <c r="BY70" s="12">
        <f>IF('Données projet'!$A$114&gt;35,BY69+BX70-CG69,IF(A70&lt;'Données projet'!$A$114,$BV$205^A70,IF(A70='Données projet'!$A$114,'Données projet'!$B$114,BY69+BX70-CG69)))</f>
        <v>244.39999999999992</v>
      </c>
      <c r="BZ70" s="13">
        <f>BY70*VLOOKUP('Données projet'!$B$12,Paramètres!$A$1:$I$89,3,0)*VLOOKUP('Données projet'!$B$12,Paramètres!$A$1:$I$89,5,0)</f>
        <v>232.57103999999993</v>
      </c>
      <c r="CA70" s="13">
        <f t="shared" si="93"/>
        <v>56.838240313256655</v>
      </c>
      <c r="CB70" s="20">
        <f t="shared" si="64"/>
        <v>504.05449654558856</v>
      </c>
      <c r="CC70" s="59">
        <f t="shared" si="65"/>
        <v>797.38782987892182</v>
      </c>
      <c r="CD70" s="59">
        <f ca="1">AVERAGE(OFFSET($CC$3,0,0,'Données projet'!$E$12+1,1))-AVERAGE(OFFSET($H$3,0,0,'Données projet'!$E$12+1,1))</f>
        <v>448.94764480536713</v>
      </c>
      <c r="CE70" s="59">
        <f t="shared" si="94"/>
        <v>469.26760321719695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68.107638219849505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68.107638219849505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187.80389738728508</v>
      </c>
      <c r="CZ70" s="59">
        <f t="shared" si="96"/>
        <v>439.28159165815265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59.356724801448408</v>
      </c>
      <c r="DG70" s="21">
        <f>EXP(-LN(2)/25)*DG69+(1-EXP(-LN(2)/25))/(LN(2)/25)*Calculateur!DB70*Calculateur!DD70*VLOOKUP('Données projet'!$B$13,Paramètres!$A$1:$I$89,3,0)*0.475*44/12</f>
        <v>5.1541046375963431</v>
      </c>
      <c r="DH70" s="21">
        <f>EXP(-LN(2)/2)*DH69+(1-EXP(-LN(2)/2))/(LN(2)/2)*DB70*DE70*VLOOKUP('Données projet'!$B$13,Paramètres!$A$1:$I$89,3,0)*0.475*44/12</f>
        <v>1.2128043876707771E-7</v>
      </c>
      <c r="DI70" s="22">
        <f t="shared" si="69"/>
        <v>64.510829560325192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255.00000000000006</v>
      </c>
      <c r="DP70" s="17">
        <f>DO70*VLOOKUP('Données projet'!$B$14,Paramètres!$A$1:$I$89,3,0)*VLOOKUP('Données projet'!$B$14,Paramètres!$A$1:$I$89,5,0)</f>
        <v>186.96600000000004</v>
      </c>
      <c r="DQ70" s="13">
        <f t="shared" si="97"/>
        <v>46.868551400324648</v>
      </c>
      <c r="DR70" s="20">
        <f t="shared" si="70"/>
        <v>407.26184368889881</v>
      </c>
      <c r="DS70" s="59">
        <f t="shared" si="71"/>
        <v>700.59517702223206</v>
      </c>
      <c r="DT70" s="59">
        <f ca="1">AVERAGE(OFFSET($DS$3,0,0,'Données projet'!$E$14+1,1))-AVERAGE(OFFSET($H$3,0,0,'Données projet'!$E$14+1,1))</f>
        <v>239.25212250019609</v>
      </c>
      <c r="DU70" s="59">
        <f t="shared" si="98"/>
        <v>213.58492101729695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13.8</v>
      </c>
      <c r="EJ70" s="12">
        <f>IF('Données projet'!$A$192&gt;35,EJ69+EI70-ER69,IF(A70&lt;'Données projet'!$A$192,$EG$205^A70,IF(A70='Données projet'!$A$192,'Données projet'!$B$192,EJ69+EI70-ER69)))</f>
        <v>620.60000000000025</v>
      </c>
      <c r="EK70" s="17">
        <f>EJ70*VLOOKUP('Données projet'!$B$15,Paramètres!$A$1:$I$89,3,0)*VLOOKUP('Données projet'!$B$15,Paramètres!$A$1:$I$89,5,0)</f>
        <v>371.11880000000014</v>
      </c>
      <c r="EL70" s="13">
        <f t="shared" si="99"/>
        <v>85.896152691454745</v>
      </c>
      <c r="EM70" s="20">
        <f t="shared" si="73"/>
        <v>795.96770927095042</v>
      </c>
      <c r="EN70" s="59">
        <f t="shared" si="74"/>
        <v>1089.3010426042838</v>
      </c>
      <c r="EO70" s="59">
        <f ca="1">AVERAGE(OFFSET($EN$3,0,0,'Données projet'!$E$15+1,1))-AVERAGE(OFFSET($H$3,0,0,'Données projet'!$E$15+1,1))</f>
        <v>504.81063008331739</v>
      </c>
      <c r="EP70" s="59">
        <f t="shared" si="100"/>
        <v>441.82647565372287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88.925902840645875</v>
      </c>
      <c r="EW70" s="21">
        <f>EXP(-LN(2)/25)*EW69+(1-EXP(-LN(2)/25))/(LN(2)/25)*Calculateur!ER70*Calculateur!ET70*VLOOKUP('Données projet'!$B$15,Paramètres!$A$1:$I$89,3,0)*0.475*44/12</f>
        <v>21.107547349306511</v>
      </c>
      <c r="EX70" s="21">
        <f>EXP(-LN(2)/2)*EX69+(1-EXP(-LN(2)/2))/(LN(2)/2)*ER70*EU70*VLOOKUP('Données projet'!$B$15,Paramètres!$A$1:$I$89,3,0)*0.475*44/12</f>
        <v>1.4124883405702681E-7</v>
      </c>
      <c r="EY70" s="22">
        <f t="shared" si="75"/>
        <v>110.03345033120122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12.2</v>
      </c>
      <c r="FE70" s="12">
        <f>IF('Données projet'!$A$218&gt;35,FE69+FD70-FM69,IF(A70&lt;'Données projet'!$A$218,$FB$205^A70,IF(A70='Données projet'!$A$218,'Données projet'!$B$218,FE69+FD70-FM69)))</f>
        <v>414.39999999999975</v>
      </c>
      <c r="FF70" s="17">
        <f>FE70*VLOOKUP('Données projet'!$B$16,Paramètres!$A$1:$I$89,3,0)*VLOOKUP('Données projet'!$B$16,Paramètres!$A$1:$I$89,5,0)</f>
        <v>237.03679999999989</v>
      </c>
      <c r="FG70" s="13">
        <f t="shared" si="101"/>
        <v>57.801523322628292</v>
      </c>
      <c r="FH70" s="20">
        <f t="shared" si="76"/>
        <v>513.51007978691075</v>
      </c>
      <c r="FI70" s="59">
        <f t="shared" si="77"/>
        <v>806.84341312024412</v>
      </c>
      <c r="FJ70" s="59">
        <f ca="1">AVERAGE(OFFSET($FI$3,0,0,'Données projet'!$E$16+1,1))-AVERAGE(OFFSET($H$3,0,0,'Données projet'!$E$16+1,1))</f>
        <v>393.41577134252316</v>
      </c>
      <c r="FK70" s="59">
        <f t="shared" si="102"/>
        <v>255.54039659391475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70.870292262448956</v>
      </c>
      <c r="FR70" s="21">
        <f>EXP(-LN(2)/25)*FR69+(1-EXP(-LN(2)/25))/(LN(2)/25)*Calculateur!FM70*Calculateur!FO70*VLOOKUP('Données projet'!$B$16,Paramètres!$A$1:$I$89,3,0)*0.475*44/12</f>
        <v>9.5789496370292735</v>
      </c>
      <c r="FS70" s="21">
        <f>EXP(-LN(2)/2)*FS69+(1-EXP(-LN(2)/2))/(LN(2)/2)*FM70*FP70*VLOOKUP('Données projet'!$B$16,Paramètres!$A$1:$I$89,3,0)*0.475*44/12</f>
        <v>9.826507161485991E-7</v>
      </c>
      <c r="FT70" s="22">
        <f t="shared" si="78"/>
        <v>80.449242882128942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19.399999999999999</v>
      </c>
      <c r="FZ70" s="12">
        <f>IF('Données projet'!$A$244&gt;35,FZ69+FY70-GH69,IF(A70&lt;'Données projet'!$A$244,$FW$205^A70,IF(A70='Données projet'!$A$244,'Données projet'!$B$244,FZ69+FY70-GH69)))</f>
        <v>772.80000000000007</v>
      </c>
      <c r="GA70" s="17">
        <f>FZ70*VLOOKUP('Données projet'!$B$17,Paramètres!$A$1:$I$89,3,0)*VLOOKUP('Données projet'!$B$17,Paramètres!$A$1:$I$89,5,0)</f>
        <v>361.67040000000003</v>
      </c>
      <c r="GB70" s="13">
        <f t="shared" si="103"/>
        <v>83.96096124513258</v>
      </c>
      <c r="GC70" s="20">
        <f t="shared" si="79"/>
        <v>776.14128750193925</v>
      </c>
      <c r="GD70" s="59">
        <f t="shared" si="80"/>
        <v>1069.4746208352726</v>
      </c>
      <c r="GE70" s="59">
        <f ca="1">AVERAGE(OFFSET($GD$3,0,0,'Données projet'!$E$17+1,1))-AVERAGE(OFFSET($H$3,0,0,'Données projet'!$E$17+1,1))</f>
        <v>488.67934252295686</v>
      </c>
      <c r="GF70" s="59">
        <f t="shared" si="104"/>
        <v>424.50324471331095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118.87638234583594</v>
      </c>
      <c r="GM70" s="21">
        <f>EXP(-LN(2)/25)*GM69+(1-EXP(-LN(2)/25))/(LN(2)/25)*Calculateur!GH70*Calculateur!GJ70*VLOOKUP('Données projet'!$B$17,Paramètres!$A$1:$I$89,3,0)*0.475*44/12</f>
        <v>17.561407667887003</v>
      </c>
      <c r="GN70" s="21">
        <f>EXP(-LN(2)/2)*GN69+(1-EXP(-LN(2)/2))/(LN(2)/2)*GH70*GK70*VLOOKUP('Données projet'!$B$17,Paramètres!$A$1:$I$89,3,0)*0.475*44/12</f>
        <v>2.1886311405127882E-6</v>
      </c>
      <c r="GO70" s="21">
        <f t="shared" si="81"/>
        <v>136.43779220235407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19.600000000000001</v>
      </c>
      <c r="GU70" s="12">
        <f>IF('Données projet'!$A$270&gt;35,GU69+GT70-HC69,IF(A70&lt;'Données projet'!$A$270,$GR$205^A70,IF(A70='Données projet'!$A$270,'Données projet'!$B$270,GU69+GT70-HC69)))</f>
        <v>712.19999999999993</v>
      </c>
      <c r="GV70" s="17">
        <f>GU70*VLOOKUP('Données projet'!$B$18,Paramètres!$A$1:$I$89,3,0)*VLOOKUP('Données projet'!$B$18,Paramètres!$A$1:$I$89,5,0)</f>
        <v>342.56819999999993</v>
      </c>
      <c r="GW70" s="13">
        <f t="shared" si="105"/>
        <v>80.030320192295619</v>
      </c>
      <c r="GX70" s="20">
        <f t="shared" si="82"/>
        <v>736.0257560015815</v>
      </c>
      <c r="GY70" s="59">
        <f t="shared" si="83"/>
        <v>1029.3590893349149</v>
      </c>
      <c r="GZ70" s="59">
        <f ca="1">AVERAGE(OFFSET($GY$3,0,0,'Données projet'!$E$18+1,1))-AVERAGE(OFFSET($H$3,0,0,'Données projet'!$E$18+1,1))</f>
        <v>458.80976193248841</v>
      </c>
      <c r="HA70" s="59">
        <f t="shared" si="106"/>
        <v>396.07405370178759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116.89656304101166</v>
      </c>
      <c r="HH70" s="21">
        <f>EXP(-LN(2)/25)*HH69+(1-EXP(-LN(2)/25))/(LN(2)/25)*Calculateur!HC70*Calculateur!HE70*VLOOKUP('Données projet'!$B$18,Paramètres!$A$1:$I$89,3,0)*0.475*44/12</f>
        <v>16.408385952318675</v>
      </c>
      <c r="HI70" s="21">
        <f>EXP(-LN(2)/2)*HI69+(1-EXP(-LN(2)/2))/(LN(2)/2)*HC70*HF70*VLOOKUP('Données projet'!$B$18,Paramètres!$A$1:$I$89,3,0)*0.475*44/12</f>
        <v>1.0099465693749498E-6</v>
      </c>
      <c r="HJ70" s="22">
        <f t="shared" si="84"/>
        <v>133.3049500032769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364.3481978218424</v>
      </c>
      <c r="T71" s="59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45.139026813783552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45.139026813783552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636.99999999999977</v>
      </c>
      <c r="AJ71" s="13">
        <f>AI71*VLOOKUP('Données projet'!$B$10,Paramètres!$A$1:$I$89,3,0)*VLOOKUP('Données projet'!$B$10,Paramètres!$A$1:$I$89,5,0)</f>
        <v>356.08299999999991</v>
      </c>
      <c r="AK71" s="13">
        <f t="shared" si="89"/>
        <v>82.813805255716545</v>
      </c>
      <c r="AL71" s="20">
        <f t="shared" si="58"/>
        <v>764.41193582037283</v>
      </c>
      <c r="AM71" s="59">
        <f t="shared" si="59"/>
        <v>1057.7452691537062</v>
      </c>
      <c r="AN71" s="59">
        <f ca="1">AVERAGE(OFFSET($AM$3,0,0,'Données projet'!$E$10+1,1))-AVERAGE(OFFSET($H$3,0,0,'Données projet'!$E$10+1,1))</f>
        <v>443.34220761968419</v>
      </c>
      <c r="AO71" s="59">
        <f t="shared" si="90"/>
        <v>546.58234447298014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83.411090817669077</v>
      </c>
      <c r="AV71" s="21">
        <f>EXP(-LN(2)/25)*AV70+(1-EXP(-LN(2)/25))/(LN(2)/25)*Calculateur!AQ71*Calculateur!AS71*VLOOKUP('Données projet'!$B$10,Paramètres!$A$1:$I$89,3,0)*0.475*44/12</f>
        <v>7.6492289861141973</v>
      </c>
      <c r="AW71" s="21">
        <f>EXP(-LN(2)/2)*AW70+(1-EXP(-LN(2)/2))/(LN(2)/2)*AQ71*AT71*VLOOKUP('Données projet'!$B$10,Paramètres!$A$1:$I$89,3,0)*0.475*44/12</f>
        <v>1.1523812943924483E-5</v>
      </c>
      <c r="AX71" s="21">
        <f t="shared" si="60"/>
        <v>91.060331327596217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</v>
      </c>
      <c r="BD71" s="12">
        <f>IF('Données projet'!$A$88&gt;35,BD70+BC71-BL70,IF(A71&lt;'Données projet'!$A$88,$BA$205^A71,IF(A71='Données projet'!$A$88,'Données projet'!$B$88,BD70+BC71-BL70)))</f>
        <v>295.99999999999994</v>
      </c>
      <c r="BE71" s="13">
        <f>BD71*VLOOKUP('Données projet'!$B$11,Paramètres!$A$1:$I$89,3,0)*VLOOKUP('Données projet'!$B$11,Paramètres!$A$1:$I$89,5,0)</f>
        <v>253.96799999999999</v>
      </c>
      <c r="BF71" s="13">
        <f t="shared" si="91"/>
        <v>61.434848029666512</v>
      </c>
      <c r="BG71" s="20">
        <f t="shared" si="61"/>
        <v>549.32662698500246</v>
      </c>
      <c r="BH71" s="59">
        <f t="shared" si="62"/>
        <v>842.65996031833583</v>
      </c>
      <c r="BI71" s="59">
        <f ca="1">AVERAGE(OFFSET($BH$3,0,0,'Données projet'!$E$11+1,1))-AVERAGE(OFFSET($H$3,0,0,'Données projet'!$E$11+1,1))</f>
        <v>447.15627913956871</v>
      </c>
      <c r="BJ71" s="59">
        <f t="shared" si="92"/>
        <v>256.77417912163997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70.344968277027093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70.344968277027093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6.2</v>
      </c>
      <c r="BY71" s="12">
        <f>IF('Données projet'!$A$114&gt;35,BY70+BX71-CG70,IF(A71&lt;'Données projet'!$A$114,$BV$205^A71,IF(A71='Données projet'!$A$114,'Données projet'!$B$114,BY70+BX71-CG70)))</f>
        <v>250.59999999999991</v>
      </c>
      <c r="BZ71" s="13">
        <f>BY71*VLOOKUP('Données projet'!$B$12,Paramètres!$A$1:$I$89,3,0)*VLOOKUP('Données projet'!$B$12,Paramètres!$A$1:$I$89,5,0)</f>
        <v>238.47095999999991</v>
      </c>
      <c r="CA71" s="13">
        <f t="shared" si="93"/>
        <v>58.110427804108816</v>
      </c>
      <c r="CB71" s="20">
        <f t="shared" si="64"/>
        <v>516.54591709215595</v>
      </c>
      <c r="CC71" s="59">
        <f t="shared" si="65"/>
        <v>809.87925042548932</v>
      </c>
      <c r="CD71" s="59">
        <f ca="1">AVERAGE(OFFSET($CC$3,0,0,'Données projet'!$E$12+1,1))-AVERAGE(OFFSET($H$3,0,0,'Données projet'!$E$12+1,1))</f>
        <v>448.94764480536713</v>
      </c>
      <c r="CE71" s="59">
        <f t="shared" si="94"/>
        <v>469.26760321719695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66.772088975915679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66.772088975915679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187.80389738728508</v>
      </c>
      <c r="CZ71" s="59">
        <f t="shared" si="96"/>
        <v>439.28159165815265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58.192775632119286</v>
      </c>
      <c r="DG71" s="21">
        <f>EXP(-LN(2)/25)*DG70+(1-EXP(-LN(2)/25))/(LN(2)/25)*Calculateur!DB71*Calculateur!DD71*VLOOKUP('Données projet'!$B$13,Paramètres!$A$1:$I$89,3,0)*0.475*44/12</f>
        <v>5.013165375238688</v>
      </c>
      <c r="DH71" s="21">
        <f>EXP(-LN(2)/2)*DH70+(1-EXP(-LN(2)/2))/(LN(2)/2)*DB71*DE71*VLOOKUP('Données projet'!$B$13,Paramètres!$A$1:$I$89,3,0)*0.475*44/12</f>
        <v>8.5758220677480493E-8</v>
      </c>
      <c r="DI71" s="22">
        <f t="shared" si="69"/>
        <v>63.205941093116195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255.00000000000006</v>
      </c>
      <c r="DP71" s="17">
        <f>DO71*VLOOKUP('Données projet'!$B$14,Paramètres!$A$1:$I$89,3,0)*VLOOKUP('Données projet'!$B$14,Paramètres!$A$1:$I$89,5,0)</f>
        <v>186.96600000000004</v>
      </c>
      <c r="DQ71" s="13">
        <f t="shared" si="97"/>
        <v>46.868551400324648</v>
      </c>
      <c r="DR71" s="20">
        <f t="shared" si="70"/>
        <v>407.26184368889881</v>
      </c>
      <c r="DS71" s="59">
        <f t="shared" si="71"/>
        <v>700.59517702223206</v>
      </c>
      <c r="DT71" s="59">
        <f ca="1">AVERAGE(OFFSET($DS$3,0,0,'Données projet'!$E$14+1,1))-AVERAGE(OFFSET($H$3,0,0,'Données projet'!$E$14+1,1))</f>
        <v>239.25212250019609</v>
      </c>
      <c r="DU71" s="59">
        <f t="shared" si="98"/>
        <v>213.58492101729695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13.8</v>
      </c>
      <c r="EJ71" s="12">
        <f>IF('Données projet'!$A$192&gt;35,EJ70+EI71-ER70,IF(A71&lt;'Données projet'!$A$192,$EG$205^A71,IF(A71='Données projet'!$A$192,'Données projet'!$B$192,EJ70+EI71-ER70)))</f>
        <v>634.4000000000002</v>
      </c>
      <c r="EK71" s="17">
        <f>EJ71*VLOOKUP('Données projet'!$B$15,Paramètres!$A$1:$I$89,3,0)*VLOOKUP('Données projet'!$B$15,Paramètres!$A$1:$I$89,5,0)</f>
        <v>379.37120000000016</v>
      </c>
      <c r="EL71" s="13">
        <f t="shared" si="99"/>
        <v>87.58169214989708</v>
      </c>
      <c r="EM71" s="20">
        <f t="shared" si="73"/>
        <v>813.27628716107108</v>
      </c>
      <c r="EN71" s="59">
        <f t="shared" si="74"/>
        <v>1106.6096204944045</v>
      </c>
      <c r="EO71" s="59">
        <f ca="1">AVERAGE(OFFSET($EN$3,0,0,'Données projet'!$E$15+1,1))-AVERAGE(OFFSET($H$3,0,0,'Données projet'!$E$15+1,1))</f>
        <v>504.81063008331739</v>
      </c>
      <c r="EP71" s="59">
        <f t="shared" si="100"/>
        <v>441.82647565372287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87.182120125385836</v>
      </c>
      <c r="EW71" s="21">
        <f>EXP(-LN(2)/25)*EW70+(1-EXP(-LN(2)/25))/(LN(2)/25)*Calculateur!ER71*Calculateur!ET71*VLOOKUP('Données projet'!$B$15,Paramètres!$A$1:$I$89,3,0)*0.475*44/12</f>
        <v>20.530360357042053</v>
      </c>
      <c r="EX71" s="21">
        <f>EXP(-LN(2)/2)*EX70+(1-EXP(-LN(2)/2))/(LN(2)/2)*ER71*EU71*VLOOKUP('Données projet'!$B$15,Paramètres!$A$1:$I$89,3,0)*0.475*44/12</f>
        <v>9.9878008396417023E-8</v>
      </c>
      <c r="EY71" s="22">
        <f t="shared" si="75"/>
        <v>107.7124805823059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12.2</v>
      </c>
      <c r="FE71" s="12">
        <f>IF('Données projet'!$A$218&gt;35,FE70+FD71-FM70,IF(A71&lt;'Données projet'!$A$218,$FB$205^A71,IF(A71='Données projet'!$A$218,'Données projet'!$B$218,FE70+FD71-FM70)))</f>
        <v>426.59999999999974</v>
      </c>
      <c r="FF71" s="17">
        <f>FE71*VLOOKUP('Données projet'!$B$16,Paramètres!$A$1:$I$89,3,0)*VLOOKUP('Données projet'!$B$16,Paramètres!$A$1:$I$89,5,0)</f>
        <v>244.01519999999988</v>
      </c>
      <c r="FG71" s="13">
        <f t="shared" si="101"/>
        <v>59.302584355377448</v>
      </c>
      <c r="FH71" s="20">
        <f t="shared" si="76"/>
        <v>528.2784744189488</v>
      </c>
      <c r="FI71" s="59">
        <f t="shared" si="77"/>
        <v>821.61180775228217</v>
      </c>
      <c r="FJ71" s="59">
        <f ca="1">AVERAGE(OFFSET($FI$3,0,0,'Données projet'!$E$16+1,1))-AVERAGE(OFFSET($H$3,0,0,'Données projet'!$E$16+1,1))</f>
        <v>393.41577134252316</v>
      </c>
      <c r="FK71" s="59">
        <f t="shared" si="102"/>
        <v>255.54039659391475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69.480569057792337</v>
      </c>
      <c r="FR71" s="21">
        <f>EXP(-LN(2)/25)*FR70+(1-EXP(-LN(2)/25))/(LN(2)/25)*Calculateur!FM71*Calculateur!FO71*VLOOKUP('Données projet'!$B$16,Paramètres!$A$1:$I$89,3,0)*0.475*44/12</f>
        <v>9.3170127554696389</v>
      </c>
      <c r="FS71" s="21">
        <f>EXP(-LN(2)/2)*FS70+(1-EXP(-LN(2)/2))/(LN(2)/2)*FM71*FP71*VLOOKUP('Données projet'!$B$16,Paramètres!$A$1:$I$89,3,0)*0.475*44/12</f>
        <v>6.9483898492649169E-7</v>
      </c>
      <c r="FT71" s="22">
        <f t="shared" si="78"/>
        <v>78.797582508100959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19.399999999999999</v>
      </c>
      <c r="FZ71" s="12">
        <f>IF('Données projet'!$A$244&gt;35,FZ70+FY71-GH70,IF(A71&lt;'Données projet'!$A$244,$FW$205^A71,IF(A71='Données projet'!$A$244,'Données projet'!$B$244,FZ70+FY71-GH70)))</f>
        <v>792.2</v>
      </c>
      <c r="GA71" s="17">
        <f>FZ71*VLOOKUP('Données projet'!$B$17,Paramètres!$A$1:$I$89,3,0)*VLOOKUP('Données projet'!$B$17,Paramètres!$A$1:$I$89,5,0)</f>
        <v>370.74960000000004</v>
      </c>
      <c r="GB71" s="13">
        <f t="shared" si="103"/>
        <v>85.820642893140644</v>
      </c>
      <c r="GC71" s="20">
        <f t="shared" si="79"/>
        <v>795.19317303888658</v>
      </c>
      <c r="GD71" s="59">
        <f t="shared" si="80"/>
        <v>1088.52650637222</v>
      </c>
      <c r="GE71" s="59">
        <f ca="1">AVERAGE(OFFSET($GD$3,0,0,'Données projet'!$E$17+1,1))-AVERAGE(OFFSET($H$3,0,0,'Données projet'!$E$17+1,1))</f>
        <v>488.67934252295686</v>
      </c>
      <c r="GF71" s="59">
        <f t="shared" si="104"/>
        <v>424.50324471331095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116.54528899546781</v>
      </c>
      <c r="GM71" s="21">
        <f>EXP(-LN(2)/25)*GM70+(1-EXP(-LN(2)/25))/(LN(2)/25)*Calculateur!GH71*Calculateur!GJ71*VLOOKUP('Données projet'!$B$17,Paramètres!$A$1:$I$89,3,0)*0.475*44/12</f>
        <v>17.081190051694342</v>
      </c>
      <c r="GN71" s="21">
        <f>EXP(-LN(2)/2)*GN70+(1-EXP(-LN(2)/2))/(LN(2)/2)*GH71*GK71*VLOOKUP('Données projet'!$B$17,Paramètres!$A$1:$I$89,3,0)*0.475*44/12</f>
        <v>1.5475959209726401E-6</v>
      </c>
      <c r="GO71" s="21">
        <f t="shared" si="81"/>
        <v>133.62648059475808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19.600000000000001</v>
      </c>
      <c r="GU71" s="12">
        <f>IF('Données projet'!$A$270&gt;35,GU70+GT71-HC70,IF(A71&lt;'Données projet'!$A$270,$GR$205^A71,IF(A71='Données projet'!$A$270,'Données projet'!$B$270,GU70+GT71-HC70)))</f>
        <v>731.8</v>
      </c>
      <c r="GV71" s="17">
        <f>GU71*VLOOKUP('Données projet'!$B$18,Paramètres!$A$1:$I$89,3,0)*VLOOKUP('Données projet'!$B$18,Paramètres!$A$1:$I$89,5,0)</f>
        <v>351.99579999999997</v>
      </c>
      <c r="GW71" s="13">
        <f t="shared" si="105"/>
        <v>81.973331088809886</v>
      </c>
      <c r="GX71" s="20">
        <f t="shared" si="82"/>
        <v>755.8295699796771</v>
      </c>
      <c r="GY71" s="59">
        <f t="shared" si="83"/>
        <v>1049.1629033130105</v>
      </c>
      <c r="GZ71" s="59">
        <f ca="1">AVERAGE(OFFSET($GY$3,0,0,'Données projet'!$E$18+1,1))-AVERAGE(OFFSET($H$3,0,0,'Données projet'!$E$18+1,1))</f>
        <v>458.80976193248841</v>
      </c>
      <c r="HA71" s="59">
        <f t="shared" si="106"/>
        <v>396.07405370178759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114.6042927396406</v>
      </c>
      <c r="HH71" s="21">
        <f>EXP(-LN(2)/25)*HH70+(1-EXP(-LN(2)/25))/(LN(2)/25)*Calculateur!HC71*Calculateur!HE71*VLOOKUP('Données projet'!$B$18,Paramètres!$A$1:$I$89,3,0)*0.475*44/12</f>
        <v>15.959697775573005</v>
      </c>
      <c r="HI71" s="21">
        <f>EXP(-LN(2)/2)*HI70+(1-EXP(-LN(2)/2))/(LN(2)/2)*HC71*HF71*VLOOKUP('Données projet'!$B$18,Paramètres!$A$1:$I$89,3,0)*0.475*44/12</f>
        <v>7.14140067841117E-7</v>
      </c>
      <c r="HJ71" s="22">
        <f t="shared" si="84"/>
        <v>130.56399122935369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755.4983401269543</v>
      </c>
      <c r="S72" s="59">
        <f ca="1">AVERAGE(OFFSET($R$3,0,0,'Données projet'!$E$9+1,1))-AVERAGE(OFFSET($H$3,0,0,'Données projet'!$E$9+1,1))</f>
        <v>364.3481978218424</v>
      </c>
      <c r="T72" s="59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44.253878030053045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44.253878030053045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636.99999999999977</v>
      </c>
      <c r="AJ72" s="13">
        <f>AI72*VLOOKUP('Données projet'!$B$10,Paramètres!$A$1:$I$89,3,0)*VLOOKUP('Données projet'!$B$10,Paramètres!$A$1:$I$89,5,0)</f>
        <v>356.08299999999991</v>
      </c>
      <c r="AK72" s="13">
        <f t="shared" si="89"/>
        <v>82.813805255716545</v>
      </c>
      <c r="AL72" s="20">
        <f t="shared" si="58"/>
        <v>764.41193582037283</v>
      </c>
      <c r="AM72" s="59">
        <f t="shared" si="59"/>
        <v>1057.7452691537062</v>
      </c>
      <c r="AN72" s="59">
        <f ca="1">AVERAGE(OFFSET($AM$3,0,0,'Données projet'!$E$10+1,1))-AVERAGE(OFFSET($H$3,0,0,'Données projet'!$E$10+1,1))</f>
        <v>443.34220761968419</v>
      </c>
      <c r="AO72" s="59">
        <f t="shared" si="90"/>
        <v>546.58234447298014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81.775450202476421</v>
      </c>
      <c r="AV72" s="21">
        <f>EXP(-LN(2)/25)*AV71+(1-EXP(-LN(2)/25))/(LN(2)/25)*Calculateur!AQ72*Calculateur!AS72*VLOOKUP('Données projet'!$B$10,Paramètres!$A$1:$I$89,3,0)*0.475*44/12</f>
        <v>7.4400604172334344</v>
      </c>
      <c r="AW72" s="21">
        <f>EXP(-LN(2)/2)*AW71+(1-EXP(-LN(2)/2))/(LN(2)/2)*AQ72*AT72*VLOOKUP('Données projet'!$B$10,Paramètres!$A$1:$I$89,3,0)*0.475*44/12</f>
        <v>8.1485662777743132E-6</v>
      </c>
      <c r="AX72" s="21">
        <f t="shared" si="60"/>
        <v>89.215518768276141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</v>
      </c>
      <c r="BD72" s="12">
        <f>IF('Données projet'!$A$88&gt;35,BD71+BC72-BL71,IF(A72&lt;'Données projet'!$A$88,$BA$205^A72,IF(A72='Données projet'!$A$88,'Données projet'!$B$88,BD71+BC72-BL71)))</f>
        <v>305.99999999999994</v>
      </c>
      <c r="BE72" s="13">
        <f>BD72*VLOOKUP('Données projet'!$B$11,Paramètres!$A$1:$I$89,3,0)*VLOOKUP('Données projet'!$B$11,Paramètres!$A$1:$I$89,5,0)</f>
        <v>262.548</v>
      </c>
      <c r="BF72" s="13">
        <f t="shared" si="91"/>
        <v>63.265199933079444</v>
      </c>
      <c r="BG72" s="20">
        <f t="shared" si="61"/>
        <v>567.45798988344666</v>
      </c>
      <c r="BH72" s="59">
        <f t="shared" si="62"/>
        <v>860.79132321678003</v>
      </c>
      <c r="BI72" s="59">
        <f ca="1">AVERAGE(OFFSET($BH$3,0,0,'Données projet'!$E$11+1,1))-AVERAGE(OFFSET($H$3,0,0,'Données projet'!$E$11+1,1))</f>
        <v>447.15627913956871</v>
      </c>
      <c r="BJ72" s="59">
        <f t="shared" si="92"/>
        <v>256.77417912163997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68.965546355308604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68.965546355308604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6.2</v>
      </c>
      <c r="BY72" s="12">
        <f>IF('Données projet'!$A$114&gt;35,BY71+BX72-CG71,IF(A72&lt;'Données projet'!$A$114,$BV$205^A72,IF(A72='Données projet'!$A$114,'Données projet'!$B$114,BY71+BX72-CG71)))</f>
        <v>256.7999999999999</v>
      </c>
      <c r="BZ72" s="13">
        <f>BY72*VLOOKUP('Données projet'!$B$12,Paramètres!$A$1:$I$89,3,0)*VLOOKUP('Données projet'!$B$12,Paramètres!$A$1:$I$89,5,0)</f>
        <v>244.37087999999991</v>
      </c>
      <c r="CA72" s="13">
        <f t="shared" si="93"/>
        <v>59.378956514447275</v>
      </c>
      <c r="CB72" s="20">
        <f t="shared" si="64"/>
        <v>529.03096526266211</v>
      </c>
      <c r="CC72" s="59">
        <f t="shared" si="65"/>
        <v>822.36429859599548</v>
      </c>
      <c r="CD72" s="59">
        <f ca="1">AVERAGE(OFFSET($CC$3,0,0,'Données projet'!$E$12+1,1))-AVERAGE(OFFSET($H$3,0,0,'Données projet'!$E$12+1,1))</f>
        <v>448.94764480536713</v>
      </c>
      <c r="CE72" s="59">
        <f t="shared" si="94"/>
        <v>469.26760321719695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65.462729038050796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65.462729038050796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187.80389738728508</v>
      </c>
      <c r="CZ72" s="59">
        <f t="shared" si="96"/>
        <v>439.28159165815265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57.051650796061814</v>
      </c>
      <c r="DG72" s="21">
        <f>EXP(-LN(2)/25)*DG71+(1-EXP(-LN(2)/25))/(LN(2)/25)*Calculateur!DB72*Calculateur!DD72*VLOOKUP('Données projet'!$B$13,Paramètres!$A$1:$I$89,3,0)*0.475*44/12</f>
        <v>4.8760801044218764</v>
      </c>
      <c r="DH72" s="21">
        <f>EXP(-LN(2)/2)*DH71+(1-EXP(-LN(2)/2))/(LN(2)/2)*DB72*DE72*VLOOKUP('Données projet'!$B$13,Paramètres!$A$1:$I$89,3,0)*0.475*44/12</f>
        <v>6.0640219383538854E-8</v>
      </c>
      <c r="DI72" s="22">
        <f t="shared" si="69"/>
        <v>61.927730961123906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255.00000000000006</v>
      </c>
      <c r="DP72" s="17">
        <f>DO72*VLOOKUP('Données projet'!$B$14,Paramètres!$A$1:$I$89,3,0)*VLOOKUP('Données projet'!$B$14,Paramètres!$A$1:$I$89,5,0)</f>
        <v>186.96600000000004</v>
      </c>
      <c r="DQ72" s="13">
        <f t="shared" si="97"/>
        <v>46.868551400324648</v>
      </c>
      <c r="DR72" s="20">
        <f t="shared" si="70"/>
        <v>407.26184368889881</v>
      </c>
      <c r="DS72" s="59">
        <f t="shared" si="71"/>
        <v>700.59517702223206</v>
      </c>
      <c r="DT72" s="59">
        <f ca="1">AVERAGE(OFFSET($DS$3,0,0,'Données projet'!$E$14+1,1))-AVERAGE(OFFSET($H$3,0,0,'Données projet'!$E$14+1,1))</f>
        <v>239.25212250019609</v>
      </c>
      <c r="DU72" s="59">
        <f t="shared" si="98"/>
        <v>213.58492101729695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13.8</v>
      </c>
      <c r="EJ72" s="12">
        <f>IF('Données projet'!$A$192&gt;35,EJ71+EI72-ER71,IF(A72&lt;'Données projet'!$A$192,$EG$205^A72,IF(A72='Données projet'!$A$192,'Données projet'!$B$192,EJ71+EI72-ER71)))</f>
        <v>648.20000000000016</v>
      </c>
      <c r="EK72" s="17">
        <f>EJ72*VLOOKUP('Données projet'!$B$15,Paramètres!$A$1:$I$89,3,0)*VLOOKUP('Données projet'!$B$15,Paramètres!$A$1:$I$89,5,0)</f>
        <v>387.62360000000012</v>
      </c>
      <c r="EL72" s="13">
        <f t="shared" si="99"/>
        <v>89.262968814668071</v>
      </c>
      <c r="EM72" s="20">
        <f t="shared" si="73"/>
        <v>830.57744068554712</v>
      </c>
      <c r="EN72" s="59">
        <f t="shared" si="74"/>
        <v>1123.9107740188804</v>
      </c>
      <c r="EO72" s="59">
        <f ca="1">AVERAGE(OFFSET($EN$3,0,0,'Données projet'!$E$15+1,1))-AVERAGE(OFFSET($H$3,0,0,'Données projet'!$E$15+1,1))</f>
        <v>504.81063008331739</v>
      </c>
      <c r="EP72" s="59">
        <f t="shared" si="100"/>
        <v>441.82647565372287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85.472531925569612</v>
      </c>
      <c r="EW72" s="21">
        <f>EXP(-LN(2)/25)*EW71+(1-EXP(-LN(2)/25))/(LN(2)/25)*Calculateur!ER72*Calculateur!ET72*VLOOKUP('Données projet'!$B$15,Paramètres!$A$1:$I$89,3,0)*0.475*44/12</f>
        <v>19.96895657343401</v>
      </c>
      <c r="EX72" s="21">
        <f>EXP(-LN(2)/2)*EX71+(1-EXP(-LN(2)/2))/(LN(2)/2)*ER72*EU72*VLOOKUP('Données projet'!$B$15,Paramètres!$A$1:$I$89,3,0)*0.475*44/12</f>
        <v>7.0624417028513407E-8</v>
      </c>
      <c r="EY72" s="22">
        <f t="shared" si="75"/>
        <v>105.44148856962805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12.2</v>
      </c>
      <c r="FE72" s="12">
        <f>IF('Données projet'!$A$218&gt;35,FE71+FD72-FM71,IF(A72&lt;'Données projet'!$A$218,$FB$205^A72,IF(A72='Données projet'!$A$218,'Données projet'!$B$218,FE71+FD72-FM71)))</f>
        <v>438.79999999999973</v>
      </c>
      <c r="FF72" s="17">
        <f>FE72*VLOOKUP('Données projet'!$B$16,Paramètres!$A$1:$I$89,3,0)*VLOOKUP('Données projet'!$B$16,Paramètres!$A$1:$I$89,5,0)</f>
        <v>250.99359999999987</v>
      </c>
      <c r="FG72" s="13">
        <f t="shared" si="101"/>
        <v>60.79865619608325</v>
      </c>
      <c r="FH72" s="20">
        <f t="shared" si="76"/>
        <v>543.03817954151145</v>
      </c>
      <c r="FI72" s="59">
        <f t="shared" si="77"/>
        <v>836.37151287484471</v>
      </c>
      <c r="FJ72" s="59">
        <f ca="1">AVERAGE(OFFSET($FI$3,0,0,'Données projet'!$E$16+1,1))-AVERAGE(OFFSET($H$3,0,0,'Données projet'!$E$16+1,1))</f>
        <v>393.41577134252316</v>
      </c>
      <c r="FK72" s="59">
        <f t="shared" si="102"/>
        <v>255.54039659391475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68.118097477531578</v>
      </c>
      <c r="FR72" s="21">
        <f>EXP(-LN(2)/25)*FR71+(1-EXP(-LN(2)/25))/(LN(2)/25)*Calculateur!FM72*Calculateur!FO72*VLOOKUP('Données projet'!$B$16,Paramètres!$A$1:$I$89,3,0)*0.475*44/12</f>
        <v>9.0622385517109159</v>
      </c>
      <c r="FS72" s="21">
        <f>EXP(-LN(2)/2)*FS71+(1-EXP(-LN(2)/2))/(LN(2)/2)*FM72*FP72*VLOOKUP('Données projet'!$B$16,Paramètres!$A$1:$I$89,3,0)*0.475*44/12</f>
        <v>4.9132535807429955E-7</v>
      </c>
      <c r="FT72" s="22">
        <f t="shared" si="78"/>
        <v>77.180336520567849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19.399999999999999</v>
      </c>
      <c r="FZ72" s="12">
        <f>IF('Données projet'!$A$244&gt;35,FZ71+FY72-GH71,IF(A72&lt;'Données projet'!$A$244,$FW$205^A72,IF(A72='Données projet'!$A$244,'Données projet'!$B$244,FZ71+FY72-GH71)))</f>
        <v>811.6</v>
      </c>
      <c r="GA72" s="17">
        <f>FZ72*VLOOKUP('Données projet'!$B$17,Paramètres!$A$1:$I$89,3,0)*VLOOKUP('Données projet'!$B$17,Paramètres!$A$1:$I$89,5,0)</f>
        <v>379.8288</v>
      </c>
      <c r="GB72" s="13">
        <f t="shared" si="103"/>
        <v>87.675030521782332</v>
      </c>
      <c r="GC72" s="20">
        <f t="shared" si="79"/>
        <v>814.23583815877089</v>
      </c>
      <c r="GD72" s="59">
        <f t="shared" si="80"/>
        <v>1107.5691714921043</v>
      </c>
      <c r="GE72" s="59">
        <f ca="1">AVERAGE(OFFSET($GD$3,0,0,'Données projet'!$E$17+1,1))-AVERAGE(OFFSET($H$3,0,0,'Données projet'!$E$17+1,1))</f>
        <v>488.67934252295686</v>
      </c>
      <c r="GF72" s="59">
        <f t="shared" si="104"/>
        <v>424.50324471331095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114.25990696387386</v>
      </c>
      <c r="GM72" s="21">
        <f>EXP(-LN(2)/25)*GM71+(1-EXP(-LN(2)/25))/(LN(2)/25)*Calculateur!GH72*Calculateur!GJ72*VLOOKUP('Données projet'!$B$17,Paramètres!$A$1:$I$89,3,0)*0.475*44/12</f>
        <v>16.614104011470015</v>
      </c>
      <c r="GN72" s="21">
        <f>EXP(-LN(2)/2)*GN71+(1-EXP(-LN(2)/2))/(LN(2)/2)*GH72*GK72*VLOOKUP('Données projet'!$B$17,Paramètres!$A$1:$I$89,3,0)*0.475*44/12</f>
        <v>1.0943155702563941E-6</v>
      </c>
      <c r="GO72" s="21">
        <f t="shared" si="81"/>
        <v>130.87401206965944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19.600000000000001</v>
      </c>
      <c r="GU72" s="12">
        <f>IF('Données projet'!$A$270&gt;35,GU71+GT72-HC71,IF(A72&lt;'Données projet'!$A$270,$GR$205^A72,IF(A72='Données projet'!$A$270,'Données projet'!$B$270,GU71+GT72-HC71)))</f>
        <v>751.4</v>
      </c>
      <c r="GV72" s="17">
        <f>GU72*VLOOKUP('Données projet'!$B$18,Paramètres!$A$1:$I$89,3,0)*VLOOKUP('Données projet'!$B$18,Paramètres!$A$1:$I$89,5,0)</f>
        <v>361.42339999999996</v>
      </c>
      <c r="GW72" s="13">
        <f t="shared" si="105"/>
        <v>83.910293175108109</v>
      </c>
      <c r="GX72" s="20">
        <f t="shared" si="82"/>
        <v>775.62284894664651</v>
      </c>
      <c r="GY72" s="59">
        <f t="shared" si="83"/>
        <v>1068.9561822799799</v>
      </c>
      <c r="GZ72" s="59">
        <f ca="1">AVERAGE(OFFSET($GY$3,0,0,'Données projet'!$E$18+1,1))-AVERAGE(OFFSET($H$3,0,0,'Données projet'!$E$18+1,1))</f>
        <v>458.80976193248841</v>
      </c>
      <c r="HA72" s="59">
        <f t="shared" si="106"/>
        <v>396.07405370178759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112.35697246073259</v>
      </c>
      <c r="HH72" s="21">
        <f>EXP(-LN(2)/25)*HH71+(1-EXP(-LN(2)/25))/(LN(2)/25)*Calculateur!HC72*Calculateur!HE72*VLOOKUP('Données projet'!$B$18,Paramètres!$A$1:$I$89,3,0)*0.475*44/12</f>
        <v>15.523279000615931</v>
      </c>
      <c r="HI72" s="21">
        <f>EXP(-LN(2)/2)*HI71+(1-EXP(-LN(2)/2))/(LN(2)/2)*HC72*HF72*VLOOKUP('Données projet'!$B$18,Paramètres!$A$1:$I$89,3,0)*0.475*44/12</f>
        <v>5.0497328468747492E-7</v>
      </c>
      <c r="HJ72" s="22">
        <f t="shared" si="84"/>
        <v>127.88025196632181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364.3481978218424</v>
      </c>
      <c r="T73" s="59">
        <f t="shared" si="88"/>
        <v>231.36959598460686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52.418159756678804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52.418159756678804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636.99999999999977</v>
      </c>
      <c r="AJ73" s="13">
        <f>AI73*VLOOKUP('Données projet'!$B$10,Paramètres!$A$1:$I$89,3,0)*VLOOKUP('Données projet'!$B$10,Paramètres!$A$1:$I$89,5,0)</f>
        <v>356.08299999999991</v>
      </c>
      <c r="AK73" s="13">
        <f t="shared" si="89"/>
        <v>82.813805255716545</v>
      </c>
      <c r="AL73" s="20">
        <f t="shared" si="58"/>
        <v>764.41193582037283</v>
      </c>
      <c r="AM73" s="59">
        <f t="shared" si="59"/>
        <v>1057.7452691537062</v>
      </c>
      <c r="AN73" s="59">
        <f ca="1">AVERAGE(OFFSET($AM$3,0,0,'Données projet'!$E$10+1,1))-AVERAGE(OFFSET($H$3,0,0,'Données projet'!$E$10+1,1))</f>
        <v>443.34220761968419</v>
      </c>
      <c r="AO73" s="59">
        <f t="shared" si="90"/>
        <v>546.58234447298014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80.17188350210543</v>
      </c>
      <c r="AV73" s="21">
        <f>EXP(-LN(2)/25)*AV72+(1-EXP(-LN(2)/25))/(LN(2)/25)*Calculateur!AQ73*Calculateur!AS73*VLOOKUP('Données projet'!$B$10,Paramètres!$A$1:$I$89,3,0)*0.475*44/12</f>
        <v>7.2366115738684131</v>
      </c>
      <c r="AW73" s="21">
        <f>EXP(-LN(2)/2)*AW72+(1-EXP(-LN(2)/2))/(LN(2)/2)*AQ73*AT73*VLOOKUP('Données projet'!$B$10,Paramètres!$A$1:$I$89,3,0)*0.475*44/12</f>
        <v>5.7619064719622414E-6</v>
      </c>
      <c r="AX73" s="21">
        <f t="shared" si="60"/>
        <v>87.408500837880325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10</v>
      </c>
      <c r="BC73" s="12">
        <f t="array" ref="BC73">INDEX(BB:BB,MIN(IF(ISNUMBER(BB73:BB269),ROW(BB73:BB269),"")))</f>
        <v>10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271.12799999999999</v>
      </c>
      <c r="BF73" s="13">
        <f t="shared" si="91"/>
        <v>65.088601240045278</v>
      </c>
      <c r="BG73" s="20">
        <f t="shared" si="61"/>
        <v>585.57724715974553</v>
      </c>
      <c r="BH73" s="59">
        <f t="shared" si="62"/>
        <v>878.9105804930789</v>
      </c>
      <c r="BI73" s="59">
        <f ca="1">AVERAGE(OFFSET($BH$3,0,0,'Données projet'!$E$11+1,1))-AVERAGE(OFFSET($H$3,0,0,'Données projet'!$E$11+1,1))</f>
        <v>447.15627913956871</v>
      </c>
      <c r="BJ73" s="59">
        <f t="shared" si="92"/>
        <v>256.77417912163997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81.688818866997508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81.688818866997508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6.2</v>
      </c>
      <c r="BX73" s="12">
        <f t="array" ref="BX73">INDEX(BW:BW,MIN(IF(ISNUMBER(BW73:BW269),ROW(BW73:BW269),"")))</f>
        <v>6.2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250.27079999999989</v>
      </c>
      <c r="CA73" s="13">
        <f t="shared" si="93"/>
        <v>60.643924942423787</v>
      </c>
      <c r="CB73" s="20">
        <f t="shared" si="64"/>
        <v>541.50981260805463</v>
      </c>
      <c r="CC73" s="59">
        <f t="shared" si="65"/>
        <v>834.843145941388</v>
      </c>
      <c r="CD73" s="59">
        <f ca="1">AVERAGE(OFFSET($CC$3,0,0,'Données projet'!$E$12+1,1))-AVERAGE(OFFSET($H$3,0,0,'Données projet'!$E$12+1,1))</f>
        <v>448.94764480536713</v>
      </c>
      <c r="CE73" s="59">
        <f t="shared" si="94"/>
        <v>469.26760321719695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76.844710832425946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76.844710832425946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187.80389738728508</v>
      </c>
      <c r="CZ73" s="59">
        <f t="shared" si="96"/>
        <v>439.28159165815265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55.932902722022007</v>
      </c>
      <c r="DG73" s="21">
        <f>EXP(-LN(2)/25)*DG72+(1-EXP(-LN(2)/25))/(LN(2)/25)*Calculateur!DB73*Calculateur!DD73*VLOOKUP('Données projet'!$B$13,Paramètres!$A$1:$I$89,3,0)*0.475*44/12</f>
        <v>4.7427434375445516</v>
      </c>
      <c r="DH73" s="21">
        <f>EXP(-LN(2)/2)*DH72+(1-EXP(-LN(2)/2))/(LN(2)/2)*DB73*DE73*VLOOKUP('Données projet'!$B$13,Paramètres!$A$1:$I$89,3,0)*0.475*44/12</f>
        <v>4.2879110338740246E-8</v>
      </c>
      <c r="DI73" s="22">
        <f t="shared" si="69"/>
        <v>60.67564620244567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255.00000000000006</v>
      </c>
      <c r="DP73" s="17">
        <f>DO73*VLOOKUP('Données projet'!$B$14,Paramètres!$A$1:$I$89,3,0)*VLOOKUP('Données projet'!$B$14,Paramètres!$A$1:$I$89,5,0)</f>
        <v>186.96600000000004</v>
      </c>
      <c r="DQ73" s="13">
        <f t="shared" si="97"/>
        <v>46.868551400324648</v>
      </c>
      <c r="DR73" s="20">
        <f t="shared" si="70"/>
        <v>407.26184368889881</v>
      </c>
      <c r="DS73" s="59">
        <f t="shared" si="71"/>
        <v>700.59517702223206</v>
      </c>
      <c r="DT73" s="59">
        <f ca="1">AVERAGE(OFFSET($DS$3,0,0,'Données projet'!$E$14+1,1))-AVERAGE(OFFSET($H$3,0,0,'Données projet'!$E$14+1,1))</f>
        <v>239.25212250019609</v>
      </c>
      <c r="DU73" s="59">
        <f t="shared" si="98"/>
        <v>213.58492101729695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662</v>
      </c>
      <c r="EH73" s="12">
        <f>VLOOKUP(A73,'Données projet'!$A$191:$I$211,9,0)</f>
        <v>13.8</v>
      </c>
      <c r="EI73" s="12">
        <f t="array" ref="EI73">INDEX(EH:EH,MIN(IF(ISNUMBER(EH73:EH269),ROW(EH73:EH269),"")))</f>
        <v>13.8</v>
      </c>
      <c r="EJ73" s="12">
        <f>IF('Données projet'!$A$192&gt;35,EJ72+EI73-ER72,IF(A73&lt;'Données projet'!$A$192,$EG$205^A73,IF(A73='Données projet'!$A$192,'Données projet'!$B$192,EJ72+EI73-ER72)))</f>
        <v>662.00000000000011</v>
      </c>
      <c r="EK73" s="17">
        <f>EJ73*VLOOKUP('Données projet'!$B$15,Paramètres!$A$1:$I$89,3,0)*VLOOKUP('Données projet'!$B$15,Paramètres!$A$1:$I$89,5,0)</f>
        <v>395.87600000000009</v>
      </c>
      <c r="EL73" s="13">
        <f t="shared" si="99"/>
        <v>90.940083893210655</v>
      </c>
      <c r="EM73" s="20">
        <f t="shared" si="73"/>
        <v>847.8713461140087</v>
      </c>
      <c r="EN73" s="59">
        <f t="shared" si="74"/>
        <v>1141.204679447342</v>
      </c>
      <c r="EO73" s="59">
        <f ca="1">AVERAGE(OFFSET($EN$3,0,0,'Données projet'!$E$15+1,1))-AVERAGE(OFFSET($H$3,0,0,'Données projet'!$E$15+1,1))</f>
        <v>504.81063008331739</v>
      </c>
      <c r="EP73" s="59">
        <f t="shared" si="100"/>
        <v>441.82647565372287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31</v>
      </c>
      <c r="ES73" s="16">
        <f>IF(ISNA(VLOOKUP(A73,'Données projet'!$A$191:$I$211,5,0)),0%,VLOOKUP(A73,'Données projet'!$A$191:$I$211,5,0)*VLOOKUP('Données projet'!$B$15,Paramètres!$A$1:$I$89,7,0))</f>
        <v>0.45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94.862801051328148</v>
      </c>
      <c r="EW73" s="21">
        <f>EXP(-LN(2)/25)*EW72+(1-EXP(-LN(2)/25))/(LN(2)/25)*Calculateur!ER73*Calculateur!ET73*VLOOKUP('Données projet'!$B$15,Paramètres!$A$1:$I$89,3,0)*0.475*44/12</f>
        <v>19.422904405811671</v>
      </c>
      <c r="EX73" s="21">
        <f>EXP(-LN(2)/2)*EX72+(1-EXP(-LN(2)/2))/(LN(2)/2)*ER73*EU73*VLOOKUP('Données projet'!$B$15,Paramètres!$A$1:$I$89,3,0)*0.475*44/12</f>
        <v>4.9939004198208511E-8</v>
      </c>
      <c r="EY73" s="22">
        <f t="shared" si="75"/>
        <v>114.28570550707882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451</v>
      </c>
      <c r="FC73" s="12">
        <f>VLOOKUP(A73,'Données projet'!$A$217:$I$237,9,0)</f>
        <v>12.2</v>
      </c>
      <c r="FD73" s="12">
        <f t="array" ref="FD73">INDEX(FC:FC,MIN(IF(ISNUMBER(FC73:FC269),ROW(FC73:FC269),"")))</f>
        <v>12.2</v>
      </c>
      <c r="FE73" s="12">
        <f>IF('Données projet'!$A$218&gt;35,FE72+FD73-FM72,IF(A73&lt;'Données projet'!$A$218,$FB$205^A73,IF(A73='Données projet'!$A$218,'Données projet'!$B$218,FE72+FD73-FM72)))</f>
        <v>450.99999999999972</v>
      </c>
      <c r="FF73" s="17">
        <f>FE73*VLOOKUP('Données projet'!$B$16,Paramètres!$A$1:$I$89,3,0)*VLOOKUP('Données projet'!$B$16,Paramètres!$A$1:$I$89,5,0)</f>
        <v>257.97199999999987</v>
      </c>
      <c r="FG73" s="13">
        <f t="shared" si="101"/>
        <v>62.289893496218305</v>
      </c>
      <c r="FH73" s="20">
        <f t="shared" si="76"/>
        <v>557.78946450591332</v>
      </c>
      <c r="FI73" s="59">
        <f t="shared" si="77"/>
        <v>851.12279783924669</v>
      </c>
      <c r="FJ73" s="59">
        <f ca="1">AVERAGE(OFFSET($FI$3,0,0,'Données projet'!$E$16+1,1))-AVERAGE(OFFSET($H$3,0,0,'Données projet'!$E$16+1,1))</f>
        <v>393.41577134252316</v>
      </c>
      <c r="FK73" s="59">
        <f t="shared" si="102"/>
        <v>255.54039659391475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33</v>
      </c>
      <c r="FN73" s="16">
        <f>IF(ISNA(VLOOKUP(A73,'Données projet'!$A$217:$I$237,5,0)),0%,VLOOKUP(A73,'Données projet'!$A$217:$I$237,5,0)*VLOOKUP('Données projet'!$B$16,Paramètres!$A$1:$I$89,7,0))</f>
        <v>0.45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78.050446931328665</v>
      </c>
      <c r="FR73" s="21">
        <f>EXP(-LN(2)/25)*FR72+(1-EXP(-LN(2)/25))/(LN(2)/25)*Calculateur!FM73*Calculateur!FO73*VLOOKUP('Données projet'!$B$16,Paramètres!$A$1:$I$89,3,0)*0.475*44/12</f>
        <v>8.8144311619519673</v>
      </c>
      <c r="FS73" s="21">
        <f>EXP(-LN(2)/2)*FS72+(1-EXP(-LN(2)/2))/(LN(2)/2)*FM73*FP73*VLOOKUP('Données projet'!$B$16,Paramètres!$A$1:$I$89,3,0)*0.475*44/12</f>
        <v>3.4741949246324585E-7</v>
      </c>
      <c r="FT73" s="22">
        <f t="shared" si="78"/>
        <v>86.864878440700124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831</v>
      </c>
      <c r="FX73" s="12">
        <f>VLOOKUP(A73,'Données projet'!$A$243:$I$263,9,0)</f>
        <v>19.399999999999999</v>
      </c>
      <c r="FY73" s="12">
        <f t="array" ref="FY73">INDEX(FX:FX,MIN(IF(ISNUMBER(FX73:FX269),ROW(FX73:FX269),"")))</f>
        <v>19.399999999999999</v>
      </c>
      <c r="FZ73" s="12">
        <f>IF('Données projet'!$A$244&gt;35,FZ72+FY73-GH72,IF(A73&lt;'Données projet'!$A$244,$FW$205^A73,IF(A73='Données projet'!$A$244,'Données projet'!$B$244,FZ72+FY73-GH72)))</f>
        <v>831</v>
      </c>
      <c r="GA73" s="17">
        <f>FZ73*VLOOKUP('Données projet'!$B$17,Paramètres!$A$1:$I$89,3,0)*VLOOKUP('Données projet'!$B$17,Paramètres!$A$1:$I$89,5,0)</f>
        <v>388.90799999999996</v>
      </c>
      <c r="GB73" s="13">
        <f t="shared" si="103"/>
        <v>89.524265236783094</v>
      </c>
      <c r="GC73" s="20">
        <f t="shared" si="79"/>
        <v>833.2695286207304</v>
      </c>
      <c r="GD73" s="59">
        <f t="shared" si="80"/>
        <v>1126.6028619540637</v>
      </c>
      <c r="GE73" s="59">
        <f ca="1">AVERAGE(OFFSET($GD$3,0,0,'Données projet'!$E$17+1,1))-AVERAGE(OFFSET($H$3,0,0,'Données projet'!$E$17+1,1))</f>
        <v>488.67934252295686</v>
      </c>
      <c r="GF73" s="59">
        <f t="shared" si="104"/>
        <v>424.50324471331095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53</v>
      </c>
      <c r="GI73" s="16">
        <f>IF(ISNA(VLOOKUP(A73,'Données projet'!$A$243:$I$263,5,0)),0%,VLOOKUP(A73,'Données projet'!$A$243:$I$263,5,0)*VLOOKUP('Données projet'!$B$17,Paramètres!$A$1:$I$89,7,0))</f>
        <v>0.55000000000000004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130.11659749397134</v>
      </c>
      <c r="GM73" s="21">
        <f>EXP(-LN(2)/25)*GM72+(1-EXP(-LN(2)/25))/(LN(2)/25)*Calculateur!GH73*Calculateur!GJ73*VLOOKUP('Données projet'!$B$17,Paramètres!$A$1:$I$89,3,0)*0.475*44/12</f>
        <v>16.159790463578609</v>
      </c>
      <c r="GN73" s="21">
        <f>EXP(-LN(2)/2)*GN72+(1-EXP(-LN(2)/2))/(LN(2)/2)*GH73*GK73*VLOOKUP('Données projet'!$B$17,Paramètres!$A$1:$I$89,3,0)*0.475*44/12</f>
        <v>7.7379796048632007E-7</v>
      </c>
      <c r="GO73" s="21">
        <f t="shared" si="81"/>
        <v>146.27638873134791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771</v>
      </c>
      <c r="GS73" s="12">
        <f>VLOOKUP(A73,'Données projet'!$A$269:$I$289,9,0)</f>
        <v>19.600000000000001</v>
      </c>
      <c r="GT73" s="12">
        <f t="array" ref="GT73">INDEX(GS:GS,MIN(IF(ISNUMBER(GS73:GS269),ROW(GS73:GS269),"")))</f>
        <v>19.600000000000001</v>
      </c>
      <c r="GU73" s="12">
        <f>IF('Données projet'!$A$270&gt;35,GU72+GT73-HC72,IF(A73&lt;'Données projet'!$A$270,$GR$205^A73,IF(A73='Données projet'!$A$270,'Données projet'!$B$270,GU72+GT73-HC72)))</f>
        <v>771</v>
      </c>
      <c r="GV73" s="17">
        <f>GU73*VLOOKUP('Données projet'!$B$18,Paramètres!$A$1:$I$89,3,0)*VLOOKUP('Données projet'!$B$18,Paramètres!$A$1:$I$89,5,0)</f>
        <v>370.851</v>
      </c>
      <c r="GW73" s="13">
        <f t="shared" si="105"/>
        <v>85.841382371189979</v>
      </c>
      <c r="GX73" s="20">
        <f t="shared" si="82"/>
        <v>795.40589929648911</v>
      </c>
      <c r="GY73" s="59">
        <f t="shared" si="83"/>
        <v>1088.7392326298225</v>
      </c>
      <c r="GZ73" s="59">
        <f ca="1">AVERAGE(OFFSET($GY$3,0,0,'Données projet'!$E$18+1,1))-AVERAGE(OFFSET($H$3,0,0,'Données projet'!$E$18+1,1))</f>
        <v>458.80976193248841</v>
      </c>
      <c r="HA73" s="59">
        <f t="shared" si="106"/>
        <v>396.07405370178759</v>
      </c>
      <c r="HB73" s="15">
        <f>IF(ISNA(VLOOKUP(A73,'Données projet'!$A$269:$I$289,3,0)),0,VLOOKUP(A73,'Données projet'!$A$269:$I$289,3,0))</f>
        <v>11</v>
      </c>
      <c r="HC73" s="15">
        <f>IF(ISNA(VLOOKUP(A73,'Données projet'!$A$269:$I$289,4,0)),0,VLOOKUP(A73,'Données projet'!$A$269:$I$289,4,0))</f>
        <v>54</v>
      </c>
      <c r="HD73" s="16">
        <f>IF(ISNA(VLOOKUP(A73,'Données projet'!$A$269:$I$289,5,0)),0%,VLOOKUP(A73,'Données projet'!$A$269:$I$289,5,0)*VLOOKUP('Données projet'!$B$18,Paramètres!$A$1:$I$89,7,0))</f>
        <v>0.55000000000000004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129.1046226028366</v>
      </c>
      <c r="HH73" s="21">
        <f>EXP(-LN(2)/25)*HH72+(1-EXP(-LN(2)/25))/(LN(2)/25)*Calculateur!HC73*Calculateur!HE73*VLOOKUP('Données projet'!$B$18,Paramètres!$A$1:$I$89,3,0)*0.475*44/12</f>
        <v>15.098794120010325</v>
      </c>
      <c r="HI73" s="21">
        <f>EXP(-LN(2)/2)*HI72+(1-EXP(-LN(2)/2))/(LN(2)/2)*HC73*HF73*VLOOKUP('Données projet'!$B$18,Paramètres!$A$1:$I$89,3,0)*0.475*44/12</f>
        <v>3.570700339205585E-7</v>
      </c>
      <c r="HJ73" s="22">
        <f t="shared" si="84"/>
        <v>144.20341707991696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740.13528187395309</v>
      </c>
      <c r="S74" s="59">
        <f ca="1">AVERAGE(OFFSET($R$3,0,0,'Données projet'!$E$9+1,1))-AVERAGE(OFFSET($H$3,0,0,'Données projet'!$E$9+1,1))</f>
        <v>364.3481978218424</v>
      </c>
      <c r="T74" s="59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51.390271615770821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51.390271615770821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636.99999999999977</v>
      </c>
      <c r="AJ74" s="13">
        <f>AI74*VLOOKUP('Données projet'!$B$10,Paramètres!$A$1:$I$89,3,0)*VLOOKUP('Données projet'!$B$10,Paramètres!$A$1:$I$89,5,0)</f>
        <v>356.08299999999991</v>
      </c>
      <c r="AK74" s="13">
        <f t="shared" si="89"/>
        <v>82.813805255716545</v>
      </c>
      <c r="AL74" s="20">
        <f t="shared" si="58"/>
        <v>764.41193582037283</v>
      </c>
      <c r="AM74" s="59">
        <f t="shared" si="59"/>
        <v>1057.7452691537062</v>
      </c>
      <c r="AN74" s="59">
        <f ca="1">AVERAGE(OFFSET($AM$3,0,0,'Données projet'!$E$10+1,1))-AVERAGE(OFFSET($H$3,0,0,'Données projet'!$E$10+1,1))</f>
        <v>443.34220761968419</v>
      </c>
      <c r="AO74" s="59">
        <f t="shared" si="90"/>
        <v>546.58234447298014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78.599761766649607</v>
      </c>
      <c r="AV74" s="21">
        <f>EXP(-LN(2)/25)*AV73+(1-EXP(-LN(2)/25))/(LN(2)/25)*Calculateur!AQ74*Calculateur!AS74*VLOOKUP('Données projet'!$B$10,Paramètres!$A$1:$I$89,3,0)*0.475*44/12</f>
        <v>7.0387260498241186</v>
      </c>
      <c r="AW74" s="21">
        <f>EXP(-LN(2)/2)*AW73+(1-EXP(-LN(2)/2))/(LN(2)/2)*AQ74*AT74*VLOOKUP('Données projet'!$B$10,Paramètres!$A$1:$I$89,3,0)*0.475*44/12</f>
        <v>4.0742831388871566E-6</v>
      </c>
      <c r="AX74" s="21">
        <f t="shared" si="60"/>
        <v>85.638491890756868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9.4</v>
      </c>
      <c r="BD74" s="12">
        <f>IF('Données projet'!$A$88&gt;35,BD73+BC74-BL73,IF(A74&lt;'Données projet'!$A$88,$BA$205^A74,IF(A74='Données projet'!$A$88,'Données projet'!$B$88,BD73+BC74-BL73)))</f>
        <v>297.39999999999992</v>
      </c>
      <c r="BE74" s="13">
        <f>BD74*VLOOKUP('Données projet'!$B$11,Paramètres!$A$1:$I$89,3,0)*VLOOKUP('Données projet'!$B$11,Paramètres!$A$1:$I$89,5,0)</f>
        <v>255.16919999999996</v>
      </c>
      <c r="BF74" s="13">
        <f t="shared" si="91"/>
        <v>61.691525331424884</v>
      </c>
      <c r="BG74" s="20">
        <f t="shared" si="61"/>
        <v>551.86576328556498</v>
      </c>
      <c r="BH74" s="59">
        <f t="shared" si="62"/>
        <v>845.19909661889824</v>
      </c>
      <c r="BI74" s="59">
        <f ca="1">AVERAGE(OFFSET($BH$3,0,0,'Données projet'!$E$11+1,1))-AVERAGE(OFFSET($H$3,0,0,'Données projet'!$E$11+1,1))</f>
        <v>447.15627913956871</v>
      </c>
      <c r="BJ74" s="59">
        <f t="shared" si="92"/>
        <v>256.77417912163997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80.086950954275366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80.086950954275366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5.8</v>
      </c>
      <c r="BY74" s="12">
        <f>IF('Données projet'!$A$114&gt;35,BY73+BX74-CG73,IF(A74&lt;'Données projet'!$A$114,$BV$205^A74,IF(A74='Données projet'!$A$114,'Données projet'!$B$114,BY73+BX74-CG73)))</f>
        <v>240.7999999999999</v>
      </c>
      <c r="BZ74" s="13">
        <f>BY74*VLOOKUP('Données projet'!$B$12,Paramètres!$A$1:$I$89,3,0)*VLOOKUP('Données projet'!$B$12,Paramètres!$A$1:$I$89,5,0)</f>
        <v>229.14527999999993</v>
      </c>
      <c r="CA74" s="13">
        <f t="shared" si="93"/>
        <v>56.097831057350788</v>
      </c>
      <c r="CB74" s="20">
        <f t="shared" si="64"/>
        <v>496.79841842488571</v>
      </c>
      <c r="CC74" s="59">
        <f t="shared" si="65"/>
        <v>790.13175175821902</v>
      </c>
      <c r="CD74" s="59">
        <f ca="1">AVERAGE(OFFSET($CC$3,0,0,'Données projet'!$E$12+1,1))-AVERAGE(OFFSET($H$3,0,0,'Données projet'!$E$12+1,1))</f>
        <v>448.94764480536713</v>
      </c>
      <c r="CE74" s="59">
        <f t="shared" si="94"/>
        <v>469.26760321719695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75.337832923647582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75.337832923647582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187.80389738728508</v>
      </c>
      <c r="CZ74" s="59">
        <f t="shared" si="96"/>
        <v>439.28159165815265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54.836092615345173</v>
      </c>
      <c r="DG74" s="21">
        <f>EXP(-LN(2)/25)*DG73+(1-EXP(-LN(2)/25))/(LN(2)/25)*Calculateur!DB74*Calculateur!DD74*VLOOKUP('Données projet'!$B$13,Paramètres!$A$1:$I$89,3,0)*0.475*44/12</f>
        <v>4.613052868834858</v>
      </c>
      <c r="DH74" s="21">
        <f>EXP(-LN(2)/2)*DH73+(1-EXP(-LN(2)/2))/(LN(2)/2)*DB74*DE74*VLOOKUP('Données projet'!$B$13,Paramètres!$A$1:$I$89,3,0)*0.475*44/12</f>
        <v>3.0320109691769427E-8</v>
      </c>
      <c r="DI74" s="22">
        <f t="shared" si="69"/>
        <v>59.449145514500138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255.00000000000006</v>
      </c>
      <c r="DP74" s="17">
        <f>DO74*VLOOKUP('Données projet'!$B$14,Paramètres!$A$1:$I$89,3,0)*VLOOKUP('Données projet'!$B$14,Paramètres!$A$1:$I$89,5,0)</f>
        <v>186.96600000000004</v>
      </c>
      <c r="DQ74" s="13">
        <f t="shared" si="97"/>
        <v>46.868551400324648</v>
      </c>
      <c r="DR74" s="20">
        <f t="shared" si="70"/>
        <v>407.26184368889881</v>
      </c>
      <c r="DS74" s="59">
        <f t="shared" si="71"/>
        <v>700.59517702223206</v>
      </c>
      <c r="DT74" s="59">
        <f ca="1">AVERAGE(OFFSET($DS$3,0,0,'Données projet'!$E$14+1,1))-AVERAGE(OFFSET($H$3,0,0,'Données projet'!$E$14+1,1))</f>
        <v>239.25212250019609</v>
      </c>
      <c r="DU74" s="59">
        <f t="shared" si="98"/>
        <v>213.58492101729695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12.4</v>
      </c>
      <c r="EJ74" s="12">
        <f>IF('Données projet'!$A$192&gt;35,EJ73+EI74-ER73,IF(A74&lt;'Données projet'!$A$192,$EG$205^A74,IF(A74='Données projet'!$A$192,'Données projet'!$B$192,EJ73+EI74-ER73)))</f>
        <v>643.40000000000009</v>
      </c>
      <c r="EK74" s="17">
        <f>EJ74*VLOOKUP('Données projet'!$B$15,Paramètres!$A$1:$I$89,3,0)*VLOOKUP('Données projet'!$B$15,Paramètres!$A$1:$I$89,5,0)</f>
        <v>384.75320000000011</v>
      </c>
      <c r="EL74" s="13">
        <f t="shared" si="99"/>
        <v>88.678654005282596</v>
      </c>
      <c r="EM74" s="20">
        <f t="shared" si="73"/>
        <v>824.5604790592007</v>
      </c>
      <c r="EN74" s="59">
        <f t="shared" si="74"/>
        <v>1117.8938123925341</v>
      </c>
      <c r="EO74" s="59">
        <f ca="1">AVERAGE(OFFSET($EN$3,0,0,'Données projet'!$E$15+1,1))-AVERAGE(OFFSET($H$3,0,0,'Données projet'!$E$15+1,1))</f>
        <v>504.81063008331739</v>
      </c>
      <c r="EP74" s="59">
        <f t="shared" si="100"/>
        <v>441.82647565372287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93.002599383306986</v>
      </c>
      <c r="EW74" s="21">
        <f>EXP(-LN(2)/25)*EW73+(1-EXP(-LN(2)/25))/(LN(2)/25)*Calculateur!ER74*Calculateur!ET74*VLOOKUP('Données projet'!$B$15,Paramètres!$A$1:$I$89,3,0)*0.475*44/12</f>
        <v>18.891784063428599</v>
      </c>
      <c r="EX74" s="21">
        <f>EXP(-LN(2)/2)*EX73+(1-EXP(-LN(2)/2))/(LN(2)/2)*ER74*EU74*VLOOKUP('Données projet'!$B$15,Paramètres!$A$1:$I$89,3,0)*0.475*44/12</f>
        <v>3.5312208514256703E-8</v>
      </c>
      <c r="EY74" s="22">
        <f t="shared" si="75"/>
        <v>111.8943834820478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11.4</v>
      </c>
      <c r="FE74" s="12">
        <f>IF('Données projet'!$A$218&gt;35,FE73+FD74-FM73,IF(A74&lt;'Données projet'!$A$218,$FB$205^A74,IF(A74='Données projet'!$A$218,'Données projet'!$B$218,FE73+FD74-FM73)))</f>
        <v>429.39999999999969</v>
      </c>
      <c r="FF74" s="17">
        <f>FE74*VLOOKUP('Données projet'!$B$16,Paramètres!$A$1:$I$89,3,0)*VLOOKUP('Données projet'!$B$16,Paramètres!$A$1:$I$89,5,0)</f>
        <v>245.61679999999984</v>
      </c>
      <c r="FG74" s="13">
        <f t="shared" si="101"/>
        <v>59.646380482774909</v>
      </c>
      <c r="FH74" s="20">
        <f t="shared" si="76"/>
        <v>531.66670600749933</v>
      </c>
      <c r="FI74" s="59">
        <f t="shared" si="77"/>
        <v>825.0000393408327</v>
      </c>
      <c r="FJ74" s="59">
        <f ca="1">AVERAGE(OFFSET($FI$3,0,0,'Données projet'!$E$16+1,1))-AVERAGE(OFFSET($H$3,0,0,'Données projet'!$E$16+1,1))</f>
        <v>393.41577134252316</v>
      </c>
      <c r="FK74" s="59">
        <f t="shared" si="102"/>
        <v>255.54039659391475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76.519925273077234</v>
      </c>
      <c r="FR74" s="21">
        <f>EXP(-LN(2)/25)*FR73+(1-EXP(-LN(2)/25))/(LN(2)/25)*Calculateur!FM74*Calculateur!FO74*VLOOKUP('Données projet'!$B$16,Paramètres!$A$1:$I$89,3,0)*0.475*44/12</f>
        <v>8.5734000782976008</v>
      </c>
      <c r="FS74" s="21">
        <f>EXP(-LN(2)/2)*FS73+(1-EXP(-LN(2)/2))/(LN(2)/2)*FM74*FP74*VLOOKUP('Données projet'!$B$16,Paramètres!$A$1:$I$89,3,0)*0.475*44/12</f>
        <v>2.4566267903714977E-7</v>
      </c>
      <c r="FT74" s="22">
        <f t="shared" si="78"/>
        <v>85.093325597037506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18</v>
      </c>
      <c r="FZ74" s="12">
        <f>IF('Données projet'!$A$244&gt;35,FZ73+FY74-GH73,IF(A74&lt;'Données projet'!$A$244,$FW$205^A74,IF(A74='Données projet'!$A$244,'Données projet'!$B$244,FZ73+FY74-GH73)))</f>
        <v>796</v>
      </c>
      <c r="GA74" s="17">
        <f>FZ74*VLOOKUP('Données projet'!$B$17,Paramètres!$A$1:$I$89,3,0)*VLOOKUP('Données projet'!$B$17,Paramètres!$A$1:$I$89,5,0)</f>
        <v>372.52800000000002</v>
      </c>
      <c r="GB74" s="13">
        <f t="shared" si="103"/>
        <v>86.184285854222622</v>
      </c>
      <c r="GC74" s="20">
        <f t="shared" si="79"/>
        <v>798.92389786277101</v>
      </c>
      <c r="GD74" s="59">
        <f t="shared" si="80"/>
        <v>1092.2572311961044</v>
      </c>
      <c r="GE74" s="59">
        <f ca="1">AVERAGE(OFFSET($GD$3,0,0,'Données projet'!$E$17+1,1))-AVERAGE(OFFSET($H$3,0,0,'Données projet'!$E$17+1,1))</f>
        <v>488.67934252295686</v>
      </c>
      <c r="GF74" s="59">
        <f t="shared" si="104"/>
        <v>424.50324471331095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127.56509038040257</v>
      </c>
      <c r="GM74" s="21">
        <f>EXP(-LN(2)/25)*GM73+(1-EXP(-LN(2)/25))/(LN(2)/25)*Calculateur!GH74*Calculateur!GJ74*VLOOKUP('Données projet'!$B$17,Paramètres!$A$1:$I$89,3,0)*0.475*44/12</f>
        <v>15.717900143545606</v>
      </c>
      <c r="GN74" s="21">
        <f>EXP(-LN(2)/2)*GN73+(1-EXP(-LN(2)/2))/(LN(2)/2)*GH74*GK74*VLOOKUP('Données projet'!$B$17,Paramètres!$A$1:$I$89,3,0)*0.475*44/12</f>
        <v>5.4715778512819706E-7</v>
      </c>
      <c r="GO74" s="21">
        <f t="shared" si="81"/>
        <v>143.28299107110595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17.8</v>
      </c>
      <c r="GU74" s="12">
        <f>IF('Données projet'!$A$270&gt;35,GU73+GT74-HC73,IF(A74&lt;'Données projet'!$A$270,$GR$205^A74,IF(A74='Données projet'!$A$270,'Données projet'!$B$270,GU73+GT74-HC73)))</f>
        <v>734.8</v>
      </c>
      <c r="GV74" s="17">
        <f>GU74*VLOOKUP('Données projet'!$B$18,Paramètres!$A$1:$I$89,3,0)*VLOOKUP('Données projet'!$B$18,Paramètres!$A$1:$I$89,5,0)</f>
        <v>353.43879999999996</v>
      </c>
      <c r="GW74" s="13">
        <f t="shared" si="105"/>
        <v>82.27019244522819</v>
      </c>
      <c r="GX74" s="20">
        <f t="shared" si="82"/>
        <v>758.85982850877235</v>
      </c>
      <c r="GY74" s="59">
        <f t="shared" si="83"/>
        <v>1052.1931618421056</v>
      </c>
      <c r="GZ74" s="59">
        <f ca="1">AVERAGE(OFFSET($GY$3,0,0,'Données projet'!$E$18+1,1))-AVERAGE(OFFSET($H$3,0,0,'Données projet'!$E$18+1,1))</f>
        <v>458.80976193248841</v>
      </c>
      <c r="HA74" s="59">
        <f t="shared" si="106"/>
        <v>396.07405370178759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126.57295969963924</v>
      </c>
      <c r="HH74" s="21">
        <f>EXP(-LN(2)/25)*HH73+(1-EXP(-LN(2)/25))/(LN(2)/25)*Calculateur!HC74*Calculateur!HE74*VLOOKUP('Données projet'!$B$18,Paramètres!$A$1:$I$89,3,0)*0.475*44/12</f>
        <v>14.685916800787568</v>
      </c>
      <c r="HI74" s="21">
        <f>EXP(-LN(2)/2)*HI73+(1-EXP(-LN(2)/2))/(LN(2)/2)*HC74*HF74*VLOOKUP('Données projet'!$B$18,Paramètres!$A$1:$I$89,3,0)*0.475*44/12</f>
        <v>2.5248664234373746E-7</v>
      </c>
      <c r="HJ74" s="22">
        <f t="shared" si="84"/>
        <v>141.25887675291347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752.04261652954642</v>
      </c>
      <c r="S75" s="59">
        <f ca="1">AVERAGE(OFFSET($R$3,0,0,'Données projet'!$E$9+1,1))-AVERAGE(OFFSET($H$3,0,0,'Données projet'!$E$9+1,1))</f>
        <v>364.3481978218424</v>
      </c>
      <c r="T75" s="59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50.382539734356179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50.382539734356179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636.99999999999977</v>
      </c>
      <c r="AJ75" s="13">
        <f>AI75*VLOOKUP('Données projet'!$B$10,Paramètres!$A$1:$I$89,3,0)*VLOOKUP('Données projet'!$B$10,Paramètres!$A$1:$I$89,5,0)</f>
        <v>356.08299999999991</v>
      </c>
      <c r="AK75" s="13">
        <f t="shared" si="89"/>
        <v>82.813805255716545</v>
      </c>
      <c r="AL75" s="20">
        <f t="shared" si="58"/>
        <v>764.41193582037283</v>
      </c>
      <c r="AM75" s="59">
        <f t="shared" si="59"/>
        <v>1057.7452691537062</v>
      </c>
      <c r="AN75" s="59">
        <f ca="1">AVERAGE(OFFSET($AM$3,0,0,'Données projet'!$E$10+1,1))-AVERAGE(OFFSET($H$3,0,0,'Données projet'!$E$10+1,1))</f>
        <v>443.34220761968419</v>
      </c>
      <c r="AO75" s="59">
        <f t="shared" si="90"/>
        <v>546.58234447298014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77.058468379526488</v>
      </c>
      <c r="AV75" s="21">
        <f>EXP(-LN(2)/25)*AV74+(1-EXP(-LN(2)/25))/(LN(2)/25)*Calculateur!AQ75*Calculateur!AS75*VLOOKUP('Données projet'!$B$10,Paramètres!$A$1:$I$89,3,0)*0.475*44/12</f>
        <v>6.846251715841162</v>
      </c>
      <c r="AW75" s="21">
        <f>EXP(-LN(2)/2)*AW74+(1-EXP(-LN(2)/2))/(LN(2)/2)*AQ75*AT75*VLOOKUP('Données projet'!$B$10,Paramètres!$A$1:$I$89,3,0)*0.475*44/12</f>
        <v>2.8809532359811207E-6</v>
      </c>
      <c r="AX75" s="21">
        <f t="shared" si="60"/>
        <v>83.904722976320883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9.4</v>
      </c>
      <c r="BD75" s="12">
        <f>IF('Données projet'!$A$88&gt;35,BD74+BC75-BL74,IF(A75&lt;'Données projet'!$A$88,$BA$205^A75,IF(A75='Données projet'!$A$88,'Données projet'!$B$88,BD74+BC75-BL74)))</f>
        <v>306.7999999999999</v>
      </c>
      <c r="BE75" s="13">
        <f>BD75*VLOOKUP('Données projet'!$B$11,Paramètres!$A$1:$I$89,3,0)*VLOOKUP('Données projet'!$B$11,Paramètres!$A$1:$I$89,5,0)</f>
        <v>263.23439999999994</v>
      </c>
      <c r="BF75" s="13">
        <f t="shared" si="91"/>
        <v>63.411324464279403</v>
      </c>
      <c r="BG75" s="20">
        <f t="shared" si="61"/>
        <v>568.90797010861979</v>
      </c>
      <c r="BH75" s="59">
        <f t="shared" si="62"/>
        <v>862.24130344195305</v>
      </c>
      <c r="BI75" s="59">
        <f ca="1">AVERAGE(OFFSET($BH$3,0,0,'Données projet'!$E$11+1,1))-AVERAGE(OFFSET($H$3,0,0,'Données projet'!$E$11+1,1))</f>
        <v>447.15627913956871</v>
      </c>
      <c r="BJ75" s="59">
        <f t="shared" si="92"/>
        <v>256.77417912163997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78.516494694278748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78.516494694278748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5.8</v>
      </c>
      <c r="BY75" s="12">
        <f>IF('Données projet'!$A$114&gt;35,BY74+BX75-CG74,IF(A75&lt;'Données projet'!$A$114,$BV$205^A75,IF(A75='Données projet'!$A$114,'Données projet'!$B$114,BY74+BX75-CG74)))</f>
        <v>246.59999999999991</v>
      </c>
      <c r="BZ75" s="13">
        <f>BY75*VLOOKUP('Données projet'!$B$12,Paramètres!$A$1:$I$89,3,0)*VLOOKUP('Données projet'!$B$12,Paramètres!$A$1:$I$89,5,0)</f>
        <v>234.66455999999991</v>
      </c>
      <c r="CA75" s="13">
        <f t="shared" si="93"/>
        <v>57.290086878049593</v>
      </c>
      <c r="CB75" s="20">
        <f t="shared" si="64"/>
        <v>508.48767664593629</v>
      </c>
      <c r="CC75" s="59">
        <f t="shared" si="65"/>
        <v>801.82100997926955</v>
      </c>
      <c r="CD75" s="59">
        <f ca="1">AVERAGE(OFFSET($CC$3,0,0,'Données projet'!$E$12+1,1))-AVERAGE(OFFSET($H$3,0,0,'Données projet'!$E$12+1,1))</f>
        <v>448.94764480536713</v>
      </c>
      <c r="CE75" s="59">
        <f t="shared" si="94"/>
        <v>469.26760321719695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73.860503971555602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73.860503971555602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187.80389738728508</v>
      </c>
      <c r="CZ75" s="59">
        <f t="shared" si="96"/>
        <v>439.28159165815265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53.760790285872162</v>
      </c>
      <c r="DG75" s="21">
        <f>EXP(-LN(2)/25)*DG74+(1-EXP(-LN(2)/25))/(LN(2)/25)*Calculateur!DB75*Calculateur!DD75*VLOOKUP('Données projet'!$B$13,Paramètres!$A$1:$I$89,3,0)*0.475*44/12</f>
        <v>4.4869086955466617</v>
      </c>
      <c r="DH75" s="21">
        <f>EXP(-LN(2)/2)*DH74+(1-EXP(-LN(2)/2))/(LN(2)/2)*DB75*DE75*VLOOKUP('Données projet'!$B$13,Paramètres!$A$1:$I$89,3,0)*0.475*44/12</f>
        <v>2.1439555169370123E-8</v>
      </c>
      <c r="DI75" s="22">
        <f t="shared" si="69"/>
        <v>58.247699002858376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255.00000000000006</v>
      </c>
      <c r="DP75" s="17">
        <f>DO75*VLOOKUP('Données projet'!$B$14,Paramètres!$A$1:$I$89,3,0)*VLOOKUP('Données projet'!$B$14,Paramètres!$A$1:$I$89,5,0)</f>
        <v>186.96600000000004</v>
      </c>
      <c r="DQ75" s="13">
        <f t="shared" si="97"/>
        <v>46.868551400324648</v>
      </c>
      <c r="DR75" s="20">
        <f t="shared" si="70"/>
        <v>407.26184368889881</v>
      </c>
      <c r="DS75" s="59">
        <f t="shared" si="71"/>
        <v>700.59517702223206</v>
      </c>
      <c r="DT75" s="59">
        <f ca="1">AVERAGE(OFFSET($DS$3,0,0,'Données projet'!$E$14+1,1))-AVERAGE(OFFSET($H$3,0,0,'Données projet'!$E$14+1,1))</f>
        <v>239.25212250019609</v>
      </c>
      <c r="DU75" s="59">
        <f t="shared" si="98"/>
        <v>213.58492101729695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12.4</v>
      </c>
      <c r="EJ75" s="12">
        <f>IF('Données projet'!$A$192&gt;35,EJ74+EI75-ER74,IF(A75&lt;'Données projet'!$A$192,$EG$205^A75,IF(A75='Données projet'!$A$192,'Données projet'!$B$192,EJ74+EI75-ER74)))</f>
        <v>655.80000000000007</v>
      </c>
      <c r="EK75" s="17">
        <f>EJ75*VLOOKUP('Données projet'!$B$15,Paramètres!$A$1:$I$89,3,0)*VLOOKUP('Données projet'!$B$15,Paramètres!$A$1:$I$89,5,0)</f>
        <v>392.16840000000008</v>
      </c>
      <c r="EL75" s="13">
        <f t="shared" si="99"/>
        <v>90.187105966373196</v>
      </c>
      <c r="EM75" s="20">
        <f t="shared" si="73"/>
        <v>840.10250622476667</v>
      </c>
      <c r="EN75" s="59">
        <f t="shared" si="74"/>
        <v>1133.4358395581</v>
      </c>
      <c r="EO75" s="59">
        <f ca="1">AVERAGE(OFFSET($EN$3,0,0,'Données projet'!$E$15+1,1))-AVERAGE(OFFSET($H$3,0,0,'Données projet'!$E$15+1,1))</f>
        <v>504.81063008331739</v>
      </c>
      <c r="EP75" s="59">
        <f t="shared" si="100"/>
        <v>441.82647565372287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91.178875135384729</v>
      </c>
      <c r="EW75" s="21">
        <f>EXP(-LN(2)/25)*EW74+(1-EXP(-LN(2)/25))/(LN(2)/25)*Calculateur!ER75*Calculateur!ET75*VLOOKUP('Données projet'!$B$15,Paramètres!$A$1:$I$89,3,0)*0.475*44/12</f>
        <v>18.375187234738398</v>
      </c>
      <c r="EX75" s="21">
        <f>EXP(-LN(2)/2)*EX74+(1-EXP(-LN(2)/2))/(LN(2)/2)*ER75*EU75*VLOOKUP('Données projet'!$B$15,Paramètres!$A$1:$I$89,3,0)*0.475*44/12</f>
        <v>2.4969502099104256E-8</v>
      </c>
      <c r="EY75" s="22">
        <f t="shared" si="75"/>
        <v>109.55406239509263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11.4</v>
      </c>
      <c r="FE75" s="12">
        <f>IF('Données projet'!$A$218&gt;35,FE74+FD75-FM74,IF(A75&lt;'Données projet'!$A$218,$FB$205^A75,IF(A75='Données projet'!$A$218,'Données projet'!$B$218,FE74+FD75-FM74)))</f>
        <v>440.79999999999967</v>
      </c>
      <c r="FF75" s="17">
        <f>FE75*VLOOKUP('Données projet'!$B$16,Paramètres!$A$1:$I$89,3,0)*VLOOKUP('Données projet'!$B$16,Paramètres!$A$1:$I$89,5,0)</f>
        <v>252.13759999999982</v>
      </c>
      <c r="FG75" s="13">
        <f t="shared" si="101"/>
        <v>61.043448657490721</v>
      </c>
      <c r="FH75" s="20">
        <f t="shared" si="76"/>
        <v>545.45699307846269</v>
      </c>
      <c r="FI75" s="59">
        <f t="shared" si="77"/>
        <v>838.79032641179606</v>
      </c>
      <c r="FJ75" s="59">
        <f ca="1">AVERAGE(OFFSET($FI$3,0,0,'Données projet'!$E$16+1,1))-AVERAGE(OFFSET($H$3,0,0,'Données projet'!$E$16+1,1))</f>
        <v>393.41577134252316</v>
      </c>
      <c r="FK75" s="59">
        <f t="shared" si="102"/>
        <v>255.54039659391475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75.019416211018068</v>
      </c>
      <c r="FR75" s="21">
        <f>EXP(-LN(2)/25)*FR74+(1-EXP(-LN(2)/25))/(LN(2)/25)*Calculateur!FM75*Calculateur!FO75*VLOOKUP('Données projet'!$B$16,Paramètres!$A$1:$I$89,3,0)*0.475*44/12</f>
        <v>8.3389600023010377</v>
      </c>
      <c r="FS75" s="21">
        <f>EXP(-LN(2)/2)*FS74+(1-EXP(-LN(2)/2))/(LN(2)/2)*FM75*FP75*VLOOKUP('Données projet'!$B$16,Paramètres!$A$1:$I$89,3,0)*0.475*44/12</f>
        <v>1.7370974623162292E-7</v>
      </c>
      <c r="FT75" s="22">
        <f t="shared" si="78"/>
        <v>83.358376387028855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18</v>
      </c>
      <c r="FZ75" s="12">
        <f>IF('Données projet'!$A$244&gt;35,FZ74+FY75-GH74,IF(A75&lt;'Données projet'!$A$244,$FW$205^A75,IF(A75='Données projet'!$A$244,'Données projet'!$B$244,FZ74+FY75-GH74)))</f>
        <v>814</v>
      </c>
      <c r="GA75" s="17">
        <f>FZ75*VLOOKUP('Données projet'!$B$17,Paramètres!$A$1:$I$89,3,0)*VLOOKUP('Données projet'!$B$17,Paramètres!$A$1:$I$89,5,0)</f>
        <v>380.95199999999994</v>
      </c>
      <c r="GB75" s="13">
        <f t="shared" si="103"/>
        <v>87.904078344580199</v>
      </c>
      <c r="GC75" s="20">
        <f t="shared" si="79"/>
        <v>816.5910031168105</v>
      </c>
      <c r="GD75" s="59">
        <f t="shared" si="80"/>
        <v>1109.9243364501438</v>
      </c>
      <c r="GE75" s="59">
        <f ca="1">AVERAGE(OFFSET($GD$3,0,0,'Données projet'!$E$17+1,1))-AVERAGE(OFFSET($H$3,0,0,'Données projet'!$E$17+1,1))</f>
        <v>488.67934252295686</v>
      </c>
      <c r="GF75" s="59">
        <f t="shared" si="104"/>
        <v>424.50324471331095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125.06361676506519</v>
      </c>
      <c r="GM75" s="21">
        <f>EXP(-LN(2)/25)*GM74+(1-EXP(-LN(2)/25))/(LN(2)/25)*Calculateur!GH75*Calculateur!GJ75*VLOOKUP('Données projet'!$B$17,Paramètres!$A$1:$I$89,3,0)*0.475*44/12</f>
        <v>15.288093337551906</v>
      </c>
      <c r="GN75" s="21">
        <f>EXP(-LN(2)/2)*GN74+(1-EXP(-LN(2)/2))/(LN(2)/2)*GH75*GK75*VLOOKUP('Données projet'!$B$17,Paramètres!$A$1:$I$89,3,0)*0.475*44/12</f>
        <v>3.8689898024316003E-7</v>
      </c>
      <c r="GO75" s="21">
        <f t="shared" si="81"/>
        <v>140.35171048951608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17.8</v>
      </c>
      <c r="GU75" s="12">
        <f>IF('Données projet'!$A$270&gt;35,GU74+GT75-HC74,IF(A75&lt;'Données projet'!$A$270,$GR$205^A75,IF(A75='Données projet'!$A$270,'Données projet'!$B$270,GU74+GT75-HC74)))</f>
        <v>752.59999999999991</v>
      </c>
      <c r="GV75" s="17">
        <f>GU75*VLOOKUP('Données projet'!$B$18,Paramètres!$A$1:$I$89,3,0)*VLOOKUP('Données projet'!$B$18,Paramètres!$A$1:$I$89,5,0)</f>
        <v>362.00060000000002</v>
      </c>
      <c r="GW75" s="13">
        <f t="shared" si="105"/>
        <v>84.028690163870522</v>
      </c>
      <c r="GX75" s="20">
        <f t="shared" si="82"/>
        <v>776.83434703540786</v>
      </c>
      <c r="GY75" s="59">
        <f t="shared" si="83"/>
        <v>1070.1676803687412</v>
      </c>
      <c r="GZ75" s="59">
        <f ca="1">AVERAGE(OFFSET($GY$3,0,0,'Données projet'!$E$18+1,1))-AVERAGE(OFFSET($H$3,0,0,'Données projet'!$E$18+1,1))</f>
        <v>458.80976193248841</v>
      </c>
      <c r="HA75" s="59">
        <f t="shared" si="106"/>
        <v>396.07405370178759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124.09094116181168</v>
      </c>
      <c r="HH75" s="21">
        <f>EXP(-LN(2)/25)*HH74+(1-EXP(-LN(2)/25))/(LN(2)/25)*Calculateur!HC75*Calculateur!HE75*VLOOKUP('Données projet'!$B$18,Paramètres!$A$1:$I$89,3,0)*0.475*44/12</f>
        <v>14.284329633571232</v>
      </c>
      <c r="HI75" s="21">
        <f>EXP(-LN(2)/2)*HI74+(1-EXP(-LN(2)/2))/(LN(2)/2)*HC75*HF75*VLOOKUP('Données projet'!$B$18,Paramètres!$A$1:$I$89,3,0)*0.475*44/12</f>
        <v>1.7853501696027925E-7</v>
      </c>
      <c r="HJ75" s="22">
        <f t="shared" si="84"/>
        <v>138.37527097391791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763.94335289202218</v>
      </c>
      <c r="S76" s="59">
        <f ca="1">AVERAGE(OFFSET($R$3,0,0,'Données projet'!$E$9+1,1))-AVERAGE(OFFSET($H$3,0,0,'Données projet'!$E$9+1,1))</f>
        <v>364.3481978218424</v>
      </c>
      <c r="T76" s="59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49.394568860480327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49.394568860480327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636.99999999999977</v>
      </c>
      <c r="AJ76" s="13">
        <f>AI76*VLOOKUP('Données projet'!$B$10,Paramètres!$A$1:$I$89,3,0)*VLOOKUP('Données projet'!$B$10,Paramètres!$A$1:$I$89,5,0)</f>
        <v>356.08299999999991</v>
      </c>
      <c r="AK76" s="13">
        <f t="shared" si="89"/>
        <v>82.813805255716545</v>
      </c>
      <c r="AL76" s="20">
        <f t="shared" si="58"/>
        <v>764.41193582037283</v>
      </c>
      <c r="AM76" s="59">
        <f t="shared" si="59"/>
        <v>1057.7452691537062</v>
      </c>
      <c r="AN76" s="59">
        <f ca="1">AVERAGE(OFFSET($AM$3,0,0,'Données projet'!$E$10+1,1))-AVERAGE(OFFSET($H$3,0,0,'Données projet'!$E$10+1,1))</f>
        <v>443.34220761968419</v>
      </c>
      <c r="AO76" s="59">
        <f t="shared" si="90"/>
        <v>546.58234447298014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75.547398815628725</v>
      </c>
      <c r="AV76" s="21">
        <f>EXP(-LN(2)/25)*AV75+(1-EXP(-LN(2)/25))/(LN(2)/25)*Calculateur!AQ76*Calculateur!AS76*VLOOKUP('Données projet'!$B$10,Paramètres!$A$1:$I$89,3,0)*0.475*44/12</f>
        <v>6.6590406026427553</v>
      </c>
      <c r="AW76" s="21">
        <f>EXP(-LN(2)/2)*AW75+(1-EXP(-LN(2)/2))/(LN(2)/2)*AQ76*AT76*VLOOKUP('Données projet'!$B$10,Paramètres!$A$1:$I$89,3,0)*0.475*44/12</f>
        <v>2.0371415694435783E-6</v>
      </c>
      <c r="AX76" s="21">
        <f t="shared" si="60"/>
        <v>82.206441455413056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9.4</v>
      </c>
      <c r="BD76" s="12">
        <f>IF('Données projet'!$A$88&gt;35,BD75+BC76-BL75,IF(A76&lt;'Données projet'!$A$88,$BA$205^A76,IF(A76='Données projet'!$A$88,'Données projet'!$B$88,BD75+BC76-BL75)))</f>
        <v>316.19999999999987</v>
      </c>
      <c r="BE76" s="13">
        <f>BD76*VLOOKUP('Données projet'!$B$11,Paramètres!$A$1:$I$89,3,0)*VLOOKUP('Données projet'!$B$11,Paramètres!$A$1:$I$89,5,0)</f>
        <v>271.29959999999994</v>
      </c>
      <c r="BF76" s="13">
        <f t="shared" si="91"/>
        <v>65.125000081857877</v>
      </c>
      <c r="BG76" s="20">
        <f t="shared" si="61"/>
        <v>585.93951180923568</v>
      </c>
      <c r="BH76" s="59">
        <f t="shared" si="62"/>
        <v>879.27284514256894</v>
      </c>
      <c r="BI76" s="59">
        <f ca="1">AVERAGE(OFFSET($BH$3,0,0,'Données projet'!$E$11+1,1))-AVERAGE(OFFSET($H$3,0,0,'Données projet'!$E$11+1,1))</f>
        <v>447.15627913956871</v>
      </c>
      <c r="BJ76" s="59">
        <f t="shared" si="92"/>
        <v>256.77417912163997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76.976834123656928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76.976834123656928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5.8</v>
      </c>
      <c r="BY76" s="12">
        <f>IF('Données projet'!$A$114&gt;35,BY75+BX76-CG75,IF(A76&lt;'Données projet'!$A$114,$BV$205^A76,IF(A76='Données projet'!$A$114,'Données projet'!$B$114,BY75+BX76-CG75)))</f>
        <v>252.39999999999992</v>
      </c>
      <c r="BZ76" s="13">
        <f>BY76*VLOOKUP('Données projet'!$B$12,Paramètres!$A$1:$I$89,3,0)*VLOOKUP('Données projet'!$B$12,Paramètres!$A$1:$I$89,5,0)</f>
        <v>240.18383999999992</v>
      </c>
      <c r="CA76" s="13">
        <f t="shared" si="93"/>
        <v>58.479082790905672</v>
      </c>
      <c r="CB76" s="20">
        <f t="shared" si="64"/>
        <v>520.1712571941606</v>
      </c>
      <c r="CC76" s="59">
        <f t="shared" si="65"/>
        <v>813.50459052749397</v>
      </c>
      <c r="CD76" s="59">
        <f ca="1">AVERAGE(OFFSET($CC$3,0,0,'Données projet'!$E$12+1,1))-AVERAGE(OFFSET($H$3,0,0,'Données projet'!$E$12+1,1))</f>
        <v>448.94764480536713</v>
      </c>
      <c r="CE76" s="59">
        <f t="shared" si="94"/>
        <v>469.26760321719695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72.412144539132456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72.412144539132456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187.80389738728508</v>
      </c>
      <c r="CZ76" s="59">
        <f t="shared" si="96"/>
        <v>439.28159165815265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52.706573979210454</v>
      </c>
      <c r="DG76" s="21">
        <f>EXP(-LN(2)/25)*DG75+(1-EXP(-LN(2)/25))/(LN(2)/25)*Calculateur!DB76*Calculateur!DD76*VLOOKUP('Données projet'!$B$13,Paramètres!$A$1:$I$89,3,0)*0.475*44/12</f>
        <v>4.3642139413106653</v>
      </c>
      <c r="DH76" s="21">
        <f>EXP(-LN(2)/2)*DH75+(1-EXP(-LN(2)/2))/(LN(2)/2)*DB76*DE76*VLOOKUP('Données projet'!$B$13,Paramètres!$A$1:$I$89,3,0)*0.475*44/12</f>
        <v>1.5160054845884713E-8</v>
      </c>
      <c r="DI76" s="22">
        <f t="shared" si="69"/>
        <v>57.070787935681174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255.00000000000006</v>
      </c>
      <c r="DP76" s="17">
        <f>DO76*VLOOKUP('Données projet'!$B$14,Paramètres!$A$1:$I$89,3,0)*VLOOKUP('Données projet'!$B$14,Paramètres!$A$1:$I$89,5,0)</f>
        <v>186.96600000000004</v>
      </c>
      <c r="DQ76" s="13">
        <f t="shared" si="97"/>
        <v>46.868551400324648</v>
      </c>
      <c r="DR76" s="20">
        <f t="shared" si="70"/>
        <v>407.26184368889881</v>
      </c>
      <c r="DS76" s="59">
        <f t="shared" si="71"/>
        <v>700.59517702223206</v>
      </c>
      <c r="DT76" s="59">
        <f ca="1">AVERAGE(OFFSET($DS$3,0,0,'Données projet'!$E$14+1,1))-AVERAGE(OFFSET($H$3,0,0,'Données projet'!$E$14+1,1))</f>
        <v>239.25212250019609</v>
      </c>
      <c r="DU76" s="59">
        <f t="shared" si="98"/>
        <v>213.58492101729695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12.4</v>
      </c>
      <c r="EJ76" s="12">
        <f>IF('Données projet'!$A$192&gt;35,EJ75+EI76-ER75,IF(A76&lt;'Données projet'!$A$192,$EG$205^A76,IF(A76='Données projet'!$A$192,'Données projet'!$B$192,EJ75+EI76-ER75)))</f>
        <v>668.2</v>
      </c>
      <c r="EK76" s="17">
        <f>EJ76*VLOOKUP('Données projet'!$B$15,Paramètres!$A$1:$I$89,3,0)*VLOOKUP('Données projet'!$B$15,Paramètres!$A$1:$I$89,5,0)</f>
        <v>399.58360000000005</v>
      </c>
      <c r="EL76" s="13">
        <f t="shared" si="99"/>
        <v>91.692241394947928</v>
      </c>
      <c r="EM76" s="20">
        <f t="shared" si="73"/>
        <v>855.63875709620106</v>
      </c>
      <c r="EN76" s="59">
        <f t="shared" si="74"/>
        <v>1148.9720904295343</v>
      </c>
      <c r="EO76" s="59">
        <f ca="1">AVERAGE(OFFSET($EN$3,0,0,'Données projet'!$E$15+1,1))-AVERAGE(OFFSET($H$3,0,0,'Données projet'!$E$15+1,1))</f>
        <v>504.81063008331739</v>
      </c>
      <c r="EP76" s="59">
        <f t="shared" si="100"/>
        <v>441.82647565372287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89.390913007602279</v>
      </c>
      <c r="EW76" s="21">
        <f>EXP(-LN(2)/25)*EW75+(1-EXP(-LN(2)/25))/(LN(2)/25)*Calculateur!ER76*Calculateur!ET76*VLOOKUP('Données projet'!$B$15,Paramètres!$A$1:$I$89,3,0)*0.475*44/12</f>
        <v>17.872716773495377</v>
      </c>
      <c r="EX76" s="21">
        <f>EXP(-LN(2)/2)*EX75+(1-EXP(-LN(2)/2))/(LN(2)/2)*ER76*EU76*VLOOKUP('Données projet'!$B$15,Paramètres!$A$1:$I$89,3,0)*0.475*44/12</f>
        <v>1.7656104257128352E-8</v>
      </c>
      <c r="EY76" s="22">
        <f t="shared" si="75"/>
        <v>107.26362979875375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11.4</v>
      </c>
      <c r="FE76" s="12">
        <f>IF('Données projet'!$A$218&gt;35,FE75+FD76-FM75,IF(A76&lt;'Données projet'!$A$218,$FB$205^A76,IF(A76='Données projet'!$A$218,'Données projet'!$B$218,FE75+FD76-FM75)))</f>
        <v>452.19999999999965</v>
      </c>
      <c r="FF76" s="17">
        <f>FE76*VLOOKUP('Données projet'!$B$16,Paramètres!$A$1:$I$89,3,0)*VLOOKUP('Données projet'!$B$16,Paramètres!$A$1:$I$89,5,0)</f>
        <v>258.6583999999998</v>
      </c>
      <c r="FG76" s="13">
        <f t="shared" si="101"/>
        <v>62.436317004388385</v>
      </c>
      <c r="FH76" s="20">
        <f t="shared" si="76"/>
        <v>559.23996544930947</v>
      </c>
      <c r="FI76" s="59">
        <f t="shared" si="77"/>
        <v>852.57329878264272</v>
      </c>
      <c r="FJ76" s="59">
        <f ca="1">AVERAGE(OFFSET($FI$3,0,0,'Données projet'!$E$16+1,1))-AVERAGE(OFFSET($H$3,0,0,'Données projet'!$E$16+1,1))</f>
        <v>393.41577134252316</v>
      </c>
      <c r="FK76" s="59">
        <f t="shared" si="102"/>
        <v>255.54039659391475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73.548331216445732</v>
      </c>
      <c r="FR76" s="21">
        <f>EXP(-LN(2)/25)*FR75+(1-EXP(-LN(2)/25))/(LN(2)/25)*Calculateur!FM76*Calculateur!FO76*VLOOKUP('Données projet'!$B$16,Paramètres!$A$1:$I$89,3,0)*0.475*44/12</f>
        <v>8.1109307025112685</v>
      </c>
      <c r="FS76" s="21">
        <f>EXP(-LN(2)/2)*FS75+(1-EXP(-LN(2)/2))/(LN(2)/2)*FM76*FP76*VLOOKUP('Données projet'!$B$16,Paramètres!$A$1:$I$89,3,0)*0.475*44/12</f>
        <v>1.2283133951857489E-7</v>
      </c>
      <c r="FT76" s="22">
        <f t="shared" si="78"/>
        <v>81.659262041788338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18</v>
      </c>
      <c r="FZ76" s="12">
        <f>IF('Données projet'!$A$244&gt;35,FZ75+FY76-GH75,IF(A76&lt;'Données projet'!$A$244,$FW$205^A76,IF(A76='Données projet'!$A$244,'Données projet'!$B$244,FZ75+FY76-GH75)))</f>
        <v>832</v>
      </c>
      <c r="GA76" s="17">
        <f>FZ76*VLOOKUP('Données projet'!$B$17,Paramètres!$A$1:$I$89,3,0)*VLOOKUP('Données projet'!$B$17,Paramètres!$A$1:$I$89,5,0)</f>
        <v>389.37599999999998</v>
      </c>
      <c r="GB76" s="13">
        <f t="shared" si="103"/>
        <v>89.619449476412427</v>
      </c>
      <c r="GC76" s="20">
        <f t="shared" si="79"/>
        <v>834.25040783808493</v>
      </c>
      <c r="GD76" s="59">
        <f t="shared" si="80"/>
        <v>1127.5837411714183</v>
      </c>
      <c r="GE76" s="59">
        <f ca="1">AVERAGE(OFFSET($GD$3,0,0,'Données projet'!$E$17+1,1))-AVERAGE(OFFSET($H$3,0,0,'Données projet'!$E$17+1,1))</f>
        <v>488.67934252295686</v>
      </c>
      <c r="GF76" s="59">
        <f t="shared" si="104"/>
        <v>424.50324471331095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122.61119552157633</v>
      </c>
      <c r="GM76" s="21">
        <f>EXP(-LN(2)/25)*GM75+(1-EXP(-LN(2)/25))/(LN(2)/25)*Calculateur!GH76*Calculateur!GJ76*VLOOKUP('Données projet'!$B$17,Paramètres!$A$1:$I$89,3,0)*0.475*44/12</f>
        <v>14.870039621270662</v>
      </c>
      <c r="GN76" s="21">
        <f>EXP(-LN(2)/2)*GN75+(1-EXP(-LN(2)/2))/(LN(2)/2)*GH76*GK76*VLOOKUP('Données projet'!$B$17,Paramètres!$A$1:$I$89,3,0)*0.475*44/12</f>
        <v>2.7357889256409853E-7</v>
      </c>
      <c r="GO76" s="21">
        <f t="shared" si="81"/>
        <v>137.4812354164259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17.8</v>
      </c>
      <c r="GU76" s="12">
        <f>IF('Données projet'!$A$270&gt;35,GU75+GT76-HC75,IF(A76&lt;'Données projet'!$A$270,$GR$205^A76,IF(A76='Données projet'!$A$270,'Données projet'!$B$270,GU75+GT76-HC75)))</f>
        <v>770.39999999999986</v>
      </c>
      <c r="GV76" s="17">
        <f>GU76*VLOOKUP('Données projet'!$B$18,Paramètres!$A$1:$I$89,3,0)*VLOOKUP('Données projet'!$B$18,Paramètres!$A$1:$I$89,5,0)</f>
        <v>370.56239999999997</v>
      </c>
      <c r="GW76" s="13">
        <f t="shared" si="105"/>
        <v>85.782352891175535</v>
      </c>
      <c r="GX76" s="20">
        <f t="shared" si="82"/>
        <v>794.80044461879731</v>
      </c>
      <c r="GY76" s="59">
        <f t="shared" si="83"/>
        <v>1088.1337779521307</v>
      </c>
      <c r="GZ76" s="59">
        <f ca="1">AVERAGE(OFFSET($GY$3,0,0,'Données projet'!$E$18+1,1))-AVERAGE(OFFSET($H$3,0,0,'Données projet'!$E$18+1,1))</f>
        <v>458.80976193248841</v>
      </c>
      <c r="HA76" s="59">
        <f t="shared" si="106"/>
        <v>396.07405370178759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121.65759349362909</v>
      </c>
      <c r="HH76" s="21">
        <f>EXP(-LN(2)/25)*HH75+(1-EXP(-LN(2)/25))/(LN(2)/25)*Calculateur!HC76*Calculateur!HE76*VLOOKUP('Données projet'!$B$18,Paramètres!$A$1:$I$89,3,0)*0.475*44/12</f>
        <v>13.893723888560979</v>
      </c>
      <c r="HI76" s="21">
        <f>EXP(-LN(2)/2)*HI75+(1-EXP(-LN(2)/2))/(LN(2)/2)*HC76*HF76*VLOOKUP('Données projet'!$B$18,Paramètres!$A$1:$I$89,3,0)*0.475*44/12</f>
        <v>1.2624332117186873E-7</v>
      </c>
      <c r="HJ76" s="22">
        <f t="shared" si="84"/>
        <v>135.55131750843339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775.83768133226158</v>
      </c>
      <c r="S77" s="59">
        <f ca="1">AVERAGE(OFFSET($R$3,0,0,'Données projet'!$E$9+1,1))-AVERAGE(OFFSET($H$3,0,0,'Données projet'!$E$9+1,1))</f>
        <v>364.3481978218424</v>
      </c>
      <c r="T77" s="59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48.42597149283845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48.42597149283845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636.99999999999977</v>
      </c>
      <c r="AJ77" s="13">
        <f>AI77*VLOOKUP('Données projet'!$B$10,Paramètres!$A$1:$I$89,3,0)*VLOOKUP('Données projet'!$B$10,Paramètres!$A$1:$I$89,5,0)</f>
        <v>356.08299999999991</v>
      </c>
      <c r="AK77" s="13">
        <f t="shared" si="89"/>
        <v>82.813805255716545</v>
      </c>
      <c r="AL77" s="20">
        <f t="shared" si="58"/>
        <v>764.41193582037283</v>
      </c>
      <c r="AM77" s="59">
        <f t="shared" si="59"/>
        <v>1057.7452691537062</v>
      </c>
      <c r="AN77" s="59">
        <f ca="1">AVERAGE(OFFSET($AM$3,0,0,'Données projet'!$E$10+1,1))-AVERAGE(OFFSET($H$3,0,0,'Données projet'!$E$10+1,1))</f>
        <v>443.34220761968419</v>
      </c>
      <c r="AO77" s="59">
        <f t="shared" si="90"/>
        <v>546.58234447298014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74.065960404217563</v>
      </c>
      <c r="AV77" s="21">
        <f>EXP(-LN(2)/25)*AV76+(1-EXP(-LN(2)/25))/(LN(2)/25)*Calculateur!AQ77*Calculateur!AS77*VLOOKUP('Données projet'!$B$10,Paramètres!$A$1:$I$89,3,0)*0.475*44/12</f>
        <v>6.4769487871797633</v>
      </c>
      <c r="AW77" s="21">
        <f>EXP(-LN(2)/2)*AW76+(1-EXP(-LN(2)/2))/(LN(2)/2)*AQ77*AT77*VLOOKUP('Données projet'!$B$10,Paramètres!$A$1:$I$89,3,0)*0.475*44/12</f>
        <v>1.4404766179905604E-6</v>
      </c>
      <c r="AX77" s="21">
        <f t="shared" si="60"/>
        <v>80.542910631873951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9.4</v>
      </c>
      <c r="BD77" s="12">
        <f>IF('Données projet'!$A$88&gt;35,BD76+BC77-BL76,IF(A77&lt;'Données projet'!$A$88,$BA$205^A77,IF(A77='Données projet'!$A$88,'Données projet'!$B$88,BD76+BC77-BL76)))</f>
        <v>325.59999999999985</v>
      </c>
      <c r="BE77" s="13">
        <f>BD77*VLOOKUP('Données projet'!$B$11,Paramètres!$A$1:$I$89,3,0)*VLOOKUP('Données projet'!$B$11,Paramètres!$A$1:$I$89,5,0)</f>
        <v>279.36479999999989</v>
      </c>
      <c r="BF77" s="13">
        <f t="shared" si="91"/>
        <v>66.832755122992182</v>
      </c>
      <c r="BG77" s="20">
        <f t="shared" si="61"/>
        <v>602.96074183921121</v>
      </c>
      <c r="BH77" s="59">
        <f t="shared" si="62"/>
        <v>896.29407517254458</v>
      </c>
      <c r="BI77" s="59">
        <f ca="1">AVERAGE(OFFSET($BH$3,0,0,'Données projet'!$E$11+1,1))-AVERAGE(OFFSET($H$3,0,0,'Données projet'!$E$11+1,1))</f>
        <v>447.15627913956871</v>
      </c>
      <c r="BJ77" s="59">
        <f t="shared" si="92"/>
        <v>256.77417912163997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75.467365357724788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75.467365357724788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5.8</v>
      </c>
      <c r="BY77" s="12">
        <f>IF('Données projet'!$A$114&gt;35,BY76+BX77-CG76,IF(A77&lt;'Données projet'!$A$114,$BV$205^A77,IF(A77='Données projet'!$A$114,'Données projet'!$B$114,BY76+BX77-CG76)))</f>
        <v>258.19999999999993</v>
      </c>
      <c r="BZ77" s="13">
        <f>BY77*VLOOKUP('Données projet'!$B$12,Paramètres!$A$1:$I$89,3,0)*VLOOKUP('Données projet'!$B$12,Paramètres!$A$1:$I$89,5,0)</f>
        <v>245.70311999999993</v>
      </c>
      <c r="CA77" s="13">
        <f t="shared" si="93"/>
        <v>59.664902329356607</v>
      </c>
      <c r="CB77" s="20">
        <f t="shared" si="64"/>
        <v>531.84930555696269</v>
      </c>
      <c r="CC77" s="59">
        <f t="shared" si="65"/>
        <v>825.18263889029595</v>
      </c>
      <c r="CD77" s="59">
        <f ca="1">AVERAGE(OFFSET($CC$3,0,0,'Données projet'!$E$12+1,1))-AVERAGE(OFFSET($H$3,0,0,'Données projet'!$E$12+1,1))</f>
        <v>448.94764480536713</v>
      </c>
      <c r="CE77" s="59">
        <f t="shared" si="94"/>
        <v>469.26760321719695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70.992186551767105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70.992186551767105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187.80389738728508</v>
      </c>
      <c r="CZ77" s="59">
        <f t="shared" si="96"/>
        <v>439.28159165815265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51.673030211313929</v>
      </c>
      <c r="DG77" s="21">
        <f>EXP(-LN(2)/25)*DG76+(1-EXP(-LN(2)/25))/(LN(2)/25)*Calculateur!DB77*Calculateur!DD77*VLOOKUP('Données projet'!$B$13,Paramètres!$A$1:$I$89,3,0)*0.475*44/12</f>
        <v>4.2448742815814882</v>
      </c>
      <c r="DH77" s="21">
        <f>EXP(-LN(2)/2)*DH76+(1-EXP(-LN(2)/2))/(LN(2)/2)*DB77*DE77*VLOOKUP('Données projet'!$B$13,Paramètres!$A$1:$I$89,3,0)*0.475*44/12</f>
        <v>1.0719777584685062E-8</v>
      </c>
      <c r="DI77" s="22">
        <f t="shared" si="69"/>
        <v>55.917904503615198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255.00000000000006</v>
      </c>
      <c r="DP77" s="17">
        <f>DO77*VLOOKUP('Données projet'!$B$14,Paramètres!$A$1:$I$89,3,0)*VLOOKUP('Données projet'!$B$14,Paramètres!$A$1:$I$89,5,0)</f>
        <v>186.96600000000004</v>
      </c>
      <c r="DQ77" s="13">
        <f t="shared" si="97"/>
        <v>46.868551400324648</v>
      </c>
      <c r="DR77" s="20">
        <f t="shared" si="70"/>
        <v>407.26184368889881</v>
      </c>
      <c r="DS77" s="59">
        <f t="shared" si="71"/>
        <v>700.59517702223206</v>
      </c>
      <c r="DT77" s="59">
        <f ca="1">AVERAGE(OFFSET($DS$3,0,0,'Données projet'!$E$14+1,1))-AVERAGE(OFFSET($H$3,0,0,'Données projet'!$E$14+1,1))</f>
        <v>239.25212250019609</v>
      </c>
      <c r="DU77" s="59">
        <f t="shared" si="98"/>
        <v>213.58492101729695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12.4</v>
      </c>
      <c r="EJ77" s="12">
        <f>IF('Données projet'!$A$192&gt;35,EJ76+EI77-ER76,IF(A77&lt;'Données projet'!$A$192,$EG$205^A77,IF(A77='Données projet'!$A$192,'Données projet'!$B$192,EJ76+EI77-ER76)))</f>
        <v>680.6</v>
      </c>
      <c r="EK77" s="17">
        <f>EJ77*VLOOKUP('Données projet'!$B$15,Paramètres!$A$1:$I$89,3,0)*VLOOKUP('Données projet'!$B$15,Paramètres!$A$1:$I$89,5,0)</f>
        <v>406.99880000000002</v>
      </c>
      <c r="EL77" s="13">
        <f t="shared" si="99"/>
        <v>93.194128934694703</v>
      </c>
      <c r="EM77" s="20">
        <f t="shared" si="73"/>
        <v>871.16935122792665</v>
      </c>
      <c r="EN77" s="59">
        <f t="shared" si="74"/>
        <v>1164.5026845612599</v>
      </c>
      <c r="EO77" s="59">
        <f ca="1">AVERAGE(OFFSET($EN$3,0,0,'Données projet'!$E$15+1,1))-AVERAGE(OFFSET($H$3,0,0,'Données projet'!$E$15+1,1))</f>
        <v>504.81063008331739</v>
      </c>
      <c r="EP77" s="59">
        <f t="shared" si="100"/>
        <v>441.82647565372287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87.638011726596432</v>
      </c>
      <c r="EW77" s="21">
        <f>EXP(-LN(2)/25)*EW76+(1-EXP(-LN(2)/25))/(LN(2)/25)*Calculateur!ER77*Calculateur!ET77*VLOOKUP('Données projet'!$B$15,Paramètres!$A$1:$I$89,3,0)*0.475*44/12</f>
        <v>17.383986393438818</v>
      </c>
      <c r="EX77" s="21">
        <f>EXP(-LN(2)/2)*EX76+(1-EXP(-LN(2)/2))/(LN(2)/2)*ER77*EU77*VLOOKUP('Données projet'!$B$15,Paramètres!$A$1:$I$89,3,0)*0.475*44/12</f>
        <v>1.2484751049552128E-8</v>
      </c>
      <c r="EY77" s="22">
        <f t="shared" si="75"/>
        <v>105.02199813252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11.4</v>
      </c>
      <c r="FE77" s="12">
        <f>IF('Données projet'!$A$218&gt;35,FE76+FD77-FM76,IF(A77&lt;'Données projet'!$A$218,$FB$205^A77,IF(A77='Données projet'!$A$218,'Données projet'!$B$218,FE76+FD77-FM76)))</f>
        <v>463.59999999999962</v>
      </c>
      <c r="FF77" s="17">
        <f>FE77*VLOOKUP('Données projet'!$B$16,Paramètres!$A$1:$I$89,3,0)*VLOOKUP('Données projet'!$B$16,Paramètres!$A$1:$I$89,5,0)</f>
        <v>265.17919999999981</v>
      </c>
      <c r="FG77" s="13">
        <f t="shared" si="101"/>
        <v>63.825103577721052</v>
      </c>
      <c r="FH77" s="20">
        <f t="shared" si="76"/>
        <v>573.01582873119708</v>
      </c>
      <c r="FI77" s="59">
        <f t="shared" si="77"/>
        <v>866.34916206453045</v>
      </c>
      <c r="FJ77" s="59">
        <f ca="1">AVERAGE(OFFSET($FI$3,0,0,'Données projet'!$E$16+1,1))-AVERAGE(OFFSET($H$3,0,0,'Données projet'!$E$16+1,1))</f>
        <v>393.41577134252316</v>
      </c>
      <c r="FK77" s="59">
        <f t="shared" si="102"/>
        <v>255.54039659391475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72.106093301343705</v>
      </c>
      <c r="FR77" s="21">
        <f>EXP(-LN(2)/25)*FR76+(1-EXP(-LN(2)/25))/(LN(2)/25)*Calculateur!FM77*Calculateur!FO77*VLOOKUP('Données projet'!$B$16,Paramètres!$A$1:$I$89,3,0)*0.475*44/12</f>
        <v>7.8891368759157903</v>
      </c>
      <c r="FS77" s="21">
        <f>EXP(-LN(2)/2)*FS76+(1-EXP(-LN(2)/2))/(LN(2)/2)*FM77*FP77*VLOOKUP('Données projet'!$B$16,Paramètres!$A$1:$I$89,3,0)*0.475*44/12</f>
        <v>8.6854873115811462E-8</v>
      </c>
      <c r="FT77" s="22">
        <f t="shared" si="78"/>
        <v>79.995230264114369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18</v>
      </c>
      <c r="FZ77" s="12">
        <f>IF('Données projet'!$A$244&gt;35,FZ76+FY77-GH76,IF(A77&lt;'Données projet'!$A$244,$FW$205^A77,IF(A77='Données projet'!$A$244,'Données projet'!$B$244,FZ76+FY77-GH76)))</f>
        <v>850</v>
      </c>
      <c r="GA77" s="17">
        <f>FZ77*VLOOKUP('Données projet'!$B$17,Paramètres!$A$1:$I$89,3,0)*VLOOKUP('Données projet'!$B$17,Paramètres!$A$1:$I$89,5,0)</f>
        <v>397.8</v>
      </c>
      <c r="GB77" s="13">
        <f t="shared" si="103"/>
        <v>91.330505920740748</v>
      </c>
      <c r="GC77" s="20">
        <f t="shared" si="79"/>
        <v>851.90229781195683</v>
      </c>
      <c r="GD77" s="59">
        <f t="shared" si="80"/>
        <v>1145.2356311452902</v>
      </c>
      <c r="GE77" s="59">
        <f ca="1">AVERAGE(OFFSET($GD$3,0,0,'Données projet'!$E$17+1,1))-AVERAGE(OFFSET($H$3,0,0,'Données projet'!$E$17+1,1))</f>
        <v>488.67934252295686</v>
      </c>
      <c r="GF77" s="59">
        <f t="shared" si="104"/>
        <v>424.50324471331095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120.20686476284304</v>
      </c>
      <c r="GM77" s="21">
        <f>EXP(-LN(2)/25)*GM76+(1-EXP(-LN(2)/25))/(LN(2)/25)*Calculateur!GH77*Calculateur!GJ77*VLOOKUP('Données projet'!$B$17,Paramètres!$A$1:$I$89,3,0)*0.475*44/12</f>
        <v>14.463417605845617</v>
      </c>
      <c r="GN77" s="21">
        <f>EXP(-LN(2)/2)*GN76+(1-EXP(-LN(2)/2))/(LN(2)/2)*GH77*GK77*VLOOKUP('Données projet'!$B$17,Paramètres!$A$1:$I$89,3,0)*0.475*44/12</f>
        <v>1.9344949012158002E-7</v>
      </c>
      <c r="GO77" s="21">
        <f t="shared" si="81"/>
        <v>134.67028256213814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17.8</v>
      </c>
      <c r="GU77" s="12">
        <f>IF('Données projet'!$A$270&gt;35,GU76+GT77-HC76,IF(A77&lt;'Données projet'!$A$270,$GR$205^A77,IF(A77='Données projet'!$A$270,'Données projet'!$B$270,GU76+GT77-HC76)))</f>
        <v>788.19999999999982</v>
      </c>
      <c r="GV77" s="17">
        <f>GU77*VLOOKUP('Données projet'!$B$18,Paramètres!$A$1:$I$89,3,0)*VLOOKUP('Données projet'!$B$18,Paramètres!$A$1:$I$89,5,0)</f>
        <v>379.12419999999986</v>
      </c>
      <c r="GW77" s="13">
        <f t="shared" si="105"/>
        <v>87.531305197152406</v>
      </c>
      <c r="GX77" s="20">
        <f t="shared" si="82"/>
        <v>812.75833821837352</v>
      </c>
      <c r="GY77" s="59">
        <f t="shared" si="83"/>
        <v>1106.0916715517069</v>
      </c>
      <c r="GZ77" s="59">
        <f ca="1">AVERAGE(OFFSET($GY$3,0,0,'Données projet'!$E$18+1,1))-AVERAGE(OFFSET($H$3,0,0,'Données projet'!$E$18+1,1))</f>
        <v>458.80976193248841</v>
      </c>
      <c r="HA77" s="59">
        <f t="shared" si="106"/>
        <v>396.07405370178759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119.27196228902405</v>
      </c>
      <c r="HH77" s="21">
        <f>EXP(-LN(2)/25)*HH76+(1-EXP(-LN(2)/25))/(LN(2)/25)*Calculateur!HC77*Calculateur!HE77*VLOOKUP('Données projet'!$B$18,Paramètres!$A$1:$I$89,3,0)*0.475*44/12</f>
        <v>13.513799278189094</v>
      </c>
      <c r="HI77" s="21">
        <f>EXP(-LN(2)/2)*HI76+(1-EXP(-LN(2)/2))/(LN(2)/2)*HC77*HF77*VLOOKUP('Données projet'!$B$18,Paramètres!$A$1:$I$89,3,0)*0.475*44/12</f>
        <v>8.9267508480139625E-8</v>
      </c>
      <c r="HJ77" s="22">
        <f t="shared" si="84"/>
        <v>132.78576165648064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787.72578207012941</v>
      </c>
      <c r="S78" s="59">
        <f ca="1">AVERAGE(OFFSET($R$3,0,0,'Données projet'!$E$9+1,1))-AVERAGE(OFFSET($H$3,0,0,'Données projet'!$E$9+1,1))</f>
        <v>364.3481978218424</v>
      </c>
      <c r="T78" s="59">
        <f t="shared" si="88"/>
        <v>231.36959598460686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56.508441011384726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56.508441011384726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636.99999999999977</v>
      </c>
      <c r="AJ78" s="13">
        <f>AI78*VLOOKUP('Données projet'!$B$10,Paramètres!$A$1:$I$89,3,0)*VLOOKUP('Données projet'!$B$10,Paramètres!$A$1:$I$89,5,0)</f>
        <v>356.08299999999991</v>
      </c>
      <c r="AK78" s="13">
        <f t="shared" si="89"/>
        <v>82.813805255716545</v>
      </c>
      <c r="AL78" s="20">
        <f t="shared" si="58"/>
        <v>764.41193582037283</v>
      </c>
      <c r="AM78" s="59">
        <f t="shared" si="59"/>
        <v>1057.7452691537062</v>
      </c>
      <c r="AN78" s="59">
        <f ca="1">AVERAGE(OFFSET($AM$3,0,0,'Données projet'!$E$10+1,1))-AVERAGE(OFFSET($H$3,0,0,'Données projet'!$E$10+1,1))</f>
        <v>443.34220761968419</v>
      </c>
      <c r="AO78" s="59">
        <f t="shared" si="90"/>
        <v>546.58234447298014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72.613572096465973</v>
      </c>
      <c r="AV78" s="21">
        <f>EXP(-LN(2)/25)*AV77+(1-EXP(-LN(2)/25))/(LN(2)/25)*Calculateur!AQ78*Calculateur!AS78*VLOOKUP('Données projet'!$B$10,Paramètres!$A$1:$I$89,3,0)*0.475*44/12</f>
        <v>6.2998362819863996</v>
      </c>
      <c r="AW78" s="21">
        <f>EXP(-LN(2)/2)*AW77+(1-EXP(-LN(2)/2))/(LN(2)/2)*AQ78*AT78*VLOOKUP('Données projet'!$B$10,Paramètres!$A$1:$I$89,3,0)*0.475*44/12</f>
        <v>1.0185707847217892E-6</v>
      </c>
      <c r="AX78" s="21">
        <f t="shared" si="60"/>
        <v>78.913409397023159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335</v>
      </c>
      <c r="BB78" s="12">
        <f>VLOOKUP(A78,'Données projet'!$A$87:$I$107,9,0)</f>
        <v>9.4</v>
      </c>
      <c r="BC78" s="12">
        <f t="array" ref="BC78">INDEX(BB:BB,MIN(IF(ISNUMBER(BB78:BB274),ROW(BB78:BB274),"")))</f>
        <v>9.4</v>
      </c>
      <c r="BD78" s="12">
        <f>IF('Données projet'!$A$88&gt;35,BD77+BC78-BL77,IF(A78&lt;'Données projet'!$A$88,$BA$205^A78,IF(A78='Données projet'!$A$88,'Données projet'!$B$88,BD77+BC78-BL77)))</f>
        <v>334.99999999999983</v>
      </c>
      <c r="BE78" s="13">
        <f>BD78*VLOOKUP('Données projet'!$B$11,Paramètres!$A$1:$I$89,3,0)*VLOOKUP('Données projet'!$B$11,Paramètres!$A$1:$I$89,5,0)</f>
        <v>287.42999999999989</v>
      </c>
      <c r="BF78" s="13">
        <f t="shared" si="91"/>
        <v>68.534780142555746</v>
      </c>
      <c r="BG78" s="20">
        <f t="shared" si="61"/>
        <v>619.97199208161771</v>
      </c>
      <c r="BH78" s="59">
        <f t="shared" si="62"/>
        <v>913.30532541495108</v>
      </c>
      <c r="BI78" s="59">
        <f ca="1">AVERAGE(OFFSET($BH$3,0,0,'Données projet'!$E$11+1,1))-AVERAGE(OFFSET($H$3,0,0,'Données projet'!$E$11+1,1))</f>
        <v>447.15627913956871</v>
      </c>
      <c r="BJ78" s="59">
        <f t="shared" si="92"/>
        <v>256.77417912163997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88.063141164494326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88.063141164494326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264</v>
      </c>
      <c r="BW78" s="12">
        <f>VLOOKUP(A78,'Données projet'!$A$113:$I$133,9,0)</f>
        <v>5.8</v>
      </c>
      <c r="BX78" s="12">
        <f t="array" ref="BX78">INDEX(BW:BW,MIN(IF(ISNUMBER(BW78:BW274),ROW(BW78:BW274),"")))</f>
        <v>5.8</v>
      </c>
      <c r="BY78" s="12">
        <f>IF('Données projet'!$A$114&gt;35,BY77+BX78-CG77,IF(A78&lt;'Données projet'!$A$114,$BV$205^A78,IF(A78='Données projet'!$A$114,'Données projet'!$B$114,BY77+BX78-CG77)))</f>
        <v>263.99999999999994</v>
      </c>
      <c r="BZ78" s="13">
        <f>BY78*VLOOKUP('Données projet'!$B$12,Paramètres!$A$1:$I$89,3,0)*VLOOKUP('Données projet'!$B$12,Paramètres!$A$1:$I$89,5,0)</f>
        <v>251.22239999999996</v>
      </c>
      <c r="CA78" s="13">
        <f t="shared" si="93"/>
        <v>60.847625059749809</v>
      </c>
      <c r="CB78" s="20">
        <f t="shared" si="64"/>
        <v>543.52196031239748</v>
      </c>
      <c r="CC78" s="59">
        <f t="shared" si="65"/>
        <v>836.85529364573085</v>
      </c>
      <c r="CD78" s="59">
        <f ca="1">AVERAGE(OFFSET($CC$3,0,0,'Données projet'!$E$12+1,1))-AVERAGE(OFFSET($H$3,0,0,'Données projet'!$E$12+1,1))</f>
        <v>448.94764480536713</v>
      </c>
      <c r="CE78" s="59">
        <f t="shared" si="94"/>
        <v>469.26760321719695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27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81.813393843274014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81.813393843274014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187.80389738728508</v>
      </c>
      <c r="CZ78" s="59">
        <f t="shared" si="96"/>
        <v>439.28159165815265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50.659753606306403</v>
      </c>
      <c r="DG78" s="21">
        <f>EXP(-LN(2)/25)*DG77+(1-EXP(-LN(2)/25))/(LN(2)/25)*Calculateur!DB78*Calculateur!DD78*VLOOKUP('Données projet'!$B$13,Paramètres!$A$1:$I$89,3,0)*0.475*44/12</f>
        <v>4.1287979711234053</v>
      </c>
      <c r="DH78" s="21">
        <f>EXP(-LN(2)/2)*DH77+(1-EXP(-LN(2)/2))/(LN(2)/2)*DB78*DE78*VLOOKUP('Données projet'!$B$13,Paramètres!$A$1:$I$89,3,0)*0.475*44/12</f>
        <v>7.5800274229423567E-9</v>
      </c>
      <c r="DI78" s="22">
        <f t="shared" si="69"/>
        <v>54.788551585009834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255.00000000000006</v>
      </c>
      <c r="DP78" s="17">
        <f>DO78*VLOOKUP('Données projet'!$B$14,Paramètres!$A$1:$I$89,3,0)*VLOOKUP('Données projet'!$B$14,Paramètres!$A$1:$I$89,5,0)</f>
        <v>186.96600000000004</v>
      </c>
      <c r="DQ78" s="13">
        <f t="shared" si="97"/>
        <v>46.868551400324648</v>
      </c>
      <c r="DR78" s="20">
        <f t="shared" si="70"/>
        <v>407.26184368889881</v>
      </c>
      <c r="DS78" s="59">
        <f t="shared" si="71"/>
        <v>700.59517702223206</v>
      </c>
      <c r="DT78" s="59">
        <f ca="1">AVERAGE(OFFSET($DS$3,0,0,'Données projet'!$E$14+1,1))-AVERAGE(OFFSET($H$3,0,0,'Données projet'!$E$14+1,1))</f>
        <v>239.25212250019609</v>
      </c>
      <c r="DU78" s="59">
        <f t="shared" si="98"/>
        <v>213.58492101729695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693</v>
      </c>
      <c r="EH78" s="12">
        <f>VLOOKUP(A78,'Données projet'!$A$191:$I$211,9,0)</f>
        <v>12.4</v>
      </c>
      <c r="EI78" s="12">
        <f t="array" ref="EI78">INDEX(EH:EH,MIN(IF(ISNUMBER(EH78:EH274),ROW(EH78:EH274),"")))</f>
        <v>12.4</v>
      </c>
      <c r="EJ78" s="12">
        <f>IF('Données projet'!$A$192&gt;35,EJ77+EI78-ER77,IF(A78&lt;'Données projet'!$A$192,$EG$205^A78,IF(A78='Données projet'!$A$192,'Données projet'!$B$192,EJ77+EI78-ER77)))</f>
        <v>693</v>
      </c>
      <c r="EK78" s="17">
        <f>EJ78*VLOOKUP('Données projet'!$B$15,Paramètres!$A$1:$I$89,3,0)*VLOOKUP('Données projet'!$B$15,Paramètres!$A$1:$I$89,5,0)</f>
        <v>414.41400000000004</v>
      </c>
      <c r="EL78" s="13">
        <f t="shared" si="99"/>
        <v>94.692834584825818</v>
      </c>
      <c r="EM78" s="20">
        <f t="shared" si="73"/>
        <v>886.6944035685716</v>
      </c>
      <c r="EN78" s="59">
        <f t="shared" si="74"/>
        <v>1180.027736901905</v>
      </c>
      <c r="EO78" s="59">
        <f ca="1">AVERAGE(OFFSET($EN$3,0,0,'Données projet'!$E$15+1,1))-AVERAGE(OFFSET($H$3,0,0,'Données projet'!$E$15+1,1))</f>
        <v>504.81063008331739</v>
      </c>
      <c r="EP78" s="59">
        <f t="shared" si="100"/>
        <v>441.82647565372287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30</v>
      </c>
      <c r="ES78" s="16">
        <f>IF(ISNA(VLOOKUP(A78,'Données projet'!$A$191:$I$211,5,0)),0%,VLOOKUP(A78,'Données projet'!$A$191:$I$211,5,0)*VLOOKUP('Données projet'!$B$15,Paramètres!$A$1:$I$89,7,0))</f>
        <v>0.45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96.628838619310301</v>
      </c>
      <c r="EW78" s="21">
        <f>EXP(-LN(2)/25)*EW77+(1-EXP(-LN(2)/25))/(LN(2)/25)*Calculateur!ER78*Calculateur!ET78*VLOOKUP('Données projet'!$B$15,Paramètres!$A$1:$I$89,3,0)*0.475*44/12</f>
        <v>16.908620371326119</v>
      </c>
      <c r="EX78" s="21">
        <f>EXP(-LN(2)/2)*EX77+(1-EXP(-LN(2)/2))/(LN(2)/2)*ER78*EU78*VLOOKUP('Données projet'!$B$15,Paramètres!$A$1:$I$89,3,0)*0.475*44/12</f>
        <v>8.8280521285641759E-9</v>
      </c>
      <c r="EY78" s="22">
        <f t="shared" si="75"/>
        <v>113.53745899946448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475</v>
      </c>
      <c r="FC78" s="12">
        <f>VLOOKUP(A78,'Données projet'!$A$217:$I$237,9,0)</f>
        <v>11.4</v>
      </c>
      <c r="FD78" s="12">
        <f t="array" ref="FD78">INDEX(FC:FC,MIN(IF(ISNUMBER(FC78:FC274),ROW(FC78:FC274),"")))</f>
        <v>11.4</v>
      </c>
      <c r="FE78" s="12">
        <f>IF('Données projet'!$A$218&gt;35,FE77+FD78-FM77,IF(A78&lt;'Données projet'!$A$218,$FB$205^A78,IF(A78='Données projet'!$A$218,'Données projet'!$B$218,FE77+FD78-FM77)))</f>
        <v>474.9999999999996</v>
      </c>
      <c r="FF78" s="17">
        <f>FE78*VLOOKUP('Données projet'!$B$16,Paramètres!$A$1:$I$89,3,0)*VLOOKUP('Données projet'!$B$16,Paramètres!$A$1:$I$89,5,0)</f>
        <v>271.69999999999976</v>
      </c>
      <c r="FG78" s="13">
        <f t="shared" si="101"/>
        <v>65.209920294809322</v>
      </c>
      <c r="FH78" s="20">
        <f t="shared" si="76"/>
        <v>586.78477784679239</v>
      </c>
      <c r="FI78" s="59">
        <f t="shared" si="77"/>
        <v>880.11811118012565</v>
      </c>
      <c r="FJ78" s="59">
        <f ca="1">AVERAGE(OFFSET($FI$3,0,0,'Données projet'!$E$16+1,1))-AVERAGE(OFFSET($H$3,0,0,'Données projet'!$E$16+1,1))</f>
        <v>393.41577134252316</v>
      </c>
      <c r="FK78" s="59">
        <f t="shared" si="102"/>
        <v>255.54039659391475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30</v>
      </c>
      <c r="FN78" s="16">
        <f>IF(ISNA(VLOOKUP(A78,'Données projet'!$A$217:$I$237,5,0)),0%,VLOOKUP(A78,'Données projet'!$A$217:$I$237,5,0)*VLOOKUP('Données projet'!$B$16,Paramètres!$A$1:$I$89,7,0))</f>
        <v>0.45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80.935867516982697</v>
      </c>
      <c r="FR78" s="21">
        <f>EXP(-LN(2)/25)*FR77+(1-EXP(-LN(2)/25))/(LN(2)/25)*Calculateur!FM78*Calculateur!FO78*VLOOKUP('Données projet'!$B$16,Paramètres!$A$1:$I$89,3,0)*0.475*44/12</f>
        <v>7.6734080131721951</v>
      </c>
      <c r="FS78" s="21">
        <f>EXP(-LN(2)/2)*FS77+(1-EXP(-LN(2)/2))/(LN(2)/2)*FM78*FP78*VLOOKUP('Données projet'!$B$16,Paramètres!$A$1:$I$89,3,0)*0.475*44/12</f>
        <v>6.1415669759287444E-8</v>
      </c>
      <c r="FT78" s="22">
        <f t="shared" si="78"/>
        <v>88.609275591570565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868</v>
      </c>
      <c r="FX78" s="12">
        <f>VLOOKUP(A78,'Données projet'!$A$243:$I$263,9,0)</f>
        <v>18</v>
      </c>
      <c r="FY78" s="12">
        <f t="array" ref="FY78">INDEX(FX:FX,MIN(IF(ISNUMBER(FX78:FX274),ROW(FX78:FX274),"")))</f>
        <v>18</v>
      </c>
      <c r="FZ78" s="12">
        <f>IF('Données projet'!$A$244&gt;35,FZ77+FY78-GH77,IF(A78&lt;'Données projet'!$A$244,$FW$205^A78,IF(A78='Données projet'!$A$244,'Données projet'!$B$244,FZ77+FY78-GH77)))</f>
        <v>868</v>
      </c>
      <c r="GA78" s="17">
        <f>FZ78*VLOOKUP('Données projet'!$B$17,Paramètres!$A$1:$I$89,3,0)*VLOOKUP('Données projet'!$B$17,Paramètres!$A$1:$I$89,5,0)</f>
        <v>406.22399999999999</v>
      </c>
      <c r="GB78" s="13">
        <f t="shared" si="103"/>
        <v>93.03734957263255</v>
      </c>
      <c r="GC78" s="20">
        <f t="shared" si="79"/>
        <v>869.5468505056682</v>
      </c>
      <c r="GD78" s="59">
        <f t="shared" si="80"/>
        <v>1162.8801838390016</v>
      </c>
      <c r="GE78" s="59">
        <f ca="1">AVERAGE(OFFSET($GD$3,0,0,'Données projet'!$E$17+1,1))-AVERAGE(OFFSET($H$3,0,0,'Données projet'!$E$17+1,1))</f>
        <v>488.67934252295686</v>
      </c>
      <c r="GF78" s="59">
        <f t="shared" si="104"/>
        <v>424.50324471331095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50</v>
      </c>
      <c r="GI78" s="16">
        <f>IF(ISNA(VLOOKUP(A78,'Données projet'!$A$243:$I$263,5,0)),0%,VLOOKUP(A78,'Données projet'!$A$243:$I$263,5,0)*VLOOKUP('Données projet'!$B$17,Paramètres!$A$1:$I$89,7,0))</f>
        <v>0.55000000000000004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134.92256600529845</v>
      </c>
      <c r="GM78" s="21">
        <f>EXP(-LN(2)/25)*GM77+(1-EXP(-LN(2)/25))/(LN(2)/25)*Calculateur!GH78*Calculateur!GJ78*VLOOKUP('Données projet'!$B$17,Paramètres!$A$1:$I$89,3,0)*0.475*44/12</f>
        <v>14.067914690815693</v>
      </c>
      <c r="GN78" s="21">
        <f>EXP(-LN(2)/2)*GN77+(1-EXP(-LN(2)/2))/(LN(2)/2)*GH78*GK78*VLOOKUP('Données projet'!$B$17,Paramètres!$A$1:$I$89,3,0)*0.475*44/12</f>
        <v>1.3678944628204926E-7</v>
      </c>
      <c r="GO78" s="21">
        <f t="shared" si="81"/>
        <v>148.99048083290359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806</v>
      </c>
      <c r="GS78" s="12">
        <f>VLOOKUP(A78,'Données projet'!$A$269:$I$289,9,0)</f>
        <v>17.8</v>
      </c>
      <c r="GT78" s="12">
        <f t="array" ref="GT78">INDEX(GS:GS,MIN(IF(ISNUMBER(GS78:GS274),ROW(GS78:GS274),"")))</f>
        <v>17.8</v>
      </c>
      <c r="GU78" s="12">
        <f>IF('Données projet'!$A$270&gt;35,GU77+GT78-HC77,IF(A78&lt;'Données projet'!$A$270,$GR$205^A78,IF(A78='Données projet'!$A$270,'Données projet'!$B$270,GU77+GT78-HC77)))</f>
        <v>805.99999999999977</v>
      </c>
      <c r="GV78" s="17">
        <f>GU78*VLOOKUP('Données projet'!$B$18,Paramètres!$A$1:$I$89,3,0)*VLOOKUP('Données projet'!$B$18,Paramètres!$A$1:$I$89,5,0)</f>
        <v>387.68599999999992</v>
      </c>
      <c r="GW78" s="13">
        <f t="shared" si="105"/>
        <v>89.275665704300607</v>
      </c>
      <c r="GX78" s="20">
        <f t="shared" si="82"/>
        <v>830.70823443499</v>
      </c>
      <c r="GY78" s="59">
        <f t="shared" si="83"/>
        <v>1124.0415677683234</v>
      </c>
      <c r="GZ78" s="59">
        <f ca="1">AVERAGE(OFFSET($GY$3,0,0,'Données projet'!$E$18+1,1))-AVERAGE(OFFSET($H$3,0,0,'Données projet'!$E$18+1,1))</f>
        <v>458.80976193248841</v>
      </c>
      <c r="HA78" s="59">
        <f t="shared" si="106"/>
        <v>396.07405370178759</v>
      </c>
      <c r="HB78" s="15">
        <f>IF(ISNA(VLOOKUP(A78,'Données projet'!$A$269:$I$289,3,0)),0,VLOOKUP(A78,'Données projet'!$A$269:$I$289,3,0))</f>
        <v>12</v>
      </c>
      <c r="HC78" s="15">
        <f>IF(ISNA(VLOOKUP(A78,'Données projet'!$A$269:$I$289,4,0)),0,VLOOKUP(A78,'Données projet'!$A$269:$I$289,4,0))</f>
        <v>52</v>
      </c>
      <c r="HD78" s="16">
        <f>IF(ISNA(VLOOKUP(A78,'Données projet'!$A$269:$I$289,5,0)),0%,VLOOKUP(A78,'Données projet'!$A$269:$I$289,5,0)*VLOOKUP('Données projet'!$B$18,Paramètres!$A$1:$I$89,7,0))</f>
        <v>0.55000000000000004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135.18212844494951</v>
      </c>
      <c r="HH78" s="21">
        <f>EXP(-LN(2)/25)*HH77+(1-EXP(-LN(2)/25))/(LN(2)/25)*Calculateur!HC78*Calculateur!HE78*VLOOKUP('Données projet'!$B$18,Paramètres!$A$1:$I$89,3,0)*0.475*44/12</f>
        <v>13.144263726267194</v>
      </c>
      <c r="HI78" s="21">
        <f>EXP(-LN(2)/2)*HI77+(1-EXP(-LN(2)/2))/(LN(2)/2)*HC78*HF78*VLOOKUP('Données projet'!$B$18,Paramètres!$A$1:$I$89,3,0)*0.475*44/12</f>
        <v>6.3121660585934365E-8</v>
      </c>
      <c r="HJ78" s="22">
        <f t="shared" si="84"/>
        <v>148.32639223433836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758.95351239253989</v>
      </c>
      <c r="S79" s="59">
        <f ca="1">AVERAGE(OFFSET($R$3,0,0,'Données projet'!$E$9+1,1))-AVERAGE(OFFSET($H$3,0,0,'Données projet'!$E$9+1,1))</f>
        <v>364.3481978218424</v>
      </c>
      <c r="T79" s="59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55.400344949897182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55.400344949897182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636.99999999999977</v>
      </c>
      <c r="AJ79" s="13">
        <f>AI79*VLOOKUP('Données projet'!$B$10,Paramètres!$A$1:$I$89,3,0)*VLOOKUP('Données projet'!$B$10,Paramètres!$A$1:$I$89,5,0)</f>
        <v>356.08299999999991</v>
      </c>
      <c r="AK79" s="13">
        <f t="shared" si="89"/>
        <v>82.813805255716545</v>
      </c>
      <c r="AL79" s="20">
        <f t="shared" si="58"/>
        <v>764.41193582037283</v>
      </c>
      <c r="AM79" s="59">
        <f t="shared" si="59"/>
        <v>1057.7452691537062</v>
      </c>
      <c r="AN79" s="59">
        <f ca="1">AVERAGE(OFFSET($AM$3,0,0,'Données projet'!$E$10+1,1))-AVERAGE(OFFSET($H$3,0,0,'Données projet'!$E$10+1,1))</f>
        <v>443.34220761968419</v>
      </c>
      <c r="AO79" s="59">
        <f t="shared" si="90"/>
        <v>546.58234447298014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71.189664237559995</v>
      </c>
      <c r="AV79" s="21">
        <f>EXP(-LN(2)/25)*AV78+(1-EXP(-LN(2)/25))/(LN(2)/25)*Calculateur!AQ79*Calculateur!AS79*VLOOKUP('Données projet'!$B$10,Paramètres!$A$1:$I$89,3,0)*0.475*44/12</f>
        <v>6.1275669275614897</v>
      </c>
      <c r="AW79" s="21">
        <f>EXP(-LN(2)/2)*AW78+(1-EXP(-LN(2)/2))/(LN(2)/2)*AQ79*AT79*VLOOKUP('Données projet'!$B$10,Paramètres!$A$1:$I$89,3,0)*0.475*44/12</f>
        <v>7.2023830899528018E-7</v>
      </c>
      <c r="AX79" s="21">
        <f t="shared" si="60"/>
        <v>77.317231885359789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8.8000000000000007</v>
      </c>
      <c r="BD79" s="12">
        <f>IF('Données projet'!$A$88&gt;35,BD78+BC79-BL78,IF(A79&lt;'Données projet'!$A$88,$BA$205^A79,IF(A79='Données projet'!$A$88,'Données projet'!$B$88,BD78+BC79-BL78)))</f>
        <v>315.79999999999984</v>
      </c>
      <c r="BE79" s="13">
        <f>BD79*VLOOKUP('Données projet'!$B$11,Paramètres!$A$1:$I$89,3,0)*VLOOKUP('Données projet'!$B$11,Paramètres!$A$1:$I$89,5,0)</f>
        <v>270.95639999999986</v>
      </c>
      <c r="BF79" s="13">
        <f t="shared" si="91"/>
        <v>65.052199716598722</v>
      </c>
      <c r="BG79" s="20">
        <f t="shared" si="61"/>
        <v>585.21497783974257</v>
      </c>
      <c r="BH79" s="59">
        <f t="shared" si="62"/>
        <v>878.54831117307594</v>
      </c>
      <c r="BI79" s="59">
        <f ca="1">AVERAGE(OFFSET($BH$3,0,0,'Données projet'!$E$11+1,1))-AVERAGE(OFFSET($H$3,0,0,'Données projet'!$E$11+1,1))</f>
        <v>447.15627913956871</v>
      </c>
      <c r="BJ79" s="59">
        <f t="shared" si="92"/>
        <v>256.77417912163997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86.33627667947097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86.33627667947097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5.6</v>
      </c>
      <c r="BY79" s="12">
        <f>IF('Données projet'!$A$114&gt;35,BY78+BX79-CG78,IF(A79&lt;'Données projet'!$A$114,$BV$205^A79,IF(A79='Données projet'!$A$114,'Données projet'!$B$114,BY78+BX79-CG78)))</f>
        <v>242.59999999999997</v>
      </c>
      <c r="BZ79" s="13">
        <f>BY79*VLOOKUP('Données projet'!$B$12,Paramètres!$A$1:$I$89,3,0)*VLOOKUP('Données projet'!$B$12,Paramètres!$A$1:$I$89,5,0)</f>
        <v>230.85816</v>
      </c>
      <c r="CA79" s="13">
        <f t="shared" si="93"/>
        <v>56.468195549322559</v>
      </c>
      <c r="CB79" s="20">
        <f t="shared" si="64"/>
        <v>500.42673591507014</v>
      </c>
      <c r="CC79" s="59">
        <f t="shared" si="65"/>
        <v>793.7600692484034</v>
      </c>
      <c r="CD79" s="59">
        <f ca="1">AVERAGE(OFFSET($CC$3,0,0,'Données projet'!$E$12+1,1))-AVERAGE(OFFSET($H$3,0,0,'Données projet'!$E$12+1,1))</f>
        <v>448.94764480536713</v>
      </c>
      <c r="CE79" s="59">
        <f t="shared" si="94"/>
        <v>469.26760321719695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80.209083091250321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80.209083091250321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187.80389738728508</v>
      </c>
      <c r="CZ79" s="59">
        <f t="shared" si="96"/>
        <v>439.28159165815265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49.66634673748537</v>
      </c>
      <c r="DG79" s="21">
        <f>EXP(-LN(2)/25)*DG78+(1-EXP(-LN(2)/25))/(LN(2)/25)*Calculateur!DB79*Calculateur!DD79*VLOOKUP('Données projet'!$B$13,Paramètres!$A$1:$I$89,3,0)*0.475*44/12</f>
        <v>4.0158957734789871</v>
      </c>
      <c r="DH79" s="21">
        <f>EXP(-LN(2)/2)*DH78+(1-EXP(-LN(2)/2))/(LN(2)/2)*DB79*DE79*VLOOKUP('Données projet'!$B$13,Paramètres!$A$1:$I$89,3,0)*0.475*44/12</f>
        <v>5.3598887923425308E-9</v>
      </c>
      <c r="DI79" s="22">
        <f t="shared" si="69"/>
        <v>53.682242516324244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255.00000000000006</v>
      </c>
      <c r="DP79" s="17">
        <f>DO79*VLOOKUP('Données projet'!$B$14,Paramètres!$A$1:$I$89,3,0)*VLOOKUP('Données projet'!$B$14,Paramètres!$A$1:$I$89,5,0)</f>
        <v>186.96600000000004</v>
      </c>
      <c r="DQ79" s="13">
        <f t="shared" si="97"/>
        <v>46.868551400324648</v>
      </c>
      <c r="DR79" s="20">
        <f t="shared" si="70"/>
        <v>407.26184368889881</v>
      </c>
      <c r="DS79" s="59">
        <f t="shared" si="71"/>
        <v>700.59517702223206</v>
      </c>
      <c r="DT79" s="59">
        <f ca="1">AVERAGE(OFFSET($DS$3,0,0,'Données projet'!$E$14+1,1))-AVERAGE(OFFSET($H$3,0,0,'Données projet'!$E$14+1,1))</f>
        <v>239.25212250019609</v>
      </c>
      <c r="DU79" s="59">
        <f t="shared" si="98"/>
        <v>213.58492101729695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11</v>
      </c>
      <c r="EJ79" s="12">
        <f>IF('Données projet'!$A$192&gt;35,EJ78+EI79-ER78,IF(A79&lt;'Données projet'!$A$192,$EG$205^A79,IF(A79='Données projet'!$A$192,'Données projet'!$B$192,EJ78+EI79-ER78)))</f>
        <v>674</v>
      </c>
      <c r="EK79" s="17">
        <f>EJ79*VLOOKUP('Données projet'!$B$15,Paramètres!$A$1:$I$89,3,0)*VLOOKUP('Données projet'!$B$15,Paramètres!$A$1:$I$89,5,0)</f>
        <v>403.05200000000002</v>
      </c>
      <c r="EL79" s="13">
        <f t="shared" si="99"/>
        <v>92.39513739653853</v>
      </c>
      <c r="EM79" s="20">
        <f t="shared" si="73"/>
        <v>862.9037642989714</v>
      </c>
      <c r="EN79" s="59">
        <f t="shared" si="74"/>
        <v>1156.2370976323048</v>
      </c>
      <c r="EO79" s="59">
        <f ca="1">AVERAGE(OFFSET($EN$3,0,0,'Données projet'!$E$15+1,1))-AVERAGE(OFFSET($H$3,0,0,'Données projet'!$E$15+1,1))</f>
        <v>504.81063008331739</v>
      </c>
      <c r="EP79" s="59">
        <f t="shared" si="100"/>
        <v>441.82647565372287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94.734006031757559</v>
      </c>
      <c r="EW79" s="21">
        <f>EXP(-LN(2)/25)*EW78+(1-EXP(-LN(2)/25))/(LN(2)/25)*Calculateur!ER79*Calculateur!ET79*VLOOKUP('Données projet'!$B$15,Paramètres!$A$1:$I$89,3,0)*0.475*44/12</f>
        <v>16.446253258086507</v>
      </c>
      <c r="EX79" s="21">
        <f>EXP(-LN(2)/2)*EX78+(1-EXP(-LN(2)/2))/(LN(2)/2)*ER79*EU79*VLOOKUP('Données projet'!$B$15,Paramètres!$A$1:$I$89,3,0)*0.475*44/12</f>
        <v>6.2423755247760639E-9</v>
      </c>
      <c r="EY79" s="22">
        <f t="shared" si="75"/>
        <v>111.18025929608643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10.199999999999999</v>
      </c>
      <c r="FE79" s="12">
        <f>IF('Données projet'!$A$218&gt;35,FE78+FD79-FM78,IF(A79&lt;'Données projet'!$A$218,$FB$205^A79,IF(A79='Données projet'!$A$218,'Données projet'!$B$218,FE78+FD79-FM78)))</f>
        <v>455.19999999999959</v>
      </c>
      <c r="FF79" s="17">
        <f>FE79*VLOOKUP('Données projet'!$B$16,Paramètres!$A$1:$I$89,3,0)*VLOOKUP('Données projet'!$B$16,Paramètres!$A$1:$I$89,5,0)</f>
        <v>260.37439999999975</v>
      </c>
      <c r="FG79" s="13">
        <f t="shared" si="101"/>
        <v>62.802178221436556</v>
      </c>
      <c r="FH79" s="20">
        <f t="shared" si="76"/>
        <v>562.86587373566817</v>
      </c>
      <c r="FI79" s="59">
        <f t="shared" si="77"/>
        <v>856.19920706900143</v>
      </c>
      <c r="FJ79" s="59">
        <f ca="1">AVERAGE(OFFSET($FI$3,0,0,'Données projet'!$E$16+1,1))-AVERAGE(OFFSET($H$3,0,0,'Données projet'!$E$16+1,1))</f>
        <v>393.41577134252316</v>
      </c>
      <c r="FK79" s="59">
        <f t="shared" si="102"/>
        <v>255.54039659391475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79.348764520979358</v>
      </c>
      <c r="FR79" s="21">
        <f>EXP(-LN(2)/25)*FR78+(1-EXP(-LN(2)/25))/(LN(2)/25)*Calculateur!FM79*Calculateur!FO79*VLOOKUP('Données projet'!$B$16,Paramètres!$A$1:$I$89,3,0)*0.475*44/12</f>
        <v>7.463578267525012</v>
      </c>
      <c r="FS79" s="21">
        <f>EXP(-LN(2)/2)*FS78+(1-EXP(-LN(2)/2))/(LN(2)/2)*FM79*FP79*VLOOKUP('Données projet'!$B$16,Paramètres!$A$1:$I$89,3,0)*0.475*44/12</f>
        <v>4.3427436557905731E-8</v>
      </c>
      <c r="FT79" s="22">
        <f t="shared" si="78"/>
        <v>86.812342831931801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16.600000000000001</v>
      </c>
      <c r="FZ79" s="12">
        <f>IF('Données projet'!$A$244&gt;35,FZ78+FY79-GH78,IF(A79&lt;'Données projet'!$A$244,$FW$205^A79,IF(A79='Données projet'!$A$244,'Données projet'!$B$244,FZ78+FY79-GH78)))</f>
        <v>834.6</v>
      </c>
      <c r="GA79" s="17">
        <f>FZ79*VLOOKUP('Données projet'!$B$17,Paramètres!$A$1:$I$89,3,0)*VLOOKUP('Données projet'!$B$17,Paramètres!$A$1:$I$89,5,0)</f>
        <v>390.59280000000001</v>
      </c>
      <c r="GB79" s="13">
        <f t="shared" si="103"/>
        <v>89.866866226434709</v>
      </c>
      <c r="GC79" s="20">
        <f t="shared" si="79"/>
        <v>836.80058534437376</v>
      </c>
      <c r="GD79" s="59">
        <f t="shared" si="80"/>
        <v>1130.133918677707</v>
      </c>
      <c r="GE79" s="59">
        <f ca="1">AVERAGE(OFFSET($GD$3,0,0,'Données projet'!$E$17+1,1))-AVERAGE(OFFSET($H$3,0,0,'Données projet'!$E$17+1,1))</f>
        <v>488.67934252295686</v>
      </c>
      <c r="GF79" s="59">
        <f t="shared" si="104"/>
        <v>424.50324471331095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132.27681678057388</v>
      </c>
      <c r="GM79" s="21">
        <f>EXP(-LN(2)/25)*GM78+(1-EXP(-LN(2)/25))/(LN(2)/25)*Calculateur!GH79*Calculateur!GJ79*VLOOKUP('Données projet'!$B$17,Paramètres!$A$1:$I$89,3,0)*0.475*44/12</f>
        <v>13.683226823795856</v>
      </c>
      <c r="GN79" s="21">
        <f>EXP(-LN(2)/2)*GN78+(1-EXP(-LN(2)/2))/(LN(2)/2)*GH79*GK79*VLOOKUP('Données projet'!$B$17,Paramètres!$A$1:$I$89,3,0)*0.475*44/12</f>
        <v>9.6724745060790008E-8</v>
      </c>
      <c r="GO79" s="21">
        <f t="shared" si="81"/>
        <v>145.96004370109446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17.2</v>
      </c>
      <c r="GU79" s="12">
        <f>IF('Données projet'!$A$270&gt;35,GU78+GT79-HC78,IF(A79&lt;'Données projet'!$A$270,$GR$205^A79,IF(A79='Données projet'!$A$270,'Données projet'!$B$270,GU78+GT79-HC78)))</f>
        <v>771.19999999999982</v>
      </c>
      <c r="GV79" s="17">
        <f>GU79*VLOOKUP('Données projet'!$B$18,Paramètres!$A$1:$I$89,3,0)*VLOOKUP('Données projet'!$B$18,Paramètres!$A$1:$I$89,5,0)</f>
        <v>370.94719999999995</v>
      </c>
      <c r="GW79" s="13">
        <f t="shared" si="105"/>
        <v>85.861057676106654</v>
      </c>
      <c r="GX79" s="20">
        <f t="shared" si="82"/>
        <v>795.60771545255238</v>
      </c>
      <c r="GY79" s="59">
        <f t="shared" si="83"/>
        <v>1088.9410487858856</v>
      </c>
      <c r="GZ79" s="59">
        <f ca="1">AVERAGE(OFFSET($GY$3,0,0,'Données projet'!$E$18+1,1))-AVERAGE(OFFSET($H$3,0,0,'Données projet'!$E$18+1,1))</f>
        <v>458.80976193248841</v>
      </c>
      <c r="HA79" s="59">
        <f t="shared" si="106"/>
        <v>396.07405370178759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132.53128935910084</v>
      </c>
      <c r="HH79" s="21">
        <f>EXP(-LN(2)/25)*HH78+(1-EXP(-LN(2)/25))/(LN(2)/25)*Calculateur!HC79*Calculateur!HE79*VLOOKUP('Données projet'!$B$18,Paramètres!$A$1:$I$89,3,0)*0.475*44/12</f>
        <v>12.784833143445629</v>
      </c>
      <c r="HI79" s="21">
        <f>EXP(-LN(2)/2)*HI78+(1-EXP(-LN(2)/2))/(LN(2)/2)*HC79*HF79*VLOOKUP('Données projet'!$B$18,Paramètres!$A$1:$I$89,3,0)*0.475*44/12</f>
        <v>4.4633754240069812E-8</v>
      </c>
      <c r="HJ79" s="22">
        <f t="shared" si="84"/>
        <v>145.31612254718024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770.46683087820077</v>
      </c>
      <c r="S80" s="59">
        <f ca="1">AVERAGE(OFFSET($R$3,0,0,'Données projet'!$E$9+1,1))-AVERAGE(OFFSET($H$3,0,0,'Données projet'!$E$9+1,1))</f>
        <v>364.3481978218424</v>
      </c>
      <c r="T80" s="59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54.313977976303548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54.313977976303548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636.99999999999977</v>
      </c>
      <c r="AJ80" s="13">
        <f>AI80*VLOOKUP('Données projet'!$B$10,Paramètres!$A$1:$I$89,3,0)*VLOOKUP('Données projet'!$B$10,Paramètres!$A$1:$I$89,5,0)</f>
        <v>356.08299999999991</v>
      </c>
      <c r="AK80" s="13">
        <f t="shared" si="89"/>
        <v>82.813805255716545</v>
      </c>
      <c r="AL80" s="20">
        <f t="shared" si="58"/>
        <v>764.41193582037283</v>
      </c>
      <c r="AM80" s="59">
        <f t="shared" si="59"/>
        <v>1057.7452691537062</v>
      </c>
      <c r="AN80" s="59">
        <f ca="1">AVERAGE(OFFSET($AM$3,0,0,'Données projet'!$E$10+1,1))-AVERAGE(OFFSET($H$3,0,0,'Données projet'!$E$10+1,1))</f>
        <v>443.34220761968419</v>
      </c>
      <c r="AO80" s="59">
        <f t="shared" si="90"/>
        <v>546.58234447298014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69.793678343269121</v>
      </c>
      <c r="AV80" s="21">
        <f>EXP(-LN(2)/25)*AV79+(1-EXP(-LN(2)/25))/(LN(2)/25)*Calculateur!AQ80*Calculateur!AS80*VLOOKUP('Données projet'!$B$10,Paramètres!$A$1:$I$89,3,0)*0.475*44/12</f>
        <v>5.9600082876925811</v>
      </c>
      <c r="AW80" s="21">
        <f>EXP(-LN(2)/2)*AW79+(1-EXP(-LN(2)/2))/(LN(2)/2)*AQ80*AT80*VLOOKUP('Données projet'!$B$10,Paramètres!$A$1:$I$89,3,0)*0.475*44/12</f>
        <v>5.0928539236089458E-7</v>
      </c>
      <c r="AX80" s="21">
        <f t="shared" si="60"/>
        <v>75.753687140247095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8.8000000000000007</v>
      </c>
      <c r="BD80" s="12">
        <f>IF('Données projet'!$A$88&gt;35,BD79+BC80-BL79,IF(A80&lt;'Données projet'!$A$88,$BA$205^A80,IF(A80='Données projet'!$A$88,'Données projet'!$B$88,BD79+BC80-BL79)))</f>
        <v>324.59999999999985</v>
      </c>
      <c r="BE80" s="13">
        <f>BD80*VLOOKUP('Données projet'!$B$11,Paramètres!$A$1:$I$89,3,0)*VLOOKUP('Données projet'!$B$11,Paramètres!$A$1:$I$89,5,0)</f>
        <v>278.50679999999994</v>
      </c>
      <c r="BF80" s="13">
        <f t="shared" si="91"/>
        <v>66.651354661909949</v>
      </c>
      <c r="BG80" s="20">
        <f t="shared" si="61"/>
        <v>601.15045270282633</v>
      </c>
      <c r="BH80" s="59">
        <f t="shared" si="62"/>
        <v>894.4837860361597</v>
      </c>
      <c r="BI80" s="59">
        <f ca="1">AVERAGE(OFFSET($BH$3,0,0,'Données projet'!$E$11+1,1))-AVERAGE(OFFSET($H$3,0,0,'Données projet'!$E$11+1,1))</f>
        <v>447.15627913956871</v>
      </c>
      <c r="BJ80" s="59">
        <f t="shared" si="92"/>
        <v>256.77417912163997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84.643274953715576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84.643274953715576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5.6</v>
      </c>
      <c r="BY80" s="12">
        <f>IF('Données projet'!$A$114&gt;35,BY79+BX80-CG79,IF(A80&lt;'Données projet'!$A$114,$BV$205^A80,IF(A80='Données projet'!$A$114,'Données projet'!$B$114,BY79+BX80-CG79)))</f>
        <v>248.19999999999996</v>
      </c>
      <c r="BZ80" s="13">
        <f>BY80*VLOOKUP('Données projet'!$B$12,Paramètres!$A$1:$I$89,3,0)*VLOOKUP('Données projet'!$B$12,Paramètres!$A$1:$I$89,5,0)</f>
        <v>236.18711999999994</v>
      </c>
      <c r="CA80" s="13">
        <f t="shared" si="93"/>
        <v>57.61840772987285</v>
      </c>
      <c r="CB80" s="20">
        <f t="shared" si="64"/>
        <v>511.71129412952837</v>
      </c>
      <c r="CC80" s="59">
        <f t="shared" si="65"/>
        <v>805.04462746286163</v>
      </c>
      <c r="CD80" s="59">
        <f ca="1">AVERAGE(OFFSET($CC$3,0,0,'Données projet'!$E$12+1,1))-AVERAGE(OFFSET($H$3,0,0,'Données projet'!$E$12+1,1))</f>
        <v>448.94764480536713</v>
      </c>
      <c r="CE80" s="59">
        <f t="shared" si="94"/>
        <v>469.26760321719695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78.63623189454087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78.63623189454087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187.80389738728508</v>
      </c>
      <c r="CZ80" s="59">
        <f t="shared" si="96"/>
        <v>439.28159165815265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48.692419971443556</v>
      </c>
      <c r="DG80" s="21">
        <f>EXP(-LN(2)/25)*DG79+(1-EXP(-LN(2)/25))/(LN(2)/25)*Calculateur!DB80*Calculateur!DD80*VLOOKUP('Données projet'!$B$13,Paramètres!$A$1:$I$89,3,0)*0.475*44/12</f>
        <v>3.9060808923664241</v>
      </c>
      <c r="DH80" s="21">
        <f>EXP(-LN(2)/2)*DH79+(1-EXP(-LN(2)/2))/(LN(2)/2)*DB80*DE80*VLOOKUP('Données projet'!$B$13,Paramètres!$A$1:$I$89,3,0)*0.475*44/12</f>
        <v>3.7900137114711784E-9</v>
      </c>
      <c r="DI80" s="22">
        <f t="shared" si="69"/>
        <v>52.598500867599995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255.00000000000006</v>
      </c>
      <c r="DP80" s="17">
        <f>DO80*VLOOKUP('Données projet'!$B$14,Paramètres!$A$1:$I$89,3,0)*VLOOKUP('Données projet'!$B$14,Paramètres!$A$1:$I$89,5,0)</f>
        <v>186.96600000000004</v>
      </c>
      <c r="DQ80" s="13">
        <f t="shared" si="97"/>
        <v>46.868551400324648</v>
      </c>
      <c r="DR80" s="20">
        <f t="shared" si="70"/>
        <v>407.26184368889881</v>
      </c>
      <c r="DS80" s="59">
        <f t="shared" si="71"/>
        <v>700.59517702223206</v>
      </c>
      <c r="DT80" s="59">
        <f ca="1">AVERAGE(OFFSET($DS$3,0,0,'Données projet'!$E$14+1,1))-AVERAGE(OFFSET($H$3,0,0,'Données projet'!$E$14+1,1))</f>
        <v>239.25212250019609</v>
      </c>
      <c r="DU80" s="59">
        <f t="shared" si="98"/>
        <v>213.58492101729695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11</v>
      </c>
      <c r="EJ80" s="12">
        <f>IF('Données projet'!$A$192&gt;35,EJ79+EI80-ER79,IF(A80&lt;'Données projet'!$A$192,$EG$205^A80,IF(A80='Données projet'!$A$192,'Données projet'!$B$192,EJ79+EI80-ER79)))</f>
        <v>685</v>
      </c>
      <c r="EK80" s="17">
        <f>EJ80*VLOOKUP('Données projet'!$B$15,Paramètres!$A$1:$I$89,3,0)*VLOOKUP('Données projet'!$B$15,Paramètres!$A$1:$I$89,5,0)</f>
        <v>409.63000000000005</v>
      </c>
      <c r="EL80" s="13">
        <f t="shared" si="99"/>
        <v>93.726288591583938</v>
      </c>
      <c r="EM80" s="20">
        <f t="shared" si="73"/>
        <v>876.67886929700865</v>
      </c>
      <c r="EN80" s="59">
        <f t="shared" si="74"/>
        <v>1170.012202630342</v>
      </c>
      <c r="EO80" s="59">
        <f ca="1">AVERAGE(OFFSET($EN$3,0,0,'Données projet'!$E$15+1,1))-AVERAGE(OFFSET($H$3,0,0,'Données projet'!$E$15+1,1))</f>
        <v>504.81063008331739</v>
      </c>
      <c r="EP80" s="59">
        <f t="shared" si="100"/>
        <v>441.82647565372287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92.876329955512972</v>
      </c>
      <c r="EW80" s="21">
        <f>EXP(-LN(2)/25)*EW79+(1-EXP(-LN(2)/25))/(LN(2)/25)*Calculateur!ER80*Calculateur!ET80*VLOOKUP('Données projet'!$B$15,Paramètres!$A$1:$I$89,3,0)*0.475*44/12</f>
        <v>15.996529597873261</v>
      </c>
      <c r="EX80" s="21">
        <f>EXP(-LN(2)/2)*EX79+(1-EXP(-LN(2)/2))/(LN(2)/2)*ER80*EU80*VLOOKUP('Données projet'!$B$15,Paramètres!$A$1:$I$89,3,0)*0.475*44/12</f>
        <v>4.4140260642820879E-9</v>
      </c>
      <c r="EY80" s="22">
        <f t="shared" si="75"/>
        <v>108.87285955780025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10.199999999999999</v>
      </c>
      <c r="FE80" s="12">
        <f>IF('Données projet'!$A$218&gt;35,FE79+FD80-FM79,IF(A80&lt;'Données projet'!$A$218,$FB$205^A80,IF(A80='Données projet'!$A$218,'Données projet'!$B$218,FE79+FD80-FM79)))</f>
        <v>465.39999999999958</v>
      </c>
      <c r="FF80" s="17">
        <f>FE80*VLOOKUP('Données projet'!$B$16,Paramètres!$A$1:$I$89,3,0)*VLOOKUP('Données projet'!$B$16,Paramètres!$A$1:$I$89,5,0)</f>
        <v>266.20879999999977</v>
      </c>
      <c r="FG80" s="13">
        <f t="shared" si="101"/>
        <v>64.044019981852728</v>
      </c>
      <c r="FH80" s="20">
        <f t="shared" si="76"/>
        <v>575.19032813505976</v>
      </c>
      <c r="FI80" s="59">
        <f t="shared" si="77"/>
        <v>868.52366146839313</v>
      </c>
      <c r="FJ80" s="59">
        <f ca="1">AVERAGE(OFFSET($FI$3,0,0,'Données projet'!$E$16+1,1))-AVERAGE(OFFSET($H$3,0,0,'Données projet'!$E$16+1,1))</f>
        <v>393.41577134252316</v>
      </c>
      <c r="FK80" s="59">
        <f t="shared" si="102"/>
        <v>255.54039659391475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77.79278364669041</v>
      </c>
      <c r="FR80" s="21">
        <f>EXP(-LN(2)/25)*FR79+(1-EXP(-LN(2)/25))/(LN(2)/25)*Calculateur!FM80*Calculateur!FO80*VLOOKUP('Données projet'!$B$16,Paramètres!$A$1:$I$89,3,0)*0.475*44/12</f>
        <v>7.2594863273070178</v>
      </c>
      <c r="FS80" s="21">
        <f>EXP(-LN(2)/2)*FS79+(1-EXP(-LN(2)/2))/(LN(2)/2)*FM80*FP80*VLOOKUP('Données projet'!$B$16,Paramètres!$A$1:$I$89,3,0)*0.475*44/12</f>
        <v>3.0707834879643722E-8</v>
      </c>
      <c r="FT80" s="22">
        <f t="shared" si="78"/>
        <v>85.052270004705264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16.600000000000001</v>
      </c>
      <c r="FZ80" s="12">
        <f>IF('Données projet'!$A$244&gt;35,FZ79+FY80-GH79,IF(A80&lt;'Données projet'!$A$244,$FW$205^A80,IF(A80='Données projet'!$A$244,'Données projet'!$B$244,FZ79+FY80-GH79)))</f>
        <v>851.2</v>
      </c>
      <c r="GA80" s="17">
        <f>FZ80*VLOOKUP('Données projet'!$B$17,Paramètres!$A$1:$I$89,3,0)*VLOOKUP('Données projet'!$B$17,Paramètres!$A$1:$I$89,5,0)</f>
        <v>398.36160000000001</v>
      </c>
      <c r="GB80" s="13">
        <f t="shared" si="103"/>
        <v>91.444425461235824</v>
      </c>
      <c r="GC80" s="20">
        <f t="shared" si="79"/>
        <v>853.07882767831904</v>
      </c>
      <c r="GD80" s="59">
        <f t="shared" si="80"/>
        <v>1146.4121610116524</v>
      </c>
      <c r="GE80" s="59">
        <f ca="1">AVERAGE(OFFSET($GD$3,0,0,'Données projet'!$E$17+1,1))-AVERAGE(OFFSET($H$3,0,0,'Données projet'!$E$17+1,1))</f>
        <v>488.67934252295686</v>
      </c>
      <c r="GF80" s="59">
        <f t="shared" si="104"/>
        <v>424.50324471331095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129.6829490843985</v>
      </c>
      <c r="GM80" s="21">
        <f>EXP(-LN(2)/25)*GM79+(1-EXP(-LN(2)/25))/(LN(2)/25)*Calculateur!GH80*Calculateur!GJ80*VLOOKUP('Données projet'!$B$17,Paramètres!$A$1:$I$89,3,0)*0.475*44/12</f>
        <v>13.309058266729533</v>
      </c>
      <c r="GN80" s="21">
        <f>EXP(-LN(2)/2)*GN79+(1-EXP(-LN(2)/2))/(LN(2)/2)*GH80*GK80*VLOOKUP('Données projet'!$B$17,Paramètres!$A$1:$I$89,3,0)*0.475*44/12</f>
        <v>6.8394723141024632E-8</v>
      </c>
      <c r="GO80" s="21">
        <f t="shared" si="81"/>
        <v>142.99200741952274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17.2</v>
      </c>
      <c r="GU80" s="12">
        <f>IF('Données projet'!$A$270&gt;35,GU79+GT80-HC79,IF(A80&lt;'Données projet'!$A$270,$GR$205^A80,IF(A80='Données projet'!$A$270,'Données projet'!$B$270,GU79+GT80-HC79)))</f>
        <v>788.39999999999986</v>
      </c>
      <c r="GV80" s="17">
        <f>GU80*VLOOKUP('Données projet'!$B$18,Paramètres!$A$1:$I$89,3,0)*VLOOKUP('Données projet'!$B$18,Paramètres!$A$1:$I$89,5,0)</f>
        <v>379.22039999999998</v>
      </c>
      <c r="GW80" s="13">
        <f t="shared" si="105"/>
        <v>87.550930043434363</v>
      </c>
      <c r="GX80" s="20">
        <f t="shared" si="82"/>
        <v>812.9600664923147</v>
      </c>
      <c r="GY80" s="59">
        <f t="shared" si="83"/>
        <v>1106.2933998256481</v>
      </c>
      <c r="GZ80" s="59">
        <f ca="1">AVERAGE(OFFSET($GY$3,0,0,'Données projet'!$E$18+1,1))-AVERAGE(OFFSET($H$3,0,0,'Données projet'!$E$18+1,1))</f>
        <v>458.80976193248841</v>
      </c>
      <c r="HA80" s="59">
        <f t="shared" si="106"/>
        <v>396.07405370178759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129.93243161087346</v>
      </c>
      <c r="HH80" s="21">
        <f>EXP(-LN(2)/25)*HH79+(1-EXP(-LN(2)/25))/(LN(2)/25)*Calculateur!HC80*Calculateur!HE80*VLOOKUP('Données projet'!$B$18,Paramètres!$A$1:$I$89,3,0)*0.475*44/12</f>
        <v>12.435231208812954</v>
      </c>
      <c r="HI80" s="21">
        <f>EXP(-LN(2)/2)*HI79+(1-EXP(-LN(2)/2))/(LN(2)/2)*HC80*HF80*VLOOKUP('Données projet'!$B$18,Paramètres!$A$1:$I$89,3,0)*0.475*44/12</f>
        <v>3.1560830292967182E-8</v>
      </c>
      <c r="HJ80" s="22">
        <f t="shared" si="84"/>
        <v>142.36766285124725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781.97424192191022</v>
      </c>
      <c r="S81" s="59">
        <f ca="1">AVERAGE(OFFSET($R$3,0,0,'Données projet'!$E$9+1,1))-AVERAGE(OFFSET($H$3,0,0,'Données projet'!$E$9+1,1))</f>
        <v>364.3481978218424</v>
      </c>
      <c r="T81" s="59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53.248913996443655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53.248913996443655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636.99999999999977</v>
      </c>
      <c r="AJ81" s="13">
        <f>AI81*VLOOKUP('Données projet'!$B$10,Paramètres!$A$1:$I$89,3,0)*VLOOKUP('Données projet'!$B$10,Paramètres!$A$1:$I$89,5,0)</f>
        <v>356.08299999999991</v>
      </c>
      <c r="AK81" s="13">
        <f t="shared" si="89"/>
        <v>82.813805255716545</v>
      </c>
      <c r="AL81" s="20">
        <f t="shared" si="58"/>
        <v>764.41193582037283</v>
      </c>
      <c r="AM81" s="59">
        <f t="shared" si="59"/>
        <v>1057.7452691537062</v>
      </c>
      <c r="AN81" s="59">
        <f ca="1">AVERAGE(OFFSET($AM$3,0,0,'Données projet'!$E$10+1,1))-AVERAGE(OFFSET($H$3,0,0,'Données projet'!$E$10+1,1))</f>
        <v>443.34220761968419</v>
      </c>
      <c r="AO81" s="59">
        <f t="shared" si="90"/>
        <v>546.58234447298014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68.425066880897973</v>
      </c>
      <c r="AV81" s="21">
        <f>EXP(-LN(2)/25)*AV80+(1-EXP(-LN(2)/25))/(LN(2)/25)*Calculateur!AQ81*Calculateur!AS81*VLOOKUP('Données projet'!$B$10,Paramètres!$A$1:$I$89,3,0)*0.475*44/12</f>
        <v>5.7970315476424137</v>
      </c>
      <c r="AW81" s="21">
        <f>EXP(-LN(2)/2)*AW80+(1-EXP(-LN(2)/2))/(LN(2)/2)*AQ81*AT81*VLOOKUP('Données projet'!$B$10,Paramètres!$A$1:$I$89,3,0)*0.475*44/12</f>
        <v>3.6011915449764009E-7</v>
      </c>
      <c r="AX81" s="21">
        <f t="shared" si="60"/>
        <v>74.222098788659551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8.8000000000000007</v>
      </c>
      <c r="BD81" s="12">
        <f>IF('Données projet'!$A$88&gt;35,BD80+BC81-BL80,IF(A81&lt;'Données projet'!$A$88,$BA$205^A81,IF(A81='Données projet'!$A$88,'Données projet'!$B$88,BD80+BC81-BL80)))</f>
        <v>333.39999999999986</v>
      </c>
      <c r="BE81" s="13">
        <f>BD81*VLOOKUP('Données projet'!$B$11,Paramètres!$A$1:$I$89,3,0)*VLOOKUP('Données projet'!$B$11,Paramètres!$A$1:$I$89,5,0)</f>
        <v>286.05719999999991</v>
      </c>
      <c r="BF81" s="13">
        <f t="shared" si="91"/>
        <v>68.24547055517067</v>
      </c>
      <c r="BG81" s="20">
        <f t="shared" si="61"/>
        <v>617.07715121692206</v>
      </c>
      <c r="BH81" s="59">
        <f t="shared" si="62"/>
        <v>910.41048455025543</v>
      </c>
      <c r="BI81" s="59">
        <f ca="1">AVERAGE(OFFSET($BH$3,0,0,'Données projet'!$E$11+1,1))-AVERAGE(OFFSET($H$3,0,0,'Données projet'!$E$11+1,1))</f>
        <v>447.15627913956871</v>
      </c>
      <c r="BJ81" s="59">
        <f t="shared" si="92"/>
        <v>256.77417912163997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82.983471959173158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82.983471959173158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5.6</v>
      </c>
      <c r="BY81" s="12">
        <f>IF('Données projet'!$A$114&gt;35,BY80+BX81-CG80,IF(A81&lt;'Données projet'!$A$114,$BV$205^A81,IF(A81='Données projet'!$A$114,'Données projet'!$B$114,BY80+BX81-CG80)))</f>
        <v>253.79999999999995</v>
      </c>
      <c r="BZ81" s="13">
        <f>BY81*VLOOKUP('Données projet'!$B$12,Paramètres!$A$1:$I$89,3,0)*VLOOKUP('Données projet'!$B$12,Paramètres!$A$1:$I$89,5,0)</f>
        <v>241.51607999999993</v>
      </c>
      <c r="CA81" s="13">
        <f t="shared" si="93"/>
        <v>58.765602836317846</v>
      </c>
      <c r="CB81" s="20">
        <f t="shared" si="64"/>
        <v>522.99059760658679</v>
      </c>
      <c r="CC81" s="59">
        <f t="shared" si="65"/>
        <v>816.32393093992005</v>
      </c>
      <c r="CD81" s="59">
        <f ca="1">AVERAGE(OFFSET($CC$3,0,0,'Données projet'!$E$12+1,1))-AVERAGE(OFFSET($H$3,0,0,'Données projet'!$E$12+1,1))</f>
        <v>448.94764480536713</v>
      </c>
      <c r="CE81" s="59">
        <f t="shared" si="94"/>
        <v>469.26760321719695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77.094223350454385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77.094223350454385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187.80389738728508</v>
      </c>
      <c r="CZ81" s="59">
        <f t="shared" si="96"/>
        <v>439.28159165815265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47.737591315247151</v>
      </c>
      <c r="DG81" s="21">
        <f>EXP(-LN(2)/25)*DG80+(1-EXP(-LN(2)/25))/(LN(2)/25)*Calculateur!DB81*Calculateur!DD81*VLOOKUP('Données projet'!$B$13,Paramètres!$A$1:$I$89,3,0)*0.475*44/12</f>
        <v>3.7992689049527977</v>
      </c>
      <c r="DH81" s="21">
        <f>EXP(-LN(2)/2)*DH80+(1-EXP(-LN(2)/2))/(LN(2)/2)*DB81*DE81*VLOOKUP('Données projet'!$B$13,Paramètres!$A$1:$I$89,3,0)*0.475*44/12</f>
        <v>2.6799443961712654E-9</v>
      </c>
      <c r="DI81" s="22">
        <f t="shared" si="69"/>
        <v>51.536860222879895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255.00000000000006</v>
      </c>
      <c r="DP81" s="17">
        <f>DO81*VLOOKUP('Données projet'!$B$14,Paramètres!$A$1:$I$89,3,0)*VLOOKUP('Données projet'!$B$14,Paramètres!$A$1:$I$89,5,0)</f>
        <v>186.96600000000004</v>
      </c>
      <c r="DQ81" s="13">
        <f t="shared" si="97"/>
        <v>46.868551400324648</v>
      </c>
      <c r="DR81" s="20">
        <f t="shared" si="70"/>
        <v>407.26184368889881</v>
      </c>
      <c r="DS81" s="59">
        <f t="shared" si="71"/>
        <v>700.59517702223206</v>
      </c>
      <c r="DT81" s="59">
        <f ca="1">AVERAGE(OFFSET($DS$3,0,0,'Données projet'!$E$14+1,1))-AVERAGE(OFFSET($H$3,0,0,'Données projet'!$E$14+1,1))</f>
        <v>239.25212250019609</v>
      </c>
      <c r="DU81" s="59">
        <f t="shared" si="98"/>
        <v>213.58492101729695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11</v>
      </c>
      <c r="EJ81" s="12">
        <f>IF('Données projet'!$A$192&gt;35,EJ80+EI81-ER80,IF(A81&lt;'Données projet'!$A$192,$EG$205^A81,IF(A81='Données projet'!$A$192,'Données projet'!$B$192,EJ80+EI81-ER80)))</f>
        <v>696</v>
      </c>
      <c r="EK81" s="17">
        <f>EJ81*VLOOKUP('Données projet'!$B$15,Paramètres!$A$1:$I$89,3,0)*VLOOKUP('Données projet'!$B$15,Paramètres!$A$1:$I$89,5,0)</f>
        <v>416.20800000000003</v>
      </c>
      <c r="EL81" s="13">
        <f t="shared" si="99"/>
        <v>95.054953813743452</v>
      </c>
      <c r="EM81" s="20">
        <f t="shared" si="73"/>
        <v>890.4496445589366</v>
      </c>
      <c r="EN81" s="59">
        <f t="shared" si="74"/>
        <v>1183.7829778922699</v>
      </c>
      <c r="EO81" s="59">
        <f ca="1">AVERAGE(OFFSET($EN$3,0,0,'Données projet'!$E$15+1,1))-AVERAGE(OFFSET($H$3,0,0,'Données projet'!$E$15+1,1))</f>
        <v>504.81063008331739</v>
      </c>
      <c r="EP81" s="59">
        <f t="shared" si="100"/>
        <v>441.82647565372287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91.055081774053008</v>
      </c>
      <c r="EW81" s="21">
        <f>EXP(-LN(2)/25)*EW80+(1-EXP(-LN(2)/25))/(LN(2)/25)*Calculateur!ER81*Calculateur!ET81*VLOOKUP('Données projet'!$B$15,Paramètres!$A$1:$I$89,3,0)*0.475*44/12</f>
        <v>15.559103654798486</v>
      </c>
      <c r="EX81" s="21">
        <f>EXP(-LN(2)/2)*EX80+(1-EXP(-LN(2)/2))/(LN(2)/2)*ER81*EU81*VLOOKUP('Données projet'!$B$15,Paramètres!$A$1:$I$89,3,0)*0.475*44/12</f>
        <v>3.121187762388032E-9</v>
      </c>
      <c r="EY81" s="22">
        <f t="shared" si="75"/>
        <v>106.61418543197269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10.199999999999999</v>
      </c>
      <c r="FE81" s="12">
        <f>IF('Données projet'!$A$218&gt;35,FE80+FD81-FM80,IF(A81&lt;'Données projet'!$A$218,$FB$205^A81,IF(A81='Données projet'!$A$218,'Données projet'!$B$218,FE80+FD81-FM80)))</f>
        <v>475.59999999999957</v>
      </c>
      <c r="FF81" s="17">
        <f>FE81*VLOOKUP('Données projet'!$B$16,Paramètres!$A$1:$I$89,3,0)*VLOOKUP('Données projet'!$B$16,Paramètres!$A$1:$I$89,5,0)</f>
        <v>272.04319999999979</v>
      </c>
      <c r="FG81" s="13">
        <f t="shared" si="101"/>
        <v>65.282697454750803</v>
      </c>
      <c r="FH81" s="20">
        <f t="shared" si="76"/>
        <v>587.50927140035719</v>
      </c>
      <c r="FI81" s="59">
        <f t="shared" si="77"/>
        <v>880.84260473369045</v>
      </c>
      <c r="FJ81" s="59">
        <f ca="1">AVERAGE(OFFSET($FI$3,0,0,'Données projet'!$E$16+1,1))-AVERAGE(OFFSET($H$3,0,0,'Données projet'!$E$16+1,1))</f>
        <v>393.41577134252316</v>
      </c>
      <c r="FK81" s="59">
        <f t="shared" si="102"/>
        <v>255.54039659391475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76.267314608291642</v>
      </c>
      <c r="FR81" s="21">
        <f>EXP(-LN(2)/25)*FR80+(1-EXP(-LN(2)/25))/(LN(2)/25)*Calculateur!FM81*Calculateur!FO81*VLOOKUP('Données projet'!$B$16,Paramètres!$A$1:$I$89,3,0)*0.475*44/12</f>
        <v>7.0609752919270132</v>
      </c>
      <c r="FS81" s="21">
        <f>EXP(-LN(2)/2)*FS80+(1-EXP(-LN(2)/2))/(LN(2)/2)*FM81*FP81*VLOOKUP('Données projet'!$B$16,Paramètres!$A$1:$I$89,3,0)*0.475*44/12</f>
        <v>2.1713718278952865E-8</v>
      </c>
      <c r="FT81" s="22">
        <f t="shared" si="78"/>
        <v>83.328289921932367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16.600000000000001</v>
      </c>
      <c r="FZ81" s="12">
        <f>IF('Données projet'!$A$244&gt;35,FZ80+FY81-GH80,IF(A81&lt;'Données projet'!$A$244,$FW$205^A81,IF(A81='Données projet'!$A$244,'Données projet'!$B$244,FZ80+FY81-GH80)))</f>
        <v>867.80000000000007</v>
      </c>
      <c r="GA81" s="17">
        <f>FZ81*VLOOKUP('Données projet'!$B$17,Paramètres!$A$1:$I$89,3,0)*VLOOKUP('Données projet'!$B$17,Paramètres!$A$1:$I$89,5,0)</f>
        <v>406.13040000000001</v>
      </c>
      <c r="GB81" s="13">
        <f t="shared" si="103"/>
        <v>93.018407428716657</v>
      </c>
      <c r="GC81" s="20">
        <f t="shared" si="79"/>
        <v>869.35083960501481</v>
      </c>
      <c r="GD81" s="59">
        <f t="shared" si="80"/>
        <v>1162.6841729383482</v>
      </c>
      <c r="GE81" s="59">
        <f ca="1">AVERAGE(OFFSET($GD$3,0,0,'Données projet'!$E$17+1,1))-AVERAGE(OFFSET($H$3,0,0,'Données projet'!$E$17+1,1))</f>
        <v>488.67934252295686</v>
      </c>
      <c r="GF81" s="59">
        <f t="shared" si="104"/>
        <v>424.50324471331095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127.13994555164203</v>
      </c>
      <c r="GM81" s="21">
        <f>EXP(-LN(2)/25)*GM80+(1-EXP(-LN(2)/25))/(LN(2)/25)*Calculateur!GH81*Calculateur!GJ81*VLOOKUP('Données projet'!$B$17,Paramètres!$A$1:$I$89,3,0)*0.475*44/12</f>
        <v>12.945121368532858</v>
      </c>
      <c r="GN81" s="21">
        <f>EXP(-LN(2)/2)*GN80+(1-EXP(-LN(2)/2))/(LN(2)/2)*GH81*GK81*VLOOKUP('Données projet'!$B$17,Paramètres!$A$1:$I$89,3,0)*0.475*44/12</f>
        <v>4.8362372530395004E-8</v>
      </c>
      <c r="GO81" s="21">
        <f t="shared" si="81"/>
        <v>140.08506696853726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17.2</v>
      </c>
      <c r="GU81" s="12">
        <f>IF('Données projet'!$A$270&gt;35,GU80+GT81-HC80,IF(A81&lt;'Données projet'!$A$270,$GR$205^A81,IF(A81='Données projet'!$A$270,'Données projet'!$B$270,GU80+GT81-HC80)))</f>
        <v>805.59999999999991</v>
      </c>
      <c r="GV81" s="17">
        <f>GU81*VLOOKUP('Données projet'!$B$18,Paramètres!$A$1:$I$89,3,0)*VLOOKUP('Données projet'!$B$18,Paramètres!$A$1:$I$89,5,0)</f>
        <v>387.49359999999996</v>
      </c>
      <c r="GW81" s="13">
        <f t="shared" si="105"/>
        <v>89.236516197068497</v>
      </c>
      <c r="GX81" s="20">
        <f t="shared" si="82"/>
        <v>830.30495237656078</v>
      </c>
      <c r="GY81" s="59">
        <f t="shared" si="83"/>
        <v>1123.638285709894</v>
      </c>
      <c r="GZ81" s="59">
        <f ca="1">AVERAGE(OFFSET($GY$3,0,0,'Données projet'!$E$18+1,1))-AVERAGE(OFFSET($H$3,0,0,'Données projet'!$E$18+1,1))</f>
        <v>458.80976193248841</v>
      </c>
      <c r="HA81" s="59">
        <f t="shared" si="106"/>
        <v>396.07405370178759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127.38453587794214</v>
      </c>
      <c r="HH81" s="21">
        <f>EXP(-LN(2)/25)*HH80+(1-EXP(-LN(2)/25))/(LN(2)/25)*Calculateur!HC81*Calculateur!HE81*VLOOKUP('Données projet'!$B$18,Paramètres!$A$1:$I$89,3,0)*0.475*44/12</f>
        <v>12.095189157467576</v>
      </c>
      <c r="HI81" s="21">
        <f>EXP(-LN(2)/2)*HI80+(1-EXP(-LN(2)/2))/(LN(2)/2)*HC81*HF81*VLOOKUP('Données projet'!$B$18,Paramètres!$A$1:$I$89,3,0)*0.475*44/12</f>
        <v>2.2316877120034906E-8</v>
      </c>
      <c r="HJ81" s="22">
        <f t="shared" si="84"/>
        <v>139.4797250577266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793.47590424937596</v>
      </c>
      <c r="S82" s="59">
        <f ca="1">AVERAGE(OFFSET($R$3,0,0,'Données projet'!$E$9+1,1))-AVERAGE(OFFSET($H$3,0,0,'Données projet'!$E$9+1,1))</f>
        <v>364.3481978218424</v>
      </c>
      <c r="T82" s="59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52.204735271603937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52.204735271603937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636.99999999999977</v>
      </c>
      <c r="AJ82" s="13">
        <f>AI82*VLOOKUP('Données projet'!$B$10,Paramètres!$A$1:$I$89,3,0)*VLOOKUP('Données projet'!$B$10,Paramètres!$A$1:$I$89,5,0)</f>
        <v>356.08299999999991</v>
      </c>
      <c r="AK82" s="13">
        <f t="shared" si="89"/>
        <v>82.813805255716545</v>
      </c>
      <c r="AL82" s="20">
        <f t="shared" si="58"/>
        <v>764.41193582037283</v>
      </c>
      <c r="AM82" s="59">
        <f t="shared" si="59"/>
        <v>1057.7452691537062</v>
      </c>
      <c r="AN82" s="59">
        <f ca="1">AVERAGE(OFFSET($AM$3,0,0,'Données projet'!$E$10+1,1))-AVERAGE(OFFSET($H$3,0,0,'Données projet'!$E$10+1,1))</f>
        <v>443.34220761968419</v>
      </c>
      <c r="AO82" s="59">
        <f t="shared" si="90"/>
        <v>546.58234447298014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67.083293054533357</v>
      </c>
      <c r="AV82" s="21">
        <f>EXP(-LN(2)/25)*AV81+(1-EXP(-LN(2)/25))/(LN(2)/25)*Calculateur!AQ82*Calculateur!AS82*VLOOKUP('Données projet'!$B$10,Paramètres!$A$1:$I$89,3,0)*0.475*44/12</f>
        <v>5.6385114151194919</v>
      </c>
      <c r="AW82" s="21">
        <f>EXP(-LN(2)/2)*AW81+(1-EXP(-LN(2)/2))/(LN(2)/2)*AQ82*AT82*VLOOKUP('Données projet'!$B$10,Paramètres!$A$1:$I$89,3,0)*0.475*44/12</f>
        <v>2.5464269618044729E-7</v>
      </c>
      <c r="AX82" s="21">
        <f t="shared" si="60"/>
        <v>72.721804724295552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8.8000000000000007</v>
      </c>
      <c r="BD82" s="12">
        <f>IF('Données projet'!$A$88&gt;35,BD81+BC82-BL81,IF(A82&lt;'Données projet'!$A$88,$BA$205^A82,IF(A82='Données projet'!$A$88,'Données projet'!$B$88,BD81+BC82-BL81)))</f>
        <v>342.19999999999987</v>
      </c>
      <c r="BE82" s="13">
        <f>BD82*VLOOKUP('Données projet'!$B$11,Paramètres!$A$1:$I$89,3,0)*VLOOKUP('Données projet'!$B$11,Paramètres!$A$1:$I$89,5,0)</f>
        <v>293.60759999999993</v>
      </c>
      <c r="BF82" s="13">
        <f t="shared" si="91"/>
        <v>69.834695689453682</v>
      </c>
      <c r="BG82" s="20">
        <f t="shared" si="61"/>
        <v>632.99533165913169</v>
      </c>
      <c r="BH82" s="59">
        <f t="shared" si="62"/>
        <v>926.32866499246506</v>
      </c>
      <c r="BI82" s="59">
        <f ca="1">AVERAGE(OFFSET($BH$3,0,0,'Données projet'!$E$11+1,1))-AVERAGE(OFFSET($H$3,0,0,'Données projet'!$E$11+1,1))</f>
        <v>447.15627913956871</v>
      </c>
      <c r="BJ82" s="59">
        <f t="shared" si="92"/>
        <v>256.77417912163997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81.356216688973859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81.356216688973859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5.6</v>
      </c>
      <c r="BY82" s="12">
        <f>IF('Données projet'!$A$114&gt;35,BY81+BX82-CG81,IF(A82&lt;'Données projet'!$A$114,$BV$205^A82,IF(A82='Données projet'!$A$114,'Données projet'!$B$114,BY81+BX82-CG81)))</f>
        <v>259.39999999999998</v>
      </c>
      <c r="BZ82" s="13">
        <f>BY82*VLOOKUP('Données projet'!$B$12,Paramètres!$A$1:$I$89,3,0)*VLOOKUP('Données projet'!$B$12,Paramètres!$A$1:$I$89,5,0)</f>
        <v>246.84503999999998</v>
      </c>
      <c r="CA82" s="13">
        <f t="shared" si="93"/>
        <v>59.909855104873429</v>
      </c>
      <c r="CB82" s="20">
        <f t="shared" si="64"/>
        <v>534.26477564098775</v>
      </c>
      <c r="CC82" s="59">
        <f t="shared" si="65"/>
        <v>827.59810897432112</v>
      </c>
      <c r="CD82" s="59">
        <f ca="1">AVERAGE(OFFSET($CC$3,0,0,'Données projet'!$E$12+1,1))-AVERAGE(OFFSET($H$3,0,0,'Données projet'!$E$12+1,1))</f>
        <v>448.94764480536713</v>
      </c>
      <c r="CE82" s="59">
        <f t="shared" si="94"/>
        <v>469.26760321719695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75.582452653385104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75.582452653385104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187.80389738728508</v>
      </c>
      <c r="CZ82" s="59">
        <f t="shared" si="96"/>
        <v>439.28159165815265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46.801486266610787</v>
      </c>
      <c r="DG82" s="21">
        <f>EXP(-LN(2)/25)*DG81+(1-EXP(-LN(2)/25))/(LN(2)/25)*Calculateur!DB82*Calculateur!DD82*VLOOKUP('Données projet'!$B$13,Paramètres!$A$1:$I$89,3,0)*0.475*44/12</f>
        <v>3.6953776969519949</v>
      </c>
      <c r="DH82" s="21">
        <f>EXP(-LN(2)/2)*DH81+(1-EXP(-LN(2)/2))/(LN(2)/2)*DB82*DE82*VLOOKUP('Données projet'!$B$13,Paramètres!$A$1:$I$89,3,0)*0.475*44/12</f>
        <v>1.8950068557355892E-9</v>
      </c>
      <c r="DI82" s="22">
        <f t="shared" si="69"/>
        <v>50.496863965457791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255.00000000000006</v>
      </c>
      <c r="DP82" s="17">
        <f>DO82*VLOOKUP('Données projet'!$B$14,Paramètres!$A$1:$I$89,3,0)*VLOOKUP('Données projet'!$B$14,Paramètres!$A$1:$I$89,5,0)</f>
        <v>186.96600000000004</v>
      </c>
      <c r="DQ82" s="13">
        <f t="shared" si="97"/>
        <v>46.868551400324648</v>
      </c>
      <c r="DR82" s="20">
        <f t="shared" si="70"/>
        <v>407.26184368889881</v>
      </c>
      <c r="DS82" s="59">
        <f t="shared" si="71"/>
        <v>700.59517702223206</v>
      </c>
      <c r="DT82" s="59">
        <f ca="1">AVERAGE(OFFSET($DS$3,0,0,'Données projet'!$E$14+1,1))-AVERAGE(OFFSET($H$3,0,0,'Données projet'!$E$14+1,1))</f>
        <v>239.25212250019609</v>
      </c>
      <c r="DU82" s="59">
        <f t="shared" si="98"/>
        <v>213.58492101729695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11</v>
      </c>
      <c r="EJ82" s="12">
        <f>IF('Données projet'!$A$192&gt;35,EJ81+EI82-ER81,IF(A82&lt;'Données projet'!$A$192,$EG$205^A82,IF(A82='Données projet'!$A$192,'Données projet'!$B$192,EJ81+EI82-ER81)))</f>
        <v>707</v>
      </c>
      <c r="EK82" s="17">
        <f>EJ82*VLOOKUP('Données projet'!$B$15,Paramètres!$A$1:$I$89,3,0)*VLOOKUP('Données projet'!$B$15,Paramètres!$A$1:$I$89,5,0)</f>
        <v>422.78600000000006</v>
      </c>
      <c r="EL82" s="13">
        <f t="shared" si="99"/>
        <v>96.381176889504729</v>
      </c>
      <c r="EM82" s="20">
        <f t="shared" si="73"/>
        <v>904.21616641588753</v>
      </c>
      <c r="EN82" s="59">
        <f t="shared" si="74"/>
        <v>1197.5494997492208</v>
      </c>
      <c r="EO82" s="59">
        <f ca="1">AVERAGE(OFFSET($EN$3,0,0,'Données projet'!$E$15+1,1))-AVERAGE(OFFSET($H$3,0,0,'Données projet'!$E$15+1,1))</f>
        <v>504.81063008331739</v>
      </c>
      <c r="EP82" s="59">
        <f t="shared" si="100"/>
        <v>441.82647565372287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89.269547158579783</v>
      </c>
      <c r="EW82" s="21">
        <f>EXP(-LN(2)/25)*EW81+(1-EXP(-LN(2)/25))/(LN(2)/25)*Calculateur!ER82*Calculateur!ET82*VLOOKUP('Données projet'!$B$15,Paramètres!$A$1:$I$89,3,0)*0.475*44/12</f>
        <v>15.133639147140322</v>
      </c>
      <c r="EX82" s="21">
        <f>EXP(-LN(2)/2)*EX81+(1-EXP(-LN(2)/2))/(LN(2)/2)*ER82*EU82*VLOOKUP('Données projet'!$B$15,Paramètres!$A$1:$I$89,3,0)*0.475*44/12</f>
        <v>2.207013032141044E-9</v>
      </c>
      <c r="EY82" s="22">
        <f t="shared" si="75"/>
        <v>104.40318630792713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10.199999999999999</v>
      </c>
      <c r="FE82" s="12">
        <f>IF('Données projet'!$A$218&gt;35,FE81+FD82-FM81,IF(A82&lt;'Données projet'!$A$218,$FB$205^A82,IF(A82='Données projet'!$A$218,'Données projet'!$B$218,FE81+FD82-FM81)))</f>
        <v>485.79999999999956</v>
      </c>
      <c r="FF82" s="17">
        <f>FE82*VLOOKUP('Données projet'!$B$16,Paramètres!$A$1:$I$89,3,0)*VLOOKUP('Données projet'!$B$16,Paramètres!$A$1:$I$89,5,0)</f>
        <v>277.87759999999975</v>
      </c>
      <c r="FG82" s="13">
        <f t="shared" si="101"/>
        <v>66.518286319824696</v>
      </c>
      <c r="FH82" s="20">
        <f t="shared" si="76"/>
        <v>599.82283534036094</v>
      </c>
      <c r="FI82" s="59">
        <f t="shared" si="77"/>
        <v>893.15616867369431</v>
      </c>
      <c r="FJ82" s="59">
        <f ca="1">AVERAGE(OFFSET($FI$3,0,0,'Données projet'!$E$16+1,1))-AVERAGE(OFFSET($H$3,0,0,'Données projet'!$E$16+1,1))</f>
        <v>393.41577134252316</v>
      </c>
      <c r="FK82" s="59">
        <f t="shared" si="102"/>
        <v>255.54039659391475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74.771759087291642</v>
      </c>
      <c r="FR82" s="21">
        <f>EXP(-LN(2)/25)*FR81+(1-EXP(-LN(2)/25))/(LN(2)/25)*Calculateur!FM82*Calculateur!FO82*VLOOKUP('Données projet'!$B$16,Paramètres!$A$1:$I$89,3,0)*0.475*44/12</f>
        <v>6.8678925512487163</v>
      </c>
      <c r="FS82" s="21">
        <f>EXP(-LN(2)/2)*FS81+(1-EXP(-LN(2)/2))/(LN(2)/2)*FM82*FP82*VLOOKUP('Données projet'!$B$16,Paramètres!$A$1:$I$89,3,0)*0.475*44/12</f>
        <v>1.5353917439821861E-8</v>
      </c>
      <c r="FT82" s="22">
        <f t="shared" si="78"/>
        <v>81.639651653894276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16.600000000000001</v>
      </c>
      <c r="FZ82" s="12">
        <f>IF('Données projet'!$A$244&gt;35,FZ81+FY82-GH81,IF(A82&lt;'Données projet'!$A$244,$FW$205^A82,IF(A82='Données projet'!$A$244,'Données projet'!$B$244,FZ81+FY82-GH81)))</f>
        <v>884.40000000000009</v>
      </c>
      <c r="GA82" s="17">
        <f>FZ82*VLOOKUP('Données projet'!$B$17,Paramètres!$A$1:$I$89,3,0)*VLOOKUP('Données projet'!$B$17,Paramètres!$A$1:$I$89,5,0)</f>
        <v>413.89920000000001</v>
      </c>
      <c r="GB82" s="13">
        <f t="shared" si="103"/>
        <v>94.588888447353682</v>
      </c>
      <c r="GC82" s="20">
        <f t="shared" si="79"/>
        <v>885.61675404580762</v>
      </c>
      <c r="GD82" s="59">
        <f t="shared" si="80"/>
        <v>1178.950087379141</v>
      </c>
      <c r="GE82" s="59">
        <f ca="1">AVERAGE(OFFSET($GD$3,0,0,'Données projet'!$E$17+1,1))-AVERAGE(OFFSET($H$3,0,0,'Données projet'!$E$17+1,1))</f>
        <v>488.67934252295686</v>
      </c>
      <c r="GF82" s="59">
        <f t="shared" si="104"/>
        <v>424.50324471331095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124.64680876708391</v>
      </c>
      <c r="GM82" s="21">
        <f>EXP(-LN(2)/25)*GM81+(1-EXP(-LN(2)/25))/(LN(2)/25)*Calculateur!GH82*Calculateur!GJ82*VLOOKUP('Données projet'!$B$17,Paramètres!$A$1:$I$89,3,0)*0.475*44/12</f>
        <v>12.591136343955981</v>
      </c>
      <c r="GN82" s="21">
        <f>EXP(-LN(2)/2)*GN81+(1-EXP(-LN(2)/2))/(LN(2)/2)*GH82*GK82*VLOOKUP('Données projet'!$B$17,Paramètres!$A$1:$I$89,3,0)*0.475*44/12</f>
        <v>3.4197361570512316E-8</v>
      </c>
      <c r="GO82" s="21">
        <f t="shared" si="81"/>
        <v>137.23794514523726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17.2</v>
      </c>
      <c r="GU82" s="12">
        <f>IF('Données projet'!$A$270&gt;35,GU81+GT82-HC81,IF(A82&lt;'Données projet'!$A$270,$GR$205^A82,IF(A82='Données projet'!$A$270,'Données projet'!$B$270,GU81+GT82-HC81)))</f>
        <v>822.8</v>
      </c>
      <c r="GV82" s="17">
        <f>GU82*VLOOKUP('Données projet'!$B$18,Paramètres!$A$1:$I$89,3,0)*VLOOKUP('Données projet'!$B$18,Paramètres!$A$1:$I$89,5,0)</f>
        <v>395.76679999999999</v>
      </c>
      <c r="GW82" s="13">
        <f t="shared" si="105"/>
        <v>90.917918190938764</v>
      </c>
      <c r="GX82" s="20">
        <f t="shared" si="82"/>
        <v>847.64255084921831</v>
      </c>
      <c r="GY82" s="59">
        <f t="shared" si="83"/>
        <v>1140.9758841825517</v>
      </c>
      <c r="GZ82" s="59">
        <f ca="1">AVERAGE(OFFSET($GY$3,0,0,'Données projet'!$E$18+1,1))-AVERAGE(OFFSET($H$3,0,0,'Données projet'!$E$18+1,1))</f>
        <v>458.80976193248841</v>
      </c>
      <c r="HA82" s="59">
        <f t="shared" si="106"/>
        <v>396.07405370178759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124.88660282627065</v>
      </c>
      <c r="HH82" s="21">
        <f>EXP(-LN(2)/25)*HH81+(1-EXP(-LN(2)/25))/(LN(2)/25)*Calculateur!HC82*Calculateur!HE82*VLOOKUP('Données projet'!$B$18,Paramètres!$A$1:$I$89,3,0)*0.475*44/12</f>
        <v>11.764445573898271</v>
      </c>
      <c r="HI82" s="21">
        <f>EXP(-LN(2)/2)*HI81+(1-EXP(-LN(2)/2))/(LN(2)/2)*HC82*HF82*VLOOKUP('Données projet'!$B$18,Paramètres!$A$1:$I$89,3,0)*0.475*44/12</f>
        <v>1.5780415146483591E-8</v>
      </c>
      <c r="HJ82" s="22">
        <f t="shared" si="84"/>
        <v>136.65104841594933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804.97196869076015</v>
      </c>
      <c r="S83" s="59">
        <f ca="1">AVERAGE(OFFSET($R$3,0,0,'Données projet'!$E$9+1,1))-AVERAGE(OFFSET($H$3,0,0,'Données projet'!$E$9+1,1))</f>
        <v>364.3481978218424</v>
      </c>
      <c r="T83" s="59">
        <f t="shared" si="88"/>
        <v>231.36959598460686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60.213105537266948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60.213105537266948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636.99999999999977</v>
      </c>
      <c r="AJ83" s="13">
        <f>AI83*VLOOKUP('Données projet'!$B$10,Paramètres!$A$1:$I$89,3,0)*VLOOKUP('Données projet'!$B$10,Paramètres!$A$1:$I$89,5,0)</f>
        <v>356.08299999999991</v>
      </c>
      <c r="AK83" s="13">
        <f t="shared" si="89"/>
        <v>82.813805255716545</v>
      </c>
      <c r="AL83" s="20">
        <f t="shared" si="58"/>
        <v>764.41193582037283</v>
      </c>
      <c r="AM83" s="59">
        <f t="shared" si="59"/>
        <v>1057.7452691537062</v>
      </c>
      <c r="AN83" s="59">
        <f ca="1">AVERAGE(OFFSET($AM$3,0,0,'Données projet'!$E$10+1,1))-AVERAGE(OFFSET($H$3,0,0,'Données projet'!$E$10+1,1))</f>
        <v>443.34220761968419</v>
      </c>
      <c r="AO83" s="59">
        <f t="shared" si="90"/>
        <v>546.58234447298014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65.767830594502527</v>
      </c>
      <c r="AV83" s="21">
        <f>EXP(-LN(2)/25)*AV82+(1-EXP(-LN(2)/25))/(LN(2)/25)*Calculateur!AQ83*Calculateur!AS83*VLOOKUP('Données projet'!$B$10,Paramètres!$A$1:$I$89,3,0)*0.475*44/12</f>
        <v>5.4843260239566209</v>
      </c>
      <c r="AW83" s="21">
        <f>EXP(-LN(2)/2)*AW82+(1-EXP(-LN(2)/2))/(LN(2)/2)*AQ83*AT83*VLOOKUP('Données projet'!$B$10,Paramètres!$A$1:$I$89,3,0)*0.475*44/12</f>
        <v>1.8005957724882004E-7</v>
      </c>
      <c r="AX83" s="21">
        <f t="shared" si="60"/>
        <v>71.252156798518726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351</v>
      </c>
      <c r="BB83" s="12">
        <f>VLOOKUP(A83,'Données projet'!$A$87:$I$107,9,0)</f>
        <v>8.8000000000000007</v>
      </c>
      <c r="BC83" s="12">
        <f t="array" ref="BC83">INDEX(BB:BB,MIN(IF(ISNUMBER(BB83:BB279),ROW(BB83:BB279),"")))</f>
        <v>8.8000000000000007</v>
      </c>
      <c r="BD83" s="12">
        <f>IF('Données projet'!$A$88&gt;35,BD82+BC83-BL82,IF(A83&lt;'Données projet'!$A$88,$BA$205^A83,IF(A83='Données projet'!$A$88,'Données projet'!$B$88,BD82+BC83-BL82)))</f>
        <v>350.99999999999989</v>
      </c>
      <c r="BE83" s="13">
        <f>BD83*VLOOKUP('Données projet'!$B$11,Paramètres!$A$1:$I$89,3,0)*VLOOKUP('Données projet'!$B$11,Paramètres!$A$1:$I$89,5,0)</f>
        <v>301.15799999999996</v>
      </c>
      <c r="BF83" s="13">
        <f t="shared" si="91"/>
        <v>71.419170296330975</v>
      </c>
      <c r="BG83" s="20">
        <f t="shared" si="61"/>
        <v>648.90523826610968</v>
      </c>
      <c r="BH83" s="59">
        <f t="shared" si="62"/>
        <v>942.23857159944305</v>
      </c>
      <c r="BI83" s="59">
        <f ca="1">AVERAGE(OFFSET($BH$3,0,0,'Données projet'!$E$11+1,1))-AVERAGE(OFFSET($H$3,0,0,'Données projet'!$E$11+1,1))</f>
        <v>447.15627913956871</v>
      </c>
      <c r="BJ83" s="59">
        <f t="shared" si="92"/>
        <v>256.77417912163997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93.836515712982248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93.836515712982248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265</v>
      </c>
      <c r="BW83" s="12">
        <f>VLOOKUP(A83,'Données projet'!$A$113:$I$133,9,0)</f>
        <v>5.6</v>
      </c>
      <c r="BX83" s="12">
        <f t="array" ref="BX83">INDEX(BW:BW,MIN(IF(ISNUMBER(BW83:BW279),ROW(BW83:BW279),"")))</f>
        <v>5.6</v>
      </c>
      <c r="BY83" s="12">
        <f>IF('Données projet'!$A$114&gt;35,BY82+BX83-CG82,IF(A83&lt;'Données projet'!$A$114,$BV$205^A83,IF(A83='Données projet'!$A$114,'Données projet'!$B$114,BY82+BX83-CG82)))</f>
        <v>265</v>
      </c>
      <c r="BZ83" s="13">
        <f>BY83*VLOOKUP('Données projet'!$B$12,Paramètres!$A$1:$I$89,3,0)*VLOOKUP('Données projet'!$B$12,Paramètres!$A$1:$I$89,5,0)</f>
        <v>252.17400000000001</v>
      </c>
      <c r="CA83" s="13">
        <f t="shared" si="93"/>
        <v>61.051235383411935</v>
      </c>
      <c r="CB83" s="20">
        <f t="shared" si="64"/>
        <v>545.53395162610911</v>
      </c>
      <c r="CC83" s="59">
        <f t="shared" si="65"/>
        <v>838.86728495944249</v>
      </c>
      <c r="CD83" s="59">
        <f ca="1">AVERAGE(OFFSET($CC$3,0,0,'Données projet'!$E$12+1,1))-AVERAGE(OFFSET($H$3,0,0,'Données projet'!$E$12+1,1))</f>
        <v>448.94764480536713</v>
      </c>
      <c r="CE83" s="59">
        <f t="shared" si="94"/>
        <v>469.26760321719695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26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85.861302412764815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85.861302412764815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187.80389738728508</v>
      </c>
      <c r="CZ83" s="59">
        <f t="shared" si="96"/>
        <v>439.28159165815265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45.883737667010479</v>
      </c>
      <c r="DG83" s="21">
        <f>EXP(-LN(2)/25)*DG82+(1-EXP(-LN(2)/25))/(LN(2)/25)*Calculateur!DB83*Calculateur!DD83*VLOOKUP('Données projet'!$B$13,Paramètres!$A$1:$I$89,3,0)*0.475*44/12</f>
        <v>3.5943273994973755</v>
      </c>
      <c r="DH83" s="21">
        <f>EXP(-LN(2)/2)*DH82+(1-EXP(-LN(2)/2))/(LN(2)/2)*DB83*DE83*VLOOKUP('Données projet'!$B$13,Paramètres!$A$1:$I$89,3,0)*0.475*44/12</f>
        <v>1.3399721980856327E-9</v>
      </c>
      <c r="DI83" s="22">
        <f t="shared" si="69"/>
        <v>49.478065067847822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255.00000000000006</v>
      </c>
      <c r="DP83" s="17">
        <f>DO83*VLOOKUP('Données projet'!$B$14,Paramètres!$A$1:$I$89,3,0)*VLOOKUP('Données projet'!$B$14,Paramètres!$A$1:$I$89,5,0)</f>
        <v>186.96600000000004</v>
      </c>
      <c r="DQ83" s="13">
        <f t="shared" si="97"/>
        <v>46.868551400324648</v>
      </c>
      <c r="DR83" s="20">
        <f t="shared" si="70"/>
        <v>407.26184368889881</v>
      </c>
      <c r="DS83" s="59">
        <f t="shared" si="71"/>
        <v>700.59517702223206</v>
      </c>
      <c r="DT83" s="59">
        <f ca="1">AVERAGE(OFFSET($DS$3,0,0,'Données projet'!$E$14+1,1))-AVERAGE(OFFSET($H$3,0,0,'Données projet'!$E$14+1,1))</f>
        <v>239.25212250019609</v>
      </c>
      <c r="DU83" s="59">
        <f t="shared" si="98"/>
        <v>213.58492101729695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718</v>
      </c>
      <c r="EH83" s="12">
        <f>VLOOKUP(A83,'Données projet'!$A$191:$I$211,9,0)</f>
        <v>11</v>
      </c>
      <c r="EI83" s="12">
        <f t="array" ref="EI83">INDEX(EH:EH,MIN(IF(ISNUMBER(EH83:EH279),ROW(EH83:EH279),"")))</f>
        <v>11</v>
      </c>
      <c r="EJ83" s="12">
        <f>IF('Données projet'!$A$192&gt;35,EJ82+EI83-ER82,IF(A83&lt;'Données projet'!$A$192,$EG$205^A83,IF(A83='Données projet'!$A$192,'Données projet'!$B$192,EJ82+EI83-ER82)))</f>
        <v>718</v>
      </c>
      <c r="EK83" s="17">
        <f>EJ83*VLOOKUP('Données projet'!$B$15,Paramètres!$A$1:$I$89,3,0)*VLOOKUP('Données projet'!$B$15,Paramètres!$A$1:$I$89,5,0)</f>
        <v>429.36400000000003</v>
      </c>
      <c r="EL83" s="13">
        <f t="shared" si="99"/>
        <v>97.705000203350068</v>
      </c>
      <c r="EM83" s="20">
        <f t="shared" si="73"/>
        <v>917.9785086875014</v>
      </c>
      <c r="EN83" s="59">
        <f t="shared" si="74"/>
        <v>1211.3118420208348</v>
      </c>
      <c r="EO83" s="59">
        <f ca="1">AVERAGE(OFFSET($EN$3,0,0,'Données projet'!$E$15+1,1))-AVERAGE(OFFSET($H$3,0,0,'Données projet'!$E$15+1,1))</f>
        <v>504.81063008331739</v>
      </c>
      <c r="EP83" s="59">
        <f t="shared" si="100"/>
        <v>441.82647565372287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29</v>
      </c>
      <c r="ES83" s="16">
        <f>IF(ISNA(VLOOKUP(A83,'Données projet'!$A$191:$I$211,5,0)),0%,VLOOKUP(A83,'Données projet'!$A$191:$I$211,5,0)*VLOOKUP('Données projet'!$B$15,Paramètres!$A$1:$I$89,7,0))</f>
        <v>0.45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97.871402141652027</v>
      </c>
      <c r="EW83" s="21">
        <f>EXP(-LN(2)/25)*EW82+(1-EXP(-LN(2)/25))/(LN(2)/25)*Calculateur!ER83*Calculateur!ET83*VLOOKUP('Données projet'!$B$15,Paramètres!$A$1:$I$89,3,0)*0.475*44/12</f>
        <v>14.719808988818276</v>
      </c>
      <c r="EX83" s="21">
        <f>EXP(-LN(2)/2)*EX82+(1-EXP(-LN(2)/2))/(LN(2)/2)*ER83*EU83*VLOOKUP('Données projet'!$B$15,Paramètres!$A$1:$I$89,3,0)*0.475*44/12</f>
        <v>1.560593881194016E-9</v>
      </c>
      <c r="EY83" s="22">
        <f t="shared" si="75"/>
        <v>112.59121113203089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496</v>
      </c>
      <c r="FC83" s="12">
        <f>VLOOKUP(A83,'Données projet'!$A$217:$I$237,9,0)</f>
        <v>10.199999999999999</v>
      </c>
      <c r="FD83" s="12">
        <f t="array" ref="FD83">INDEX(FC:FC,MIN(IF(ISNUMBER(FC83:FC279),ROW(FC83:FC279),"")))</f>
        <v>10.199999999999999</v>
      </c>
      <c r="FE83" s="12">
        <f>IF('Données projet'!$A$218&gt;35,FE82+FD83-FM82,IF(A83&lt;'Données projet'!$A$218,$FB$205^A83,IF(A83='Données projet'!$A$218,'Données projet'!$B$218,FE82+FD83-FM82)))</f>
        <v>495.99999999999955</v>
      </c>
      <c r="FF83" s="17">
        <f>FE83*VLOOKUP('Données projet'!$B$16,Paramètres!$A$1:$I$89,3,0)*VLOOKUP('Données projet'!$B$16,Paramètres!$A$1:$I$89,5,0)</f>
        <v>283.71199999999976</v>
      </c>
      <c r="FG83" s="13">
        <f t="shared" si="101"/>
        <v>67.750858897187811</v>
      </c>
      <c r="FH83" s="20">
        <f t="shared" si="76"/>
        <v>612.13114591260171</v>
      </c>
      <c r="FI83" s="59">
        <f t="shared" si="77"/>
        <v>905.46447924593508</v>
      </c>
      <c r="FJ83" s="59">
        <f ca="1">AVERAGE(OFFSET($FI$3,0,0,'Données projet'!$E$16+1,1))-AVERAGE(OFFSET($H$3,0,0,'Données projet'!$E$16+1,1))</f>
        <v>393.41577134252316</v>
      </c>
      <c r="FK83" s="59">
        <f t="shared" si="102"/>
        <v>255.54039659391475</v>
      </c>
      <c r="FL83" s="15">
        <f>IF(ISNA(VLOOKUP(A83,'Données projet'!$A$217:$I$237,3,0)),0,VLOOKUP(A83,'Données projet'!$A$217:$I$237,3,0))</f>
        <v>13</v>
      </c>
      <c r="FM83" s="15">
        <f>IF(ISNA(VLOOKUP(A83,'Données projet'!$A$217:$I$237,4,0)),0,VLOOKUP(A83,'Données projet'!$A$217:$I$237,4,0))</f>
        <v>26</v>
      </c>
      <c r="FN83" s="16">
        <f>IF(ISNA(VLOOKUP(A83,'Données projet'!$A$217:$I$237,5,0)),0%,VLOOKUP(A83,'Données projet'!$A$217:$I$237,5,0)*VLOOKUP('Données projet'!$B$16,Paramètres!$A$1:$I$89,7,0))</f>
        <v>0.45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82.18343045944323</v>
      </c>
      <c r="FR83" s="21">
        <f>EXP(-LN(2)/25)*FR82+(1-EXP(-LN(2)/25))/(LN(2)/25)*Calculateur!FM83*Calculateur!FO83*VLOOKUP('Données projet'!$B$16,Paramètres!$A$1:$I$89,3,0)*0.475*44/12</f>
        <v>6.6800896682680477</v>
      </c>
      <c r="FS83" s="21">
        <f>EXP(-LN(2)/2)*FS82+(1-EXP(-LN(2)/2))/(LN(2)/2)*FM83*FP83*VLOOKUP('Données projet'!$B$16,Paramètres!$A$1:$I$89,3,0)*0.475*44/12</f>
        <v>1.0856859139476433E-8</v>
      </c>
      <c r="FT83" s="22">
        <f t="shared" si="78"/>
        <v>88.863520138568148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901</v>
      </c>
      <c r="FX83" s="12">
        <f>VLOOKUP(A83,'Données projet'!$A$243:$I$263,9,0)</f>
        <v>16.600000000000001</v>
      </c>
      <c r="FY83" s="12">
        <f t="array" ref="FY83">INDEX(FX:FX,MIN(IF(ISNUMBER(FX83:FX279),ROW(FX83:FX279),"")))</f>
        <v>16.600000000000001</v>
      </c>
      <c r="FZ83" s="12">
        <f>IF('Données projet'!$A$244&gt;35,FZ82+FY83-GH82,IF(A83&lt;'Données projet'!$A$244,$FW$205^A83,IF(A83='Données projet'!$A$244,'Données projet'!$B$244,FZ82+FY83-GH82)))</f>
        <v>901.00000000000011</v>
      </c>
      <c r="GA83" s="17">
        <f>FZ83*VLOOKUP('Données projet'!$B$17,Paramètres!$A$1:$I$89,3,0)*VLOOKUP('Données projet'!$B$17,Paramètres!$A$1:$I$89,5,0)</f>
        <v>421.66800000000001</v>
      </c>
      <c r="GB83" s="13">
        <f t="shared" si="103"/>
        <v>96.15594180669585</v>
      </c>
      <c r="GC83" s="20">
        <f t="shared" si="79"/>
        <v>901.87669864666202</v>
      </c>
      <c r="GD83" s="59">
        <f t="shared" si="80"/>
        <v>1195.2100319799954</v>
      </c>
      <c r="GE83" s="59">
        <f ca="1">AVERAGE(OFFSET($GD$3,0,0,'Données projet'!$E$17+1,1))-AVERAGE(OFFSET($H$3,0,0,'Données projet'!$E$17+1,1))</f>
        <v>488.67934252295686</v>
      </c>
      <c r="GF83" s="59">
        <f t="shared" si="104"/>
        <v>424.50324471331095</v>
      </c>
      <c r="GG83" s="15">
        <f>IF(ISNA(VLOOKUP(A83,'Données projet'!$A$243:$I$263,3,0)),0,VLOOKUP(A83,'Données projet'!$A$243:$I$263,3,0))</f>
        <v>13</v>
      </c>
      <c r="GH83" s="15">
        <f>IF(ISNA(VLOOKUP(A83,'Données projet'!$A$243:$I$263,4,0)),0,VLOOKUP(A83,'Données projet'!$A$243:$I$263,4,0))</f>
        <v>48</v>
      </c>
      <c r="GI83" s="16">
        <f>IF(ISNA(VLOOKUP(A83,'Données projet'!$A$243:$I$263,5,0)),0%,VLOOKUP(A83,'Données projet'!$A$243:$I$263,5,0)*VLOOKUP('Données projet'!$B$17,Paramètres!$A$1:$I$89,7,0))</f>
        <v>0.55000000000000004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138.59253003405431</v>
      </c>
      <c r="GM83" s="21">
        <f>EXP(-LN(2)/25)*GM82+(1-EXP(-LN(2)/25))/(LN(2)/25)*Calculateur!GH83*Calculateur!GJ83*VLOOKUP('Données projet'!$B$17,Paramètres!$A$1:$I$89,3,0)*0.475*44/12</f>
        <v>12.246831058491422</v>
      </c>
      <c r="GN83" s="21">
        <f>EXP(-LN(2)/2)*GN82+(1-EXP(-LN(2)/2))/(LN(2)/2)*GH83*GK83*VLOOKUP('Données projet'!$B$17,Paramètres!$A$1:$I$89,3,0)*0.475*44/12</f>
        <v>2.4181186265197502E-8</v>
      </c>
      <c r="GO83" s="21">
        <f t="shared" si="81"/>
        <v>150.83936111672691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840</v>
      </c>
      <c r="GS83" s="12">
        <f>VLOOKUP(A83,'Données projet'!$A$269:$I$289,9,0)</f>
        <v>17.2</v>
      </c>
      <c r="GT83" s="12">
        <f t="array" ref="GT83">INDEX(GS:GS,MIN(IF(ISNUMBER(GS83:GS279),ROW(GS83:GS279),"")))</f>
        <v>17.2</v>
      </c>
      <c r="GU83" s="12">
        <f>IF('Données projet'!$A$270&gt;35,GU82+GT83-HC82,IF(A83&lt;'Données projet'!$A$270,$GR$205^A83,IF(A83='Données projet'!$A$270,'Données projet'!$B$270,GU82+GT83-HC82)))</f>
        <v>840</v>
      </c>
      <c r="GV83" s="17">
        <f>GU83*VLOOKUP('Données projet'!$B$18,Paramètres!$A$1:$I$89,3,0)*VLOOKUP('Données projet'!$B$18,Paramètres!$A$1:$I$89,5,0)</f>
        <v>404.04</v>
      </c>
      <c r="GW83" s="13">
        <f t="shared" si="105"/>
        <v>92.595233568437237</v>
      </c>
      <c r="GX83" s="20">
        <f t="shared" si="82"/>
        <v>864.9730317983616</v>
      </c>
      <c r="GY83" s="59">
        <f t="shared" si="83"/>
        <v>1158.306365131695</v>
      </c>
      <c r="GZ83" s="59">
        <f ca="1">AVERAGE(OFFSET($GY$3,0,0,'Données projet'!$E$18+1,1))-AVERAGE(OFFSET($H$3,0,0,'Données projet'!$E$18+1,1))</f>
        <v>458.80976193248841</v>
      </c>
      <c r="HA83" s="59">
        <f t="shared" si="106"/>
        <v>396.07405370178759</v>
      </c>
      <c r="HB83" s="15">
        <f>IF(ISNA(VLOOKUP(A83,'Données projet'!$A$269:$I$289,3,0)),0,VLOOKUP(A83,'Données projet'!$A$269:$I$289,3,0))</f>
        <v>13</v>
      </c>
      <c r="HC83" s="15">
        <f>IF(ISNA(VLOOKUP(A83,'Données projet'!$A$269:$I$289,4,0)),0,VLOOKUP(A83,'Données projet'!$A$269:$I$289,4,0))</f>
        <v>51</v>
      </c>
      <c r="HD83" s="16">
        <f>IF(ISNA(VLOOKUP(A83,'Données projet'!$A$269:$I$289,5,0)),0%,VLOOKUP(A83,'Données projet'!$A$269:$I$289,5,0)*VLOOKUP('Données projet'!$B$18,Paramètres!$A$1:$I$89,7,0))</f>
        <v>0.55000000000000004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140.33572667916675</v>
      </c>
      <c r="HH83" s="21">
        <f>EXP(-LN(2)/25)*HH82+(1-EXP(-LN(2)/25))/(LN(2)/25)*Calculateur!HC83*Calculateur!HE83*VLOOKUP('Données projet'!$B$18,Paramètres!$A$1:$I$89,3,0)*0.475*44/12</f>
        <v>11.442746191014718</v>
      </c>
      <c r="HI83" s="21">
        <f>EXP(-LN(2)/2)*HI82+(1-EXP(-LN(2)/2))/(LN(2)/2)*HC83*HF83*VLOOKUP('Données projet'!$B$18,Paramètres!$A$1:$I$89,3,0)*0.475*44/12</f>
        <v>1.1158438560017453E-8</v>
      </c>
      <c r="HJ83" s="22">
        <f t="shared" si="84"/>
        <v>151.77847288133992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775.83768133226158</v>
      </c>
      <c r="S84" s="59">
        <f ca="1">AVERAGE(OFFSET($R$3,0,0,'Données projet'!$E$9+1,1))-AVERAGE(OFFSET($H$3,0,0,'Données projet'!$E$9+1,1))</f>
        <v>364.3481978218424</v>
      </c>
      <c r="T84" s="59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59.032363264049096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59.032363264049096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636.99999999999977</v>
      </c>
      <c r="AJ84" s="13">
        <f>AI84*VLOOKUP('Données projet'!$B$10,Paramètres!$A$1:$I$89,3,0)*VLOOKUP('Données projet'!$B$10,Paramètres!$A$1:$I$89,5,0)</f>
        <v>356.08299999999991</v>
      </c>
      <c r="AK84" s="13">
        <f t="shared" si="89"/>
        <v>82.813805255716545</v>
      </c>
      <c r="AL84" s="20">
        <f t="shared" si="58"/>
        <v>764.41193582037283</v>
      </c>
      <c r="AM84" s="59">
        <f t="shared" si="59"/>
        <v>1057.7452691537062</v>
      </c>
      <c r="AN84" s="59">
        <f ca="1">AVERAGE(OFFSET($AM$3,0,0,'Données projet'!$E$10+1,1))-AVERAGE(OFFSET($H$3,0,0,'Données projet'!$E$10+1,1))</f>
        <v>443.34220761968419</v>
      </c>
      <c r="AO84" s="59">
        <f t="shared" si="90"/>
        <v>546.58234447298014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64.478163550960019</v>
      </c>
      <c r="AV84" s="21">
        <f>EXP(-LN(2)/25)*AV83+(1-EXP(-LN(2)/25))/(LN(2)/25)*Calculateur!AQ84*Calculateur!AS84*VLOOKUP('Données projet'!$B$10,Paramètres!$A$1:$I$89,3,0)*0.475*44/12</f>
        <v>5.3343568404233563</v>
      </c>
      <c r="AW84" s="21">
        <f>EXP(-LN(2)/2)*AW83+(1-EXP(-LN(2)/2))/(LN(2)/2)*AQ84*AT84*VLOOKUP('Données projet'!$B$10,Paramètres!$A$1:$I$89,3,0)*0.475*44/12</f>
        <v>1.2732134809022364E-7</v>
      </c>
      <c r="AX84" s="21">
        <f t="shared" si="60"/>
        <v>69.812520518704716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8.4</v>
      </c>
      <c r="BD84" s="12">
        <f>IF('Données projet'!$A$88&gt;35,BD83+BC84-BL83,IF(A84&lt;'Données projet'!$A$88,$BA$205^A84,IF(A84='Données projet'!$A$88,'Données projet'!$B$88,BD83+BC84-BL83)))</f>
        <v>331.39999999999986</v>
      </c>
      <c r="BE84" s="13">
        <f>BD84*VLOOKUP('Données projet'!$B$11,Paramètres!$A$1:$I$89,3,0)*VLOOKUP('Données projet'!$B$11,Paramètres!$A$1:$I$89,5,0)</f>
        <v>284.34119999999996</v>
      </c>
      <c r="BF84" s="13">
        <f t="shared" si="91"/>
        <v>67.883606139618351</v>
      </c>
      <c r="BG84" s="20">
        <f t="shared" si="61"/>
        <v>613.4582040265019</v>
      </c>
      <c r="BH84" s="59">
        <f t="shared" si="62"/>
        <v>906.79153735983527</v>
      </c>
      <c r="BI84" s="59">
        <f ca="1">AVERAGE(OFFSET($BH$3,0,0,'Données projet'!$E$11+1,1))-AVERAGE(OFFSET($H$3,0,0,'Données projet'!$E$11+1,1))</f>
        <v>447.15627913956871</v>
      </c>
      <c r="BJ84" s="59">
        <f t="shared" si="92"/>
        <v>256.77417912163997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91.996438874473796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91.996438874473796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5.4</v>
      </c>
      <c r="BY84" s="12">
        <f>IF('Données projet'!$A$114&gt;35,BY83+BX84-CG83,IF(A84&lt;'Données projet'!$A$114,$BV$205^A84,IF(A84='Données projet'!$A$114,'Données projet'!$B$114,BY83+BX84-CG83)))</f>
        <v>244.39999999999998</v>
      </c>
      <c r="BZ84" s="13">
        <f>BY84*VLOOKUP('Données projet'!$B$12,Paramètres!$A$1:$I$89,3,0)*VLOOKUP('Données projet'!$B$12,Paramètres!$A$1:$I$89,5,0)</f>
        <v>232.57103999999998</v>
      </c>
      <c r="CA84" s="13">
        <f t="shared" si="93"/>
        <v>56.838240313256655</v>
      </c>
      <c r="CB84" s="20">
        <f t="shared" si="64"/>
        <v>504.05449654558862</v>
      </c>
      <c r="CC84" s="59">
        <f t="shared" si="65"/>
        <v>797.38782987892193</v>
      </c>
      <c r="CD84" s="59">
        <f ca="1">AVERAGE(OFFSET($CC$3,0,0,'Données projet'!$E$12+1,1))-AVERAGE(OFFSET($H$3,0,0,'Données projet'!$E$12+1,1))</f>
        <v>448.94764480536713</v>
      </c>
      <c r="CE84" s="59">
        <f t="shared" si="94"/>
        <v>469.26760321719695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84.177614642673845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84.177614642673845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187.80389738728508</v>
      </c>
      <c r="CZ84" s="59">
        <f t="shared" si="96"/>
        <v>439.28159165815265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44.983985557676959</v>
      </c>
      <c r="DG84" s="21">
        <f>EXP(-LN(2)/25)*DG83+(1-EXP(-LN(2)/25))/(LN(2)/25)*Calculateur!DB84*Calculateur!DD84*VLOOKUP('Données projet'!$B$13,Paramètres!$A$1:$I$89,3,0)*0.475*44/12</f>
        <v>3.4960403277406567</v>
      </c>
      <c r="DH84" s="21">
        <f>EXP(-LN(2)/2)*DH83+(1-EXP(-LN(2)/2))/(LN(2)/2)*DB84*DE84*VLOOKUP('Données projet'!$B$13,Paramètres!$A$1:$I$89,3,0)*0.475*44/12</f>
        <v>9.4750342786779459E-10</v>
      </c>
      <c r="DI84" s="22">
        <f t="shared" si="69"/>
        <v>48.480025886365119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255.00000000000006</v>
      </c>
      <c r="DP84" s="17">
        <f>DO84*VLOOKUP('Données projet'!$B$14,Paramètres!$A$1:$I$89,3,0)*VLOOKUP('Données projet'!$B$14,Paramètres!$A$1:$I$89,5,0)</f>
        <v>186.96600000000004</v>
      </c>
      <c r="DQ84" s="13">
        <f t="shared" si="97"/>
        <v>46.868551400324648</v>
      </c>
      <c r="DR84" s="20">
        <f t="shared" si="70"/>
        <v>407.26184368889881</v>
      </c>
      <c r="DS84" s="59">
        <f t="shared" si="71"/>
        <v>700.59517702223206</v>
      </c>
      <c r="DT84" s="59">
        <f ca="1">AVERAGE(OFFSET($DS$3,0,0,'Données projet'!$E$14+1,1))-AVERAGE(OFFSET($H$3,0,0,'Données projet'!$E$14+1,1))</f>
        <v>239.25212250019609</v>
      </c>
      <c r="DU84" s="59">
        <f t="shared" si="98"/>
        <v>213.58492101729695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689</v>
      </c>
      <c r="EK84" s="17">
        <f>EJ84*VLOOKUP('Données projet'!$B$15,Paramètres!$A$1:$I$89,3,0)*VLOOKUP('Données projet'!$B$15,Paramètres!$A$1:$I$89,5,0)</f>
        <v>412.02199999999999</v>
      </c>
      <c r="EL84" s="13">
        <f t="shared" si="99"/>
        <v>94.209724877926391</v>
      </c>
      <c r="EM84" s="20">
        <f t="shared" si="73"/>
        <v>881.686920829055</v>
      </c>
      <c r="EN84" s="59">
        <f t="shared" si="74"/>
        <v>1175.0202541623883</v>
      </c>
      <c r="EO84" s="59">
        <f ca="1">AVERAGE(OFFSET($EN$3,0,0,'Données projet'!$E$15+1,1))-AVERAGE(OFFSET($H$3,0,0,'Données projet'!$E$15+1,1))</f>
        <v>504.81063008331739</v>
      </c>
      <c r="EP84" s="59">
        <f t="shared" si="100"/>
        <v>441.82647565372287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95.95220364131508</v>
      </c>
      <c r="EW84" s="21">
        <f>EXP(-LN(2)/25)*EW83+(1-EXP(-LN(2)/25))/(LN(2)/25)*Calculateur!ER84*Calculateur!ET84*VLOOKUP('Données projet'!$B$15,Paramètres!$A$1:$I$89,3,0)*0.475*44/12</f>
        <v>14.317295037937928</v>
      </c>
      <c r="EX84" s="21">
        <f>EXP(-LN(2)/2)*EX83+(1-EXP(-LN(2)/2))/(LN(2)/2)*ER84*EU84*VLOOKUP('Données projet'!$B$15,Paramètres!$A$1:$I$89,3,0)*0.475*44/12</f>
        <v>1.103506516070522E-9</v>
      </c>
      <c r="EY84" s="22">
        <f t="shared" si="75"/>
        <v>110.26949868035651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9.1999999999999993</v>
      </c>
      <c r="FE84" s="12">
        <f>IF('Données projet'!$A$218&gt;35,FE83+FD84-FM83,IF(A84&lt;'Données projet'!$A$218,$FB$205^A84,IF(A84='Données projet'!$A$218,'Données projet'!$B$218,FE83+FD84-FM83)))</f>
        <v>479.19999999999953</v>
      </c>
      <c r="FF84" s="17">
        <f>FE84*VLOOKUP('Données projet'!$B$16,Paramètres!$A$1:$I$89,3,0)*VLOOKUP('Données projet'!$B$16,Paramètres!$A$1:$I$89,5,0)</f>
        <v>274.1023999999997</v>
      </c>
      <c r="FG84" s="13">
        <f t="shared" si="101"/>
        <v>65.719136527619227</v>
      </c>
      <c r="FH84" s="20">
        <f t="shared" si="76"/>
        <v>591.85584278560293</v>
      </c>
      <c r="FI84" s="59">
        <f t="shared" si="77"/>
        <v>885.1891761189363</v>
      </c>
      <c r="FJ84" s="59">
        <f ca="1">AVERAGE(OFFSET($FI$3,0,0,'Données projet'!$E$16+1,1))-AVERAGE(OFFSET($H$3,0,0,'Données projet'!$E$16+1,1))</f>
        <v>393.41577134252316</v>
      </c>
      <c r="FK84" s="59">
        <f t="shared" si="102"/>
        <v>255.54039659391475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80.571863515076501</v>
      </c>
      <c r="FR84" s="21">
        <f>EXP(-LN(2)/25)*FR83+(1-EXP(-LN(2)/25))/(LN(2)/25)*Calculateur!FM84*Calculateur!FO84*VLOOKUP('Données projet'!$B$16,Paramètres!$A$1:$I$89,3,0)*0.475*44/12</f>
        <v>6.49742226499861</v>
      </c>
      <c r="FS84" s="21">
        <f>EXP(-LN(2)/2)*FS83+(1-EXP(-LN(2)/2))/(LN(2)/2)*FM84*FP84*VLOOKUP('Données projet'!$B$16,Paramètres!$A$1:$I$89,3,0)*0.475*44/12</f>
        <v>7.6769587199109304E-9</v>
      </c>
      <c r="FT84" s="22">
        <f t="shared" si="78"/>
        <v>87.069285787752065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853.00000000000011</v>
      </c>
      <c r="GA84" s="17">
        <f>FZ84*VLOOKUP('Données projet'!$B$17,Paramètres!$A$1:$I$89,3,0)*VLOOKUP('Données projet'!$B$17,Paramètres!$A$1:$I$89,5,0)</f>
        <v>399.20400000000006</v>
      </c>
      <c r="GB84" s="13">
        <f t="shared" si="103"/>
        <v>91.615269732888521</v>
      </c>
      <c r="GC84" s="20">
        <f t="shared" si="79"/>
        <v>854.8435614514475</v>
      </c>
      <c r="GD84" s="59">
        <f t="shared" si="80"/>
        <v>1148.1768947847809</v>
      </c>
      <c r="GE84" s="59">
        <f ca="1">AVERAGE(OFFSET($GD$3,0,0,'Données projet'!$E$17+1,1))-AVERAGE(OFFSET($H$3,0,0,'Données projet'!$E$17+1,1))</f>
        <v>488.67934252295686</v>
      </c>
      <c r="GF84" s="59">
        <f t="shared" si="104"/>
        <v>424.50324471331095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135.87481505318289</v>
      </c>
      <c r="GM84" s="21">
        <f>EXP(-LN(2)/25)*GM83+(1-EXP(-LN(2)/25))/(LN(2)/25)*Calculateur!GH84*Calculateur!GJ84*VLOOKUP('Données projet'!$B$17,Paramètres!$A$1:$I$89,3,0)*0.475*44/12</f>
        <v>11.911940819164119</v>
      </c>
      <c r="GN84" s="21">
        <f>EXP(-LN(2)/2)*GN83+(1-EXP(-LN(2)/2))/(LN(2)/2)*GH84*GK84*VLOOKUP('Données projet'!$B$17,Paramètres!$A$1:$I$89,3,0)*0.475*44/12</f>
        <v>1.7098680785256158E-8</v>
      </c>
      <c r="GO84" s="21">
        <f t="shared" si="81"/>
        <v>147.78675588944569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789</v>
      </c>
      <c r="GV84" s="17">
        <f>GU84*VLOOKUP('Données projet'!$B$18,Paramètres!$A$1:$I$89,3,0)*VLOOKUP('Données projet'!$B$18,Paramètres!$A$1:$I$89,5,0)</f>
        <v>379.50900000000001</v>
      </c>
      <c r="GW84" s="13">
        <f t="shared" si="105"/>
        <v>87.609801106074272</v>
      </c>
      <c r="GX84" s="20">
        <f t="shared" si="82"/>
        <v>813.56524525974601</v>
      </c>
      <c r="GY84" s="59">
        <f t="shared" si="83"/>
        <v>1106.8985785930793</v>
      </c>
      <c r="GZ84" s="59">
        <f ca="1">AVERAGE(OFFSET($GY$3,0,0,'Données projet'!$E$18+1,1))-AVERAGE(OFFSET($H$3,0,0,'Données projet'!$E$18+1,1))</f>
        <v>458.80976193248841</v>
      </c>
      <c r="HA84" s="59">
        <f t="shared" si="106"/>
        <v>396.07405370178759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137.58382867532964</v>
      </c>
      <c r="HH84" s="21">
        <f>EXP(-LN(2)/25)*HH83+(1-EXP(-LN(2)/25))/(LN(2)/25)*Calculateur!HC84*Calculateur!HE84*VLOOKUP('Données projet'!$B$18,Paramètres!$A$1:$I$89,3,0)*0.475*44/12</f>
        <v>11.129843694673552</v>
      </c>
      <c r="HI84" s="21">
        <f>EXP(-LN(2)/2)*HI83+(1-EXP(-LN(2)/2))/(LN(2)/2)*HC84*HF84*VLOOKUP('Données projet'!$B$18,Paramètres!$A$1:$I$89,3,0)*0.475*44/12</f>
        <v>7.8902075732417956E-9</v>
      </c>
      <c r="HJ84" s="22">
        <f t="shared" si="84"/>
        <v>148.7136723778934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786.9589923891599</v>
      </c>
      <c r="S85" s="59">
        <f ca="1">AVERAGE(OFFSET($R$3,0,0,'Données projet'!$E$9+1,1))-AVERAGE(OFFSET($H$3,0,0,'Données projet'!$E$9+1,1))</f>
        <v>364.3481978218424</v>
      </c>
      <c r="T85" s="59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57.874774626627371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57.874774626627371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636.99999999999977</v>
      </c>
      <c r="AJ85" s="13">
        <f>AI85*VLOOKUP('Données projet'!$B$10,Paramètres!$A$1:$I$89,3,0)*VLOOKUP('Données projet'!$B$10,Paramètres!$A$1:$I$89,5,0)</f>
        <v>356.08299999999991</v>
      </c>
      <c r="AK85" s="13">
        <f t="shared" si="89"/>
        <v>82.813805255716545</v>
      </c>
      <c r="AL85" s="20">
        <f t="shared" si="58"/>
        <v>764.41193582037283</v>
      </c>
      <c r="AM85" s="59">
        <f t="shared" si="59"/>
        <v>1057.7452691537062</v>
      </c>
      <c r="AN85" s="59">
        <f ca="1">AVERAGE(OFFSET($AM$3,0,0,'Données projet'!$E$10+1,1))-AVERAGE(OFFSET($H$3,0,0,'Données projet'!$E$10+1,1))</f>
        <v>443.34220761968419</v>
      </c>
      <c r="AO85" s="59">
        <f t="shared" si="90"/>
        <v>546.58234447298014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63.213786091522159</v>
      </c>
      <c r="AV85" s="21">
        <f>EXP(-LN(2)/25)*AV84+(1-EXP(-LN(2)/25))/(LN(2)/25)*Calculateur!AQ85*Calculateur!AS85*VLOOKUP('Données projet'!$B$10,Paramètres!$A$1:$I$89,3,0)*0.475*44/12</f>
        <v>5.1884885721003453</v>
      </c>
      <c r="AW85" s="21">
        <f>EXP(-LN(2)/2)*AW84+(1-EXP(-LN(2)/2))/(LN(2)/2)*AQ85*AT85*VLOOKUP('Données projet'!$B$10,Paramètres!$A$1:$I$89,3,0)*0.475*44/12</f>
        <v>9.0029788624410022E-8</v>
      </c>
      <c r="AX85" s="21">
        <f t="shared" si="60"/>
        <v>68.402274753652293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8.4</v>
      </c>
      <c r="BD85" s="12">
        <f>IF('Données projet'!$A$88&gt;35,BD84+BC85-BL84,IF(A85&lt;'Données projet'!$A$88,$BA$205^A85,IF(A85='Données projet'!$A$88,'Données projet'!$B$88,BD84+BC85-BL84)))</f>
        <v>339.79999999999984</v>
      </c>
      <c r="BE85" s="13">
        <f>BD85*VLOOKUP('Données projet'!$B$11,Paramètres!$A$1:$I$89,3,0)*VLOOKUP('Données projet'!$B$11,Paramètres!$A$1:$I$89,5,0)</f>
        <v>291.5483999999999</v>
      </c>
      <c r="BF85" s="13">
        <f t="shared" si="91"/>
        <v>69.40174753959208</v>
      </c>
      <c r="BG85" s="20">
        <f t="shared" si="61"/>
        <v>628.65484029812262</v>
      </c>
      <c r="BH85" s="59">
        <f t="shared" si="62"/>
        <v>921.98817363145599</v>
      </c>
      <c r="BI85" s="59">
        <f ca="1">AVERAGE(OFFSET($BH$3,0,0,'Données projet'!$E$11+1,1))-AVERAGE(OFFSET($H$3,0,0,'Données projet'!$E$11+1,1))</f>
        <v>447.15627913956871</v>
      </c>
      <c r="BJ85" s="59">
        <f t="shared" si="92"/>
        <v>256.77417912163997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90.192444820432456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90.192444820432456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5.4</v>
      </c>
      <c r="BY85" s="12">
        <f>IF('Données projet'!$A$114&gt;35,BY84+BX85-CG84,IF(A85&lt;'Données projet'!$A$114,$BV$205^A85,IF(A85='Données projet'!$A$114,'Données projet'!$B$114,BY84+BX85-CG84)))</f>
        <v>249.79999999999998</v>
      </c>
      <c r="BZ85" s="13">
        <f>BY85*VLOOKUP('Données projet'!$B$12,Paramètres!$A$1:$I$89,3,0)*VLOOKUP('Données projet'!$B$12,Paramètres!$A$1:$I$89,5,0)</f>
        <v>237.70967999999999</v>
      </c>
      <c r="CA85" s="13">
        <f t="shared" si="93"/>
        <v>57.946482312606733</v>
      </c>
      <c r="CB85" s="20">
        <f t="shared" si="64"/>
        <v>514.93448269445673</v>
      </c>
      <c r="CC85" s="59">
        <f t="shared" si="65"/>
        <v>808.2678160277901</v>
      </c>
      <c r="CD85" s="59">
        <f ca="1">AVERAGE(OFFSET($CC$3,0,0,'Données projet'!$E$12+1,1))-AVERAGE(OFFSET($H$3,0,0,'Données projet'!$E$12+1,1))</f>
        <v>448.94764480536713</v>
      </c>
      <c r="CE85" s="59">
        <f t="shared" si="94"/>
        <v>469.26760321719695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82.526942962806217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82.526942962806217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187.80389738728508</v>
      </c>
      <c r="CZ85" s="59">
        <f t="shared" si="96"/>
        <v>439.28159165815265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44.101877038412873</v>
      </c>
      <c r="DG85" s="21">
        <f>EXP(-LN(2)/25)*DG84+(1-EXP(-LN(2)/25))/(LN(2)/25)*Calculateur!DB85*Calculateur!DD85*VLOOKUP('Données projet'!$B$13,Paramètres!$A$1:$I$89,3,0)*0.475*44/12</f>
        <v>3.4004409211298179</v>
      </c>
      <c r="DH85" s="21">
        <f>EXP(-LN(2)/2)*DH84+(1-EXP(-LN(2)/2))/(LN(2)/2)*DB85*DE85*VLOOKUP('Données projet'!$B$13,Paramètres!$A$1:$I$89,3,0)*0.475*44/12</f>
        <v>6.6998609904281635E-10</v>
      </c>
      <c r="DI85" s="22">
        <f t="shared" si="69"/>
        <v>47.502317960212679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255.00000000000006</v>
      </c>
      <c r="DP85" s="17">
        <f>DO85*VLOOKUP('Données projet'!$B$14,Paramètres!$A$1:$I$89,3,0)*VLOOKUP('Données projet'!$B$14,Paramètres!$A$1:$I$89,5,0)</f>
        <v>186.96600000000004</v>
      </c>
      <c r="DQ85" s="13">
        <f t="shared" si="97"/>
        <v>46.868551400324648</v>
      </c>
      <c r="DR85" s="20">
        <f t="shared" si="70"/>
        <v>407.26184368889881</v>
      </c>
      <c r="DS85" s="59">
        <f t="shared" si="71"/>
        <v>700.59517702223206</v>
      </c>
      <c r="DT85" s="59">
        <f ca="1">AVERAGE(OFFSET($DS$3,0,0,'Données projet'!$E$14+1,1))-AVERAGE(OFFSET($H$3,0,0,'Données projet'!$E$14+1,1))</f>
        <v>239.25212250019609</v>
      </c>
      <c r="DU85" s="59">
        <f t="shared" si="98"/>
        <v>213.58492101729695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689</v>
      </c>
      <c r="EK85" s="17">
        <f>EJ85*VLOOKUP('Données projet'!$B$15,Paramètres!$A$1:$I$89,3,0)*VLOOKUP('Données projet'!$B$15,Paramètres!$A$1:$I$89,5,0)</f>
        <v>412.02199999999999</v>
      </c>
      <c r="EL85" s="13">
        <f t="shared" si="99"/>
        <v>94.209724877926391</v>
      </c>
      <c r="EM85" s="20">
        <f t="shared" si="73"/>
        <v>881.686920829055</v>
      </c>
      <c r="EN85" s="59">
        <f t="shared" si="74"/>
        <v>1175.0202541623883</v>
      </c>
      <c r="EO85" s="59">
        <f ca="1">AVERAGE(OFFSET($EN$3,0,0,'Données projet'!$E$15+1,1))-AVERAGE(OFFSET($H$3,0,0,'Données projet'!$E$15+1,1))</f>
        <v>504.81063008331739</v>
      </c>
      <c r="EP85" s="59">
        <f t="shared" si="100"/>
        <v>441.82647565372287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94.070639452974248</v>
      </c>
      <c r="EW85" s="21">
        <f>EXP(-LN(2)/25)*EW84+(1-EXP(-LN(2)/25))/(LN(2)/25)*Calculateur!ER85*Calculateur!ET85*VLOOKUP('Données projet'!$B$15,Paramètres!$A$1:$I$89,3,0)*0.475*44/12</f>
        <v>13.925787852211691</v>
      </c>
      <c r="EX85" s="21">
        <f>EXP(-LN(2)/2)*EX84+(1-EXP(-LN(2)/2))/(LN(2)/2)*ER85*EU85*VLOOKUP('Données projet'!$B$15,Paramètres!$A$1:$I$89,3,0)*0.475*44/12</f>
        <v>7.8029694059700799E-10</v>
      </c>
      <c r="EY85" s="22">
        <f t="shared" si="75"/>
        <v>107.99642730596624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9.1999999999999993</v>
      </c>
      <c r="FE85" s="12">
        <f>IF('Données projet'!$A$218&gt;35,FE84+FD85-FM84,IF(A85&lt;'Données projet'!$A$218,$FB$205^A85,IF(A85='Données projet'!$A$218,'Données projet'!$B$218,FE84+FD85-FM84)))</f>
        <v>488.39999999999952</v>
      </c>
      <c r="FF85" s="17">
        <f>FE85*VLOOKUP('Données projet'!$B$16,Paramètres!$A$1:$I$89,3,0)*VLOOKUP('Données projet'!$B$16,Paramètres!$A$1:$I$89,5,0)</f>
        <v>279.36479999999972</v>
      </c>
      <c r="FG85" s="13">
        <f t="shared" si="101"/>
        <v>66.832755122992182</v>
      </c>
      <c r="FH85" s="20">
        <f t="shared" si="76"/>
        <v>602.96074183921087</v>
      </c>
      <c r="FI85" s="59">
        <f t="shared" si="77"/>
        <v>896.29407517254413</v>
      </c>
      <c r="FJ85" s="59">
        <f ca="1">AVERAGE(OFFSET($FI$3,0,0,'Données projet'!$E$16+1,1))-AVERAGE(OFFSET($H$3,0,0,'Données projet'!$E$16+1,1))</f>
        <v>393.41577134252316</v>
      </c>
      <c r="FK85" s="59">
        <f t="shared" si="102"/>
        <v>255.54039659391475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78.991898415530031</v>
      </c>
      <c r="FR85" s="21">
        <f>EXP(-LN(2)/25)*FR84+(1-EXP(-LN(2)/25))/(LN(2)/25)*Calculateur!FM85*Calculateur!FO85*VLOOKUP('Données projet'!$B$16,Paramètres!$A$1:$I$89,3,0)*0.475*44/12</f>
        <v>6.3197499114776363</v>
      </c>
      <c r="FS85" s="21">
        <f>EXP(-LN(2)/2)*FS84+(1-EXP(-LN(2)/2))/(LN(2)/2)*FM85*FP85*VLOOKUP('Données projet'!$B$16,Paramètres!$A$1:$I$89,3,0)*0.475*44/12</f>
        <v>5.4284295697382163E-9</v>
      </c>
      <c r="FT85" s="22">
        <f t="shared" si="78"/>
        <v>85.311648332436107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853.00000000000011</v>
      </c>
      <c r="GA85" s="17">
        <f>FZ85*VLOOKUP('Données projet'!$B$17,Paramètres!$A$1:$I$89,3,0)*VLOOKUP('Données projet'!$B$17,Paramètres!$A$1:$I$89,5,0)</f>
        <v>399.20400000000006</v>
      </c>
      <c r="GB85" s="13">
        <f t="shared" si="103"/>
        <v>91.615269732888521</v>
      </c>
      <c r="GC85" s="20">
        <f t="shared" si="79"/>
        <v>854.8435614514475</v>
      </c>
      <c r="GD85" s="59">
        <f t="shared" si="80"/>
        <v>1148.1768947847809</v>
      </c>
      <c r="GE85" s="59">
        <f ca="1">AVERAGE(OFFSET($GD$3,0,0,'Données projet'!$E$17+1,1))-AVERAGE(OFFSET($H$3,0,0,'Données projet'!$E$17+1,1))</f>
        <v>488.67934252295686</v>
      </c>
      <c r="GF85" s="59">
        <f t="shared" si="104"/>
        <v>424.50324471331095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133.21039280544389</v>
      </c>
      <c r="GM85" s="21">
        <f>EXP(-LN(2)/25)*GM84+(1-EXP(-LN(2)/25))/(LN(2)/25)*Calculateur!GH85*Calculateur!GJ85*VLOOKUP('Données projet'!$B$17,Paramètres!$A$1:$I$89,3,0)*0.475*44/12</f>
        <v>11.586208171042333</v>
      </c>
      <c r="GN85" s="21">
        <f>EXP(-LN(2)/2)*GN84+(1-EXP(-LN(2)/2))/(LN(2)/2)*GH85*GK85*VLOOKUP('Données projet'!$B$17,Paramètres!$A$1:$I$89,3,0)*0.475*44/12</f>
        <v>1.2090593132598751E-8</v>
      </c>
      <c r="GO85" s="21">
        <f t="shared" si="81"/>
        <v>144.79660098857681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789</v>
      </c>
      <c r="GV85" s="17">
        <f>GU85*VLOOKUP('Données projet'!$B$18,Paramètres!$A$1:$I$89,3,0)*VLOOKUP('Données projet'!$B$18,Paramètres!$A$1:$I$89,5,0)</f>
        <v>379.50900000000001</v>
      </c>
      <c r="GW85" s="13">
        <f t="shared" si="105"/>
        <v>87.609801106074272</v>
      </c>
      <c r="GX85" s="20">
        <f t="shared" si="82"/>
        <v>813.56524525974601</v>
      </c>
      <c r="GY85" s="59">
        <f t="shared" si="83"/>
        <v>1106.8985785930793</v>
      </c>
      <c r="GZ85" s="59">
        <f ca="1">AVERAGE(OFFSET($GY$3,0,0,'Données projet'!$E$18+1,1))-AVERAGE(OFFSET($H$3,0,0,'Données projet'!$E$18+1,1))</f>
        <v>458.80976193248841</v>
      </c>
      <c r="HA85" s="59">
        <f t="shared" si="106"/>
        <v>396.07405370178759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134.88589371285573</v>
      </c>
      <c r="HH85" s="21">
        <f>EXP(-LN(2)/25)*HH84+(1-EXP(-LN(2)/25))/(LN(2)/25)*Calculateur!HC85*Calculateur!HE85*VLOOKUP('Données projet'!$B$18,Paramètres!$A$1:$I$89,3,0)*0.475*44/12</f>
        <v>10.825497533549662</v>
      </c>
      <c r="HI85" s="21">
        <f>EXP(-LN(2)/2)*HI84+(1-EXP(-LN(2)/2))/(LN(2)/2)*HC85*HF85*VLOOKUP('Données projet'!$B$18,Paramètres!$A$1:$I$89,3,0)*0.475*44/12</f>
        <v>5.5792192800087265E-9</v>
      </c>
      <c r="HJ85" s="22">
        <f t="shared" si="84"/>
        <v>145.71139125198459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798.07499357781728</v>
      </c>
      <c r="S86" s="59">
        <f ca="1">AVERAGE(OFFSET($R$3,0,0,'Données projet'!$E$9+1,1))-AVERAGE(OFFSET($H$3,0,0,'Données projet'!$E$9+1,1))</f>
        <v>364.3481978218424</v>
      </c>
      <c r="T86" s="59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56.739885596326133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56.739885596326133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636.99999999999977</v>
      </c>
      <c r="AJ86" s="13">
        <f>AI86*VLOOKUP('Données projet'!$B$10,Paramètres!$A$1:$I$89,3,0)*VLOOKUP('Données projet'!$B$10,Paramètres!$A$1:$I$89,5,0)</f>
        <v>356.08299999999991</v>
      </c>
      <c r="AK86" s="13">
        <f t="shared" si="89"/>
        <v>82.813805255716545</v>
      </c>
      <c r="AL86" s="20">
        <f t="shared" si="58"/>
        <v>764.41193582037283</v>
      </c>
      <c r="AM86" s="59">
        <f t="shared" si="59"/>
        <v>1057.7452691537062</v>
      </c>
      <c r="AN86" s="59">
        <f ca="1">AVERAGE(OFFSET($AM$3,0,0,'Données projet'!$E$10+1,1))-AVERAGE(OFFSET($H$3,0,0,'Données projet'!$E$10+1,1))</f>
        <v>443.34220761968419</v>
      </c>
      <c r="AO86" s="59">
        <f t="shared" si="90"/>
        <v>546.58234447298014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61.974202302869777</v>
      </c>
      <c r="AV86" s="21">
        <f>EXP(-LN(2)/25)*AV85+(1-EXP(-LN(2)/25))/(LN(2)/25)*Calculateur!AQ86*Calculateur!AS86*VLOOKUP('Données projet'!$B$10,Paramètres!$A$1:$I$89,3,0)*0.475*44/12</f>
        <v>5.0466090792455054</v>
      </c>
      <c r="AW86" s="21">
        <f>EXP(-LN(2)/2)*AW85+(1-EXP(-LN(2)/2))/(LN(2)/2)*AQ86*AT86*VLOOKUP('Données projet'!$B$10,Paramètres!$A$1:$I$89,3,0)*0.475*44/12</f>
        <v>6.3660674045111822E-8</v>
      </c>
      <c r="AX86" s="21">
        <f t="shared" si="60"/>
        <v>67.020811445775962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8.4</v>
      </c>
      <c r="BD86" s="12">
        <f>IF('Données projet'!$A$88&gt;35,BD85+BC86-BL85,IF(A86&lt;'Données projet'!$A$88,$BA$205^A86,IF(A86='Données projet'!$A$88,'Données projet'!$B$88,BD85+BC86-BL85)))</f>
        <v>348.19999999999982</v>
      </c>
      <c r="BE86" s="13">
        <f>BD86*VLOOKUP('Données projet'!$B$11,Paramètres!$A$1:$I$89,3,0)*VLOOKUP('Données projet'!$B$11,Paramètres!$A$1:$I$89,5,0)</f>
        <v>298.75559999999984</v>
      </c>
      <c r="BF86" s="13">
        <f t="shared" si="91"/>
        <v>70.915526361788181</v>
      </c>
      <c r="BG86" s="20">
        <f t="shared" si="61"/>
        <v>643.84387841344744</v>
      </c>
      <c r="BH86" s="59">
        <f t="shared" si="62"/>
        <v>937.17721174678081</v>
      </c>
      <c r="BI86" s="59">
        <f ca="1">AVERAGE(OFFSET($BH$3,0,0,'Données projet'!$E$11+1,1))-AVERAGE(OFFSET($H$3,0,0,'Données projet'!$E$11+1,1))</f>
        <v>447.15627913956871</v>
      </c>
      <c r="BJ86" s="59">
        <f t="shared" si="92"/>
        <v>256.77417912163997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88.42382598946314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88.42382598946314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5.4</v>
      </c>
      <c r="BY86" s="12">
        <f>IF('Données projet'!$A$114&gt;35,BY85+BX86-CG85,IF(A86&lt;'Données projet'!$A$114,$BV$205^A86,IF(A86='Données projet'!$A$114,'Données projet'!$B$114,BY85+BX86-CG85)))</f>
        <v>255.2</v>
      </c>
      <c r="BZ86" s="13">
        <f>BY86*VLOOKUP('Données projet'!$B$12,Paramètres!$A$1:$I$89,3,0)*VLOOKUP('Données projet'!$B$12,Paramètres!$A$1:$I$89,5,0)</f>
        <v>242.84832</v>
      </c>
      <c r="CA86" s="13">
        <f t="shared" si="93"/>
        <v>59.051938970892948</v>
      </c>
      <c r="CB86" s="20">
        <f t="shared" si="64"/>
        <v>525.80961770763849</v>
      </c>
      <c r="CC86" s="59">
        <f t="shared" si="65"/>
        <v>819.14295104097187</v>
      </c>
      <c r="CD86" s="59">
        <f ca="1">AVERAGE(OFFSET($CC$3,0,0,'Données projet'!$E$12+1,1))-AVERAGE(OFFSET($H$3,0,0,'Données projet'!$E$12+1,1))</f>
        <v>448.94764480536713</v>
      </c>
      <c r="CE86" s="59">
        <f t="shared" si="94"/>
        <v>469.26760321719695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80.908639947770482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80.908639947770482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187.80389738728508</v>
      </c>
      <c r="CZ86" s="59">
        <f t="shared" si="96"/>
        <v>439.28159165815265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43.237066129178487</v>
      </c>
      <c r="DG86" s="21">
        <f>EXP(-LN(2)/25)*DG85+(1-EXP(-LN(2)/25))/(LN(2)/25)*Calculateur!DB86*Calculateur!DD86*VLOOKUP('Données projet'!$B$13,Paramètres!$A$1:$I$89,3,0)*0.475*44/12</f>
        <v>3.3074556853201069</v>
      </c>
      <c r="DH86" s="21">
        <f>EXP(-LN(2)/2)*DH85+(1-EXP(-LN(2)/2))/(LN(2)/2)*DB86*DE86*VLOOKUP('Données projet'!$B$13,Paramètres!$A$1:$I$89,3,0)*0.475*44/12</f>
        <v>4.737517139338973E-10</v>
      </c>
      <c r="DI86" s="22">
        <f t="shared" si="69"/>
        <v>46.544521814972349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255.00000000000006</v>
      </c>
      <c r="DP86" s="17">
        <f>DO86*VLOOKUP('Données projet'!$B$14,Paramètres!$A$1:$I$89,3,0)*VLOOKUP('Données projet'!$B$14,Paramètres!$A$1:$I$89,5,0)</f>
        <v>186.96600000000004</v>
      </c>
      <c r="DQ86" s="13">
        <f t="shared" si="97"/>
        <v>46.868551400324648</v>
      </c>
      <c r="DR86" s="20">
        <f t="shared" si="70"/>
        <v>407.26184368889881</v>
      </c>
      <c r="DS86" s="59">
        <f t="shared" si="71"/>
        <v>700.59517702223206</v>
      </c>
      <c r="DT86" s="59">
        <f ca="1">AVERAGE(OFFSET($DS$3,0,0,'Données projet'!$E$14+1,1))-AVERAGE(OFFSET($H$3,0,0,'Données projet'!$E$14+1,1))</f>
        <v>239.25212250019609</v>
      </c>
      <c r="DU86" s="59">
        <f t="shared" si="98"/>
        <v>213.58492101729695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689</v>
      </c>
      <c r="EK86" s="17">
        <f>EJ86*VLOOKUP('Données projet'!$B$15,Paramètres!$A$1:$I$89,3,0)*VLOOKUP('Données projet'!$B$15,Paramètres!$A$1:$I$89,5,0)</f>
        <v>412.02199999999999</v>
      </c>
      <c r="EL86" s="13">
        <f t="shared" si="99"/>
        <v>94.209724877926391</v>
      </c>
      <c r="EM86" s="20">
        <f t="shared" si="73"/>
        <v>881.686920829055</v>
      </c>
      <c r="EN86" s="59">
        <f t="shared" si="74"/>
        <v>1175.0202541623883</v>
      </c>
      <c r="EO86" s="59">
        <f ca="1">AVERAGE(OFFSET($EN$3,0,0,'Données projet'!$E$15+1,1))-AVERAGE(OFFSET($H$3,0,0,'Données projet'!$E$15+1,1))</f>
        <v>504.81063008331739</v>
      </c>
      <c r="EP86" s="59">
        <f t="shared" si="100"/>
        <v>441.82647565372287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92.225971590725933</v>
      </c>
      <c r="EW86" s="21">
        <f>EXP(-LN(2)/25)*EW85+(1-EXP(-LN(2)/25))/(LN(2)/25)*Calculateur!ER86*Calculateur!ET86*VLOOKUP('Données projet'!$B$15,Paramètres!$A$1:$I$89,3,0)*0.475*44/12</f>
        <v>13.544986451067608</v>
      </c>
      <c r="EX86" s="21">
        <f>EXP(-LN(2)/2)*EX85+(1-EXP(-LN(2)/2))/(LN(2)/2)*ER86*EU86*VLOOKUP('Données projet'!$B$15,Paramètres!$A$1:$I$89,3,0)*0.475*44/12</f>
        <v>5.5175325803526099E-10</v>
      </c>
      <c r="EY86" s="22">
        <f t="shared" si="75"/>
        <v>105.77095804234528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9.1999999999999993</v>
      </c>
      <c r="FE86" s="12">
        <f>IF('Données projet'!$A$218&gt;35,FE85+FD86-FM85,IF(A86&lt;'Données projet'!$A$218,$FB$205^A86,IF(A86='Données projet'!$A$218,'Données projet'!$B$218,FE85+FD86-FM85)))</f>
        <v>497.59999999999951</v>
      </c>
      <c r="FF86" s="17">
        <f>FE86*VLOOKUP('Données projet'!$B$16,Paramètres!$A$1:$I$89,3,0)*VLOOKUP('Données projet'!$B$16,Paramètres!$A$1:$I$89,5,0)</f>
        <v>284.62719999999973</v>
      </c>
      <c r="FG86" s="13">
        <f t="shared" si="101"/>
        <v>67.943934488424603</v>
      </c>
      <c r="FH86" s="20">
        <f t="shared" si="76"/>
        <v>614.061392567339</v>
      </c>
      <c r="FI86" s="59">
        <f t="shared" si="77"/>
        <v>907.39472590067226</v>
      </c>
      <c r="FJ86" s="59">
        <f ca="1">AVERAGE(OFFSET($FI$3,0,0,'Données projet'!$E$16+1,1))-AVERAGE(OFFSET($H$3,0,0,'Données projet'!$E$16+1,1))</f>
        <v>393.41577134252316</v>
      </c>
      <c r="FK86" s="59">
        <f t="shared" si="102"/>
        <v>255.54039659391475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77.442915467902111</v>
      </c>
      <c r="FR86" s="21">
        <f>EXP(-LN(2)/25)*FR85+(1-EXP(-LN(2)/25))/(LN(2)/25)*Calculateur!FM86*Calculateur!FO86*VLOOKUP('Données projet'!$B$16,Paramètres!$A$1:$I$89,3,0)*0.475*44/12</f>
        <v>6.1469360178070769</v>
      </c>
      <c r="FS86" s="21">
        <f>EXP(-LN(2)/2)*FS85+(1-EXP(-LN(2)/2))/(LN(2)/2)*FM86*FP86*VLOOKUP('Données projet'!$B$16,Paramètres!$A$1:$I$89,3,0)*0.475*44/12</f>
        <v>3.8384793599554652E-9</v>
      </c>
      <c r="FT86" s="22">
        <f t="shared" si="78"/>
        <v>83.589851489547669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853.00000000000011</v>
      </c>
      <c r="GA86" s="17">
        <f>FZ86*VLOOKUP('Données projet'!$B$17,Paramètres!$A$1:$I$89,3,0)*VLOOKUP('Données projet'!$B$17,Paramètres!$A$1:$I$89,5,0)</f>
        <v>399.20400000000006</v>
      </c>
      <c r="GB86" s="13">
        <f t="shared" si="103"/>
        <v>91.615269732888521</v>
      </c>
      <c r="GC86" s="20">
        <f t="shared" si="79"/>
        <v>854.8435614514475</v>
      </c>
      <c r="GD86" s="59">
        <f t="shared" si="80"/>
        <v>1148.1768947847809</v>
      </c>
      <c r="GE86" s="59">
        <f ca="1">AVERAGE(OFFSET($GD$3,0,0,'Données projet'!$E$17+1,1))-AVERAGE(OFFSET($H$3,0,0,'Données projet'!$E$17+1,1))</f>
        <v>488.67934252295686</v>
      </c>
      <c r="GF86" s="59">
        <f t="shared" si="104"/>
        <v>424.50324471331095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130.59821825284595</v>
      </c>
      <c r="GM86" s="21">
        <f>EXP(-LN(2)/25)*GM85+(1-EXP(-LN(2)/25))/(LN(2)/25)*Calculateur!GH86*Calculateur!GJ86*VLOOKUP('Données projet'!$B$17,Paramètres!$A$1:$I$89,3,0)*0.475*44/12</f>
        <v>11.269382699312974</v>
      </c>
      <c r="GN86" s="21">
        <f>EXP(-LN(2)/2)*GN85+(1-EXP(-LN(2)/2))/(LN(2)/2)*GH86*GK86*VLOOKUP('Données projet'!$B$17,Paramètres!$A$1:$I$89,3,0)*0.475*44/12</f>
        <v>8.549340392628079E-9</v>
      </c>
      <c r="GO86" s="21">
        <f t="shared" si="81"/>
        <v>141.86760096070827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789</v>
      </c>
      <c r="GV86" s="17">
        <f>GU86*VLOOKUP('Données projet'!$B$18,Paramètres!$A$1:$I$89,3,0)*VLOOKUP('Données projet'!$B$18,Paramètres!$A$1:$I$89,5,0)</f>
        <v>379.50900000000001</v>
      </c>
      <c r="GW86" s="13">
        <f t="shared" si="105"/>
        <v>87.609801106074272</v>
      </c>
      <c r="GX86" s="20">
        <f t="shared" si="82"/>
        <v>813.56524525974601</v>
      </c>
      <c r="GY86" s="59">
        <f t="shared" si="83"/>
        <v>1106.8985785930793</v>
      </c>
      <c r="GZ86" s="59">
        <f ca="1">AVERAGE(OFFSET($GY$3,0,0,'Données projet'!$E$18+1,1))-AVERAGE(OFFSET($H$3,0,0,'Données projet'!$E$18+1,1))</f>
        <v>458.80976193248841</v>
      </c>
      <c r="HA86" s="59">
        <f t="shared" si="106"/>
        <v>396.07405370178759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132.24086360941808</v>
      </c>
      <c r="HH86" s="21">
        <f>EXP(-LN(2)/25)*HH85+(1-EXP(-LN(2)/25))/(LN(2)/25)*Calculateur!HC86*Calculateur!HE86*VLOOKUP('Données projet'!$B$18,Paramètres!$A$1:$I$89,3,0)*0.475*44/12</f>
        <v>10.529473734206572</v>
      </c>
      <c r="HI86" s="21">
        <f>EXP(-LN(2)/2)*HI85+(1-EXP(-LN(2)/2))/(LN(2)/2)*HC86*HF86*VLOOKUP('Données projet'!$B$18,Paramètres!$A$1:$I$89,3,0)*0.475*44/12</f>
        <v>3.9451037866208978E-9</v>
      </c>
      <c r="HJ86" s="22">
        <f t="shared" si="84"/>
        <v>142.77033734756975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809.18581832036466</v>
      </c>
      <c r="S87" s="59">
        <f ca="1">AVERAGE(OFFSET($R$3,0,0,'Données projet'!$E$9+1,1))-AVERAGE(OFFSET($H$3,0,0,'Données projet'!$E$9+1,1))</f>
        <v>364.3481978218424</v>
      </c>
      <c r="T87" s="59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55.627251047695147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55.627251047695147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636.99999999999977</v>
      </c>
      <c r="AJ87" s="13">
        <f>AI87*VLOOKUP('Données projet'!$B$10,Paramètres!$A$1:$I$89,3,0)*VLOOKUP('Données projet'!$B$10,Paramètres!$A$1:$I$89,5,0)</f>
        <v>356.08299999999991</v>
      </c>
      <c r="AK87" s="13">
        <f t="shared" si="89"/>
        <v>82.813805255716545</v>
      </c>
      <c r="AL87" s="20">
        <f t="shared" si="58"/>
        <v>764.41193582037283</v>
      </c>
      <c r="AM87" s="59">
        <f t="shared" si="59"/>
        <v>1057.7452691537062</v>
      </c>
      <c r="AN87" s="59">
        <f ca="1">AVERAGE(OFFSET($AM$3,0,0,'Données projet'!$E$10+1,1))-AVERAGE(OFFSET($H$3,0,0,'Données projet'!$E$10+1,1))</f>
        <v>443.34220761968419</v>
      </c>
      <c r="AO87" s="59">
        <f t="shared" si="90"/>
        <v>546.58234447298014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60.758925996241416</v>
      </c>
      <c r="AV87" s="21">
        <f>EXP(-LN(2)/25)*AV86+(1-EXP(-LN(2)/25))/(LN(2)/25)*Calculateur!AQ87*Calculateur!AS87*VLOOKUP('Données projet'!$B$10,Paramètres!$A$1:$I$89,3,0)*0.475*44/12</f>
        <v>4.9086092885839001</v>
      </c>
      <c r="AW87" s="21">
        <f>EXP(-LN(2)/2)*AW86+(1-EXP(-LN(2)/2))/(LN(2)/2)*AQ87*AT87*VLOOKUP('Données projet'!$B$10,Paramètres!$A$1:$I$89,3,0)*0.475*44/12</f>
        <v>4.5014894312205011E-8</v>
      </c>
      <c r="AX87" s="21">
        <f t="shared" si="60"/>
        <v>65.66753532984022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8.4</v>
      </c>
      <c r="BD87" s="12">
        <f>IF('Données projet'!$A$88&gt;35,BD86+BC87-BL86,IF(A87&lt;'Données projet'!$A$88,$BA$205^A87,IF(A87='Données projet'!$A$88,'Données projet'!$B$88,BD86+BC87-BL86)))</f>
        <v>356.5999999999998</v>
      </c>
      <c r="BE87" s="13">
        <f>BD87*VLOOKUP('Données projet'!$B$11,Paramètres!$A$1:$I$89,3,0)*VLOOKUP('Données projet'!$B$11,Paramètres!$A$1:$I$89,5,0)</f>
        <v>305.96279999999985</v>
      </c>
      <c r="BF87" s="13">
        <f t="shared" si="91"/>
        <v>72.425059957831166</v>
      </c>
      <c r="BG87" s="20">
        <f t="shared" si="61"/>
        <v>659.02552275988899</v>
      </c>
      <c r="BH87" s="59">
        <f t="shared" si="62"/>
        <v>952.35885609322236</v>
      </c>
      <c r="BI87" s="59">
        <f ca="1">AVERAGE(OFFSET($BH$3,0,0,'Données projet'!$E$11+1,1))-AVERAGE(OFFSET($H$3,0,0,'Données projet'!$E$11+1,1))</f>
        <v>447.15627913956871</v>
      </c>
      <c r="BJ87" s="59">
        <f t="shared" si="92"/>
        <v>256.77417912163997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86.689888695018155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86.689888695018155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5.4</v>
      </c>
      <c r="BY87" s="12">
        <f>IF('Données projet'!$A$114&gt;35,BY86+BX87-CG86,IF(A87&lt;'Données projet'!$A$114,$BV$205^A87,IF(A87='Données projet'!$A$114,'Données projet'!$B$114,BY86+BX87-CG86)))</f>
        <v>260.59999999999997</v>
      </c>
      <c r="BZ87" s="13">
        <f>BY87*VLOOKUP('Données projet'!$B$12,Paramètres!$A$1:$I$89,3,0)*VLOOKUP('Données projet'!$B$12,Paramètres!$A$1:$I$89,5,0)</f>
        <v>247.98695999999998</v>
      </c>
      <c r="CA87" s="13">
        <f t="shared" si="93"/>
        <v>60.154676014844824</v>
      </c>
      <c r="CB87" s="20">
        <f t="shared" si="64"/>
        <v>536.68001605918801</v>
      </c>
      <c r="CC87" s="59">
        <f t="shared" si="65"/>
        <v>830.01334939252138</v>
      </c>
      <c r="CD87" s="59">
        <f ca="1">AVERAGE(OFFSET($CC$3,0,0,'Données projet'!$E$12+1,1))-AVERAGE(OFFSET($H$3,0,0,'Données projet'!$E$12+1,1))</f>
        <v>448.94764480536713</v>
      </c>
      <c r="CE87" s="59">
        <f t="shared" si="94"/>
        <v>469.26760321719695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79.32207086779222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79.32207086779222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187.80389738728508</v>
      </c>
      <c r="CZ87" s="59">
        <f t="shared" si="96"/>
        <v>439.28159165815265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42.389213634391616</v>
      </c>
      <c r="DG87" s="21">
        <f>EXP(-LN(2)/25)*DG86+(1-EXP(-LN(2)/25))/(LN(2)/25)*Calculateur!DB87*Calculateur!DD87*VLOOKUP('Données projet'!$B$13,Paramètres!$A$1:$I$89,3,0)*0.475*44/12</f>
        <v>3.2170131356734935</v>
      </c>
      <c r="DH87" s="21">
        <f>EXP(-LN(2)/2)*DH86+(1-EXP(-LN(2)/2))/(LN(2)/2)*DB87*DE87*VLOOKUP('Données projet'!$B$13,Paramètres!$A$1:$I$89,3,0)*0.475*44/12</f>
        <v>3.3499304952140817E-10</v>
      </c>
      <c r="DI87" s="22">
        <f t="shared" si="69"/>
        <v>45.606226770400099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255.00000000000006</v>
      </c>
      <c r="DP87" s="17">
        <f>DO87*VLOOKUP('Données projet'!$B$14,Paramètres!$A$1:$I$89,3,0)*VLOOKUP('Données projet'!$B$14,Paramètres!$A$1:$I$89,5,0)</f>
        <v>186.96600000000004</v>
      </c>
      <c r="DQ87" s="13">
        <f t="shared" si="97"/>
        <v>46.868551400324648</v>
      </c>
      <c r="DR87" s="20">
        <f t="shared" si="70"/>
        <v>407.26184368889881</v>
      </c>
      <c r="DS87" s="59">
        <f t="shared" si="71"/>
        <v>700.59517702223206</v>
      </c>
      <c r="DT87" s="59">
        <f ca="1">AVERAGE(OFFSET($DS$3,0,0,'Données projet'!$E$14+1,1))-AVERAGE(OFFSET($H$3,0,0,'Données projet'!$E$14+1,1))</f>
        <v>239.25212250019609</v>
      </c>
      <c r="DU87" s="59">
        <f t="shared" si="98"/>
        <v>213.58492101729695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689</v>
      </c>
      <c r="EK87" s="17">
        <f>EJ87*VLOOKUP('Données projet'!$B$15,Paramètres!$A$1:$I$89,3,0)*VLOOKUP('Données projet'!$B$15,Paramètres!$A$1:$I$89,5,0)</f>
        <v>412.02199999999999</v>
      </c>
      <c r="EL87" s="13">
        <f t="shared" si="99"/>
        <v>94.209724877926391</v>
      </c>
      <c r="EM87" s="20">
        <f t="shared" si="73"/>
        <v>881.686920829055</v>
      </c>
      <c r="EN87" s="59">
        <f t="shared" si="74"/>
        <v>1175.0202541623883</v>
      </c>
      <c r="EO87" s="59">
        <f ca="1">AVERAGE(OFFSET($EN$3,0,0,'Données projet'!$E$15+1,1))-AVERAGE(OFFSET($H$3,0,0,'Données projet'!$E$15+1,1))</f>
        <v>504.81063008331739</v>
      </c>
      <c r="EP87" s="59">
        <f t="shared" si="100"/>
        <v>441.82647565372287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90.41747654012002</v>
      </c>
      <c r="EW87" s="21">
        <f>EXP(-LN(2)/25)*EW86+(1-EXP(-LN(2)/25))/(LN(2)/25)*Calculateur!ER87*Calculateur!ET87*VLOOKUP('Données projet'!$B$15,Paramètres!$A$1:$I$89,3,0)*0.475*44/12</f>
        <v>13.174598084263284</v>
      </c>
      <c r="EX87" s="21">
        <f>EXP(-LN(2)/2)*EX86+(1-EXP(-LN(2)/2))/(LN(2)/2)*ER87*EU87*VLOOKUP('Données projet'!$B$15,Paramètres!$A$1:$I$89,3,0)*0.475*44/12</f>
        <v>3.90148470298504E-10</v>
      </c>
      <c r="EY87" s="22">
        <f t="shared" si="75"/>
        <v>103.59207462477345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9.1999999999999993</v>
      </c>
      <c r="FE87" s="12">
        <f>IF('Données projet'!$A$218&gt;35,FE86+FD87-FM86,IF(A87&lt;'Données projet'!$A$218,$FB$205^A87,IF(A87='Données projet'!$A$218,'Données projet'!$B$218,FE86+FD87-FM86)))</f>
        <v>506.7999999999995</v>
      </c>
      <c r="FF87" s="17">
        <f>FE87*VLOOKUP('Données projet'!$B$16,Paramètres!$A$1:$I$89,3,0)*VLOOKUP('Données projet'!$B$16,Paramètres!$A$1:$I$89,5,0)</f>
        <v>289.88959999999975</v>
      </c>
      <c r="FG87" s="13">
        <f t="shared" si="101"/>
        <v>69.0527249233036</v>
      </c>
      <c r="FH87" s="20">
        <f t="shared" si="76"/>
        <v>625.15788257475322</v>
      </c>
      <c r="FI87" s="59">
        <f t="shared" si="77"/>
        <v>918.49121590808659</v>
      </c>
      <c r="FJ87" s="59">
        <f ca="1">AVERAGE(OFFSET($FI$3,0,0,'Données projet'!$E$16+1,1))-AVERAGE(OFFSET($H$3,0,0,'Données projet'!$E$16+1,1))</f>
        <v>393.41577134252316</v>
      </c>
      <c r="FK87" s="59">
        <f t="shared" si="102"/>
        <v>255.54039659391475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75.92430713109087</v>
      </c>
      <c r="FR87" s="21">
        <f>EXP(-LN(2)/25)*FR86+(1-EXP(-LN(2)/25))/(LN(2)/25)*Calculateur!FM87*Calculateur!FO87*VLOOKUP('Données projet'!$B$16,Paramètres!$A$1:$I$89,3,0)*0.475*44/12</f>
        <v>5.9788477291468265</v>
      </c>
      <c r="FS87" s="21">
        <f>EXP(-LN(2)/2)*FS86+(1-EXP(-LN(2)/2))/(LN(2)/2)*FM87*FP87*VLOOKUP('Données projet'!$B$16,Paramètres!$A$1:$I$89,3,0)*0.475*44/12</f>
        <v>2.7142147848691082E-9</v>
      </c>
      <c r="FT87" s="22">
        <f t="shared" si="78"/>
        <v>81.903154862951908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853.00000000000011</v>
      </c>
      <c r="GA87" s="17">
        <f>FZ87*VLOOKUP('Données projet'!$B$17,Paramètres!$A$1:$I$89,3,0)*VLOOKUP('Données projet'!$B$17,Paramètres!$A$1:$I$89,5,0)</f>
        <v>399.20400000000006</v>
      </c>
      <c r="GB87" s="13">
        <f t="shared" si="103"/>
        <v>91.615269732888521</v>
      </c>
      <c r="GC87" s="20">
        <f t="shared" si="79"/>
        <v>854.8435614514475</v>
      </c>
      <c r="GD87" s="59">
        <f t="shared" si="80"/>
        <v>1148.1768947847809</v>
      </c>
      <c r="GE87" s="59">
        <f ca="1">AVERAGE(OFFSET($GD$3,0,0,'Données projet'!$E$17+1,1))-AVERAGE(OFFSET($H$3,0,0,'Données projet'!$E$17+1,1))</f>
        <v>488.67934252295686</v>
      </c>
      <c r="GF87" s="59">
        <f t="shared" si="104"/>
        <v>424.50324471331095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128.0372668499553</v>
      </c>
      <c r="GM87" s="21">
        <f>EXP(-LN(2)/25)*GM86+(1-EXP(-LN(2)/25))/(LN(2)/25)*Calculateur!GH87*Calculateur!GJ87*VLOOKUP('Données projet'!$B$17,Paramètres!$A$1:$I$89,3,0)*0.475*44/12</f>
        <v>10.961220836769181</v>
      </c>
      <c r="GN87" s="21">
        <f>EXP(-LN(2)/2)*GN86+(1-EXP(-LN(2)/2))/(LN(2)/2)*GH87*GK87*VLOOKUP('Données projet'!$B$17,Paramètres!$A$1:$I$89,3,0)*0.475*44/12</f>
        <v>6.0452965662993755E-9</v>
      </c>
      <c r="GO87" s="21">
        <f t="shared" si="81"/>
        <v>138.99848769276977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789</v>
      </c>
      <c r="GV87" s="17">
        <f>GU87*VLOOKUP('Données projet'!$B$18,Paramètres!$A$1:$I$89,3,0)*VLOOKUP('Données projet'!$B$18,Paramètres!$A$1:$I$89,5,0)</f>
        <v>379.50900000000001</v>
      </c>
      <c r="GW87" s="13">
        <f t="shared" si="105"/>
        <v>87.609801106074272</v>
      </c>
      <c r="GX87" s="20">
        <f t="shared" si="82"/>
        <v>813.56524525974601</v>
      </c>
      <c r="GY87" s="59">
        <f t="shared" si="83"/>
        <v>1106.8985785930793</v>
      </c>
      <c r="GZ87" s="59">
        <f ca="1">AVERAGE(OFFSET($GY$3,0,0,'Données projet'!$E$18+1,1))-AVERAGE(OFFSET($H$3,0,0,'Données projet'!$E$18+1,1))</f>
        <v>458.80976193248841</v>
      </c>
      <c r="HA87" s="59">
        <f t="shared" si="106"/>
        <v>396.07405370178759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129.64770093299978</v>
      </c>
      <c r="HH87" s="21">
        <f>EXP(-LN(2)/25)*HH86+(1-EXP(-LN(2)/25))/(LN(2)/25)*Calculateur!HC87*Calculateur!HE87*VLOOKUP('Données projet'!$B$18,Paramètres!$A$1:$I$89,3,0)*0.475*44/12</f>
        <v>10.241544721223736</v>
      </c>
      <c r="HI87" s="21">
        <f>EXP(-LN(2)/2)*HI86+(1-EXP(-LN(2)/2))/(LN(2)/2)*HC87*HF87*VLOOKUP('Données projet'!$B$18,Paramètres!$A$1:$I$89,3,0)*0.475*44/12</f>
        <v>2.7896096400043633E-9</v>
      </c>
      <c r="HJ87" s="22">
        <f t="shared" si="84"/>
        <v>139.88924565701313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820.29159382285388</v>
      </c>
      <c r="S88" s="59">
        <f ca="1">AVERAGE(OFFSET($R$3,0,0,'Données projet'!$E$9+1,1))-AVERAGE(OFFSET($H$3,0,0,'Données projet'!$E$9+1,1))</f>
        <v>364.3481978218424</v>
      </c>
      <c r="T88" s="59">
        <f t="shared" si="88"/>
        <v>231.36959598460686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63.568507866517507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63.568507866517507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636.99999999999977</v>
      </c>
      <c r="AJ88" s="13">
        <f>AI88*VLOOKUP('Données projet'!$B$10,Paramètres!$A$1:$I$89,3,0)*VLOOKUP('Données projet'!$B$10,Paramètres!$A$1:$I$89,5,0)</f>
        <v>356.08299999999991</v>
      </c>
      <c r="AK88" s="13">
        <f t="shared" si="89"/>
        <v>82.813805255716545</v>
      </c>
      <c r="AL88" s="20">
        <f t="shared" si="58"/>
        <v>764.41193582037283</v>
      </c>
      <c r="AM88" s="59">
        <f t="shared" si="59"/>
        <v>1057.7452691537062</v>
      </c>
      <c r="AN88" s="59">
        <f ca="1">AVERAGE(OFFSET($AM$3,0,0,'Données projet'!$E$10+1,1))-AVERAGE(OFFSET($H$3,0,0,'Données projet'!$E$10+1,1))</f>
        <v>443.34220761968419</v>
      </c>
      <c r="AO88" s="59">
        <f t="shared" si="90"/>
        <v>546.58234447298014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59.56748051674068</v>
      </c>
      <c r="AV88" s="21">
        <f>EXP(-LN(2)/25)*AV87+(1-EXP(-LN(2)/25))/(LN(2)/25)*Calculateur!AQ88*Calculateur!AS88*VLOOKUP('Données projet'!$B$10,Paramètres!$A$1:$I$89,3,0)*0.475*44/12</f>
        <v>4.7743831094550293</v>
      </c>
      <c r="AW88" s="21">
        <f>EXP(-LN(2)/2)*AW87+(1-EXP(-LN(2)/2))/(LN(2)/2)*AQ88*AT88*VLOOKUP('Données projet'!$B$10,Paramètres!$A$1:$I$89,3,0)*0.475*44/12</f>
        <v>3.1830337022555911E-8</v>
      </c>
      <c r="AX88" s="21">
        <f t="shared" si="60"/>
        <v>64.341863658026043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365</v>
      </c>
      <c r="BB88" s="12">
        <f>VLOOKUP(A88,'Données projet'!$A$87:$I$107,9,0)</f>
        <v>8.4</v>
      </c>
      <c r="BC88" s="12">
        <f t="array" ref="BC88">INDEX(BB:BB,MIN(IF(ISNUMBER(BB88:BB284),ROW(BB88:BB284),"")))</f>
        <v>8.4</v>
      </c>
      <c r="BD88" s="12">
        <f>IF('Données projet'!$A$88&gt;35,BD87+BC88-BL87,IF(A88&lt;'Données projet'!$A$88,$BA$205^A88,IF(A88='Données projet'!$A$88,'Données projet'!$B$88,BD87+BC88-BL87)))</f>
        <v>364.99999999999977</v>
      </c>
      <c r="BE88" s="13">
        <f>BD88*VLOOKUP('Données projet'!$B$11,Paramètres!$A$1:$I$89,3,0)*VLOOKUP('Données projet'!$B$11,Paramètres!$A$1:$I$89,5,0)</f>
        <v>313.16999999999985</v>
      </c>
      <c r="BF88" s="13">
        <f t="shared" si="91"/>
        <v>73.930459835341836</v>
      </c>
      <c r="BG88" s="20">
        <f t="shared" si="61"/>
        <v>674.19996754655335</v>
      </c>
      <c r="BH88" s="59">
        <f t="shared" si="62"/>
        <v>967.53330087988661</v>
      </c>
      <c r="BI88" s="59">
        <f ca="1">AVERAGE(OFFSET($BH$3,0,0,'Données projet'!$E$11+1,1))-AVERAGE(OFFSET($H$3,0,0,'Données projet'!$E$11+1,1))</f>
        <v>447.15627913956871</v>
      </c>
      <c r="BJ88" s="59">
        <f t="shared" si="92"/>
        <v>256.77417912163997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27</v>
      </c>
      <c r="BM88" s="16">
        <f>IF(ISNA(VLOOKUP(A88,'Données projet'!$A$87:$I$107,5,0)),0%,VLOOKUP(A88,'Données projet'!$A$87:$I$107,5,0)*VLOOKUP('Données projet'!$B$11,Paramètres!$A$1:$I$89,7,0))</f>
        <v>0.53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98.562896063817888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98.562896063817888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266</v>
      </c>
      <c r="BW88" s="12">
        <f>VLOOKUP(A88,'Données projet'!$A$113:$I$133,9,0)</f>
        <v>5.4</v>
      </c>
      <c r="BX88" s="12">
        <f t="array" ref="BX88">INDEX(BW:BW,MIN(IF(ISNUMBER(BW88:BW284),ROW(BW88:BW284),"")))</f>
        <v>5.4</v>
      </c>
      <c r="BY88" s="12">
        <f>IF('Données projet'!$A$114&gt;35,BY87+BX88-CG87,IF(A88&lt;'Données projet'!$A$114,$BV$205^A88,IF(A88='Données projet'!$A$114,'Données projet'!$B$114,BY87+BX88-CG87)))</f>
        <v>265.99999999999994</v>
      </c>
      <c r="BZ88" s="13">
        <f>BY88*VLOOKUP('Données projet'!$B$12,Paramètres!$A$1:$I$89,3,0)*VLOOKUP('Données projet'!$B$12,Paramètres!$A$1:$I$89,5,0)</f>
        <v>253.12559999999996</v>
      </c>
      <c r="CA88" s="13">
        <f t="shared" si="93"/>
        <v>61.254756291614335</v>
      </c>
      <c r="CB88" s="20">
        <f t="shared" si="64"/>
        <v>547.54578720789482</v>
      </c>
      <c r="CC88" s="59">
        <f t="shared" si="65"/>
        <v>840.87912054122808</v>
      </c>
      <c r="CD88" s="59">
        <f ca="1">AVERAGE(OFFSET($CC$3,0,0,'Données projet'!$E$12+1,1))-AVERAGE(OFFSET($H$3,0,0,'Données projet'!$E$12+1,1))</f>
        <v>448.94764480536713</v>
      </c>
      <c r="CE88" s="59">
        <f t="shared" si="94"/>
        <v>469.26760321719695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25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89.075243781268966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89.075243781268966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187.80389738728508</v>
      </c>
      <c r="CZ88" s="59">
        <f t="shared" si="96"/>
        <v>439.28159165815265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41.557987009888556</v>
      </c>
      <c r="DG88" s="21">
        <f>EXP(-LN(2)/25)*DG87+(1-EXP(-LN(2)/25))/(LN(2)/25)*Calculateur!DB88*Calculateur!DD88*VLOOKUP('Données projet'!$B$13,Paramètres!$A$1:$I$89,3,0)*0.475*44/12</f>
        <v>3.1290437423031334</v>
      </c>
      <c r="DH88" s="21">
        <f>EXP(-LN(2)/2)*DH87+(1-EXP(-LN(2)/2))/(LN(2)/2)*DB88*DE88*VLOOKUP('Données projet'!$B$13,Paramètres!$A$1:$I$89,3,0)*0.475*44/12</f>
        <v>2.3687585696694865E-10</v>
      </c>
      <c r="DI88" s="22">
        <f t="shared" si="69"/>
        <v>44.687030752428562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255.00000000000006</v>
      </c>
      <c r="DP88" s="17">
        <f>DO88*VLOOKUP('Données projet'!$B$14,Paramètres!$A$1:$I$89,3,0)*VLOOKUP('Données projet'!$B$14,Paramètres!$A$1:$I$89,5,0)</f>
        <v>186.96600000000004</v>
      </c>
      <c r="DQ88" s="13">
        <f t="shared" si="97"/>
        <v>46.868551400324648</v>
      </c>
      <c r="DR88" s="20">
        <f t="shared" si="70"/>
        <v>407.26184368889881</v>
      </c>
      <c r="DS88" s="59">
        <f t="shared" si="71"/>
        <v>700.59517702223206</v>
      </c>
      <c r="DT88" s="59">
        <f ca="1">AVERAGE(OFFSET($DS$3,0,0,'Données projet'!$E$14+1,1))-AVERAGE(OFFSET($H$3,0,0,'Données projet'!$E$14+1,1))</f>
        <v>239.25212250019609</v>
      </c>
      <c r="DU88" s="59">
        <f t="shared" si="98"/>
        <v>213.58492101729695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689</v>
      </c>
      <c r="EK88" s="17">
        <f>EJ88*VLOOKUP('Données projet'!$B$15,Paramètres!$A$1:$I$89,3,0)*VLOOKUP('Données projet'!$B$15,Paramètres!$A$1:$I$89,5,0)</f>
        <v>412.02199999999999</v>
      </c>
      <c r="EL88" s="13">
        <f t="shared" si="99"/>
        <v>94.209724877926391</v>
      </c>
      <c r="EM88" s="20">
        <f t="shared" si="73"/>
        <v>881.686920829055</v>
      </c>
      <c r="EN88" s="59">
        <f t="shared" si="74"/>
        <v>1175.0202541623883</v>
      </c>
      <c r="EO88" s="59">
        <f ca="1">AVERAGE(OFFSET($EN$3,0,0,'Données projet'!$E$15+1,1))-AVERAGE(OFFSET($H$3,0,0,'Données projet'!$E$15+1,1))</f>
        <v>504.81063008331739</v>
      </c>
      <c r="EP88" s="59">
        <f t="shared" si="100"/>
        <v>441.82647565372287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88.644444974383418</v>
      </c>
      <c r="EW88" s="21">
        <f>EXP(-LN(2)/25)*EW87+(1-EXP(-LN(2)/25))/(LN(2)/25)*Calculateur!ER88*Calculateur!ET88*VLOOKUP('Données projet'!$B$15,Paramètres!$A$1:$I$89,3,0)*0.475*44/12</f>
        <v>12.814338006827102</v>
      </c>
      <c r="EX88" s="21">
        <f>EXP(-LN(2)/2)*EX87+(1-EXP(-LN(2)/2))/(LN(2)/2)*ER88*EU88*VLOOKUP('Données projet'!$B$15,Paramètres!$A$1:$I$89,3,0)*0.475*44/12</f>
        <v>2.758766290176305E-10</v>
      </c>
      <c r="EY88" s="22">
        <f t="shared" si="75"/>
        <v>101.45878298148639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516</v>
      </c>
      <c r="FC88" s="12">
        <f>VLOOKUP(A88,'Données projet'!$A$217:$I$237,9,0)</f>
        <v>9.1999999999999993</v>
      </c>
      <c r="FD88" s="12">
        <f t="array" ref="FD88">INDEX(FC:FC,MIN(IF(ISNUMBER(FC88:FC284),ROW(FC88:FC284),"")))</f>
        <v>9.1999999999999993</v>
      </c>
      <c r="FE88" s="12">
        <f>IF('Données projet'!$A$218&gt;35,FE87+FD88-FM87,IF(A88&lt;'Données projet'!$A$218,$FB$205^A88,IF(A88='Données projet'!$A$218,'Données projet'!$B$218,FE87+FD88-FM87)))</f>
        <v>515.99999999999955</v>
      </c>
      <c r="FF88" s="17">
        <f>FE88*VLOOKUP('Données projet'!$B$16,Paramètres!$A$1:$I$89,3,0)*VLOOKUP('Données projet'!$B$16,Paramètres!$A$1:$I$89,5,0)</f>
        <v>295.15199999999976</v>
      </c>
      <c r="FG88" s="13">
        <f t="shared" si="101"/>
        <v>70.159174796274144</v>
      </c>
      <c r="FH88" s="20">
        <f t="shared" si="76"/>
        <v>636.25029610351044</v>
      </c>
      <c r="FI88" s="59">
        <f t="shared" si="77"/>
        <v>929.58362943684369</v>
      </c>
      <c r="FJ88" s="59">
        <f ca="1">AVERAGE(OFFSET($FI$3,0,0,'Données projet'!$E$16+1,1))-AVERAGE(OFFSET($H$3,0,0,'Données projet'!$E$16+1,1))</f>
        <v>393.41577134252316</v>
      </c>
      <c r="FK88" s="59">
        <f t="shared" si="102"/>
        <v>255.54039659391475</v>
      </c>
      <c r="FL88" s="15">
        <f>IF(ISNA(VLOOKUP(A88,'Données projet'!$A$217:$I$237,3,0)),0,VLOOKUP(A88,'Données projet'!$A$217:$I$237,3,0))</f>
        <v>14</v>
      </c>
      <c r="FM88" s="15">
        <f>IF(ISNA(VLOOKUP(A88,'Données projet'!$A$217:$I$237,4,0)),0,VLOOKUP(A88,'Données projet'!$A$217:$I$237,4,0))</f>
        <v>23</v>
      </c>
      <c r="FN88" s="16">
        <f>IF(ISNA(VLOOKUP(A88,'Données projet'!$A$217:$I$237,5,0)),0%,VLOOKUP(A88,'Données projet'!$A$217:$I$237,5,0)*VLOOKUP('Données projet'!$B$16,Paramètres!$A$1:$I$89,7,0))</f>
        <v>0.45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82.289004666598032</v>
      </c>
      <c r="FR88" s="21">
        <f>EXP(-LN(2)/25)*FR87+(1-EXP(-LN(2)/25))/(LN(2)/25)*Calculateur!FM88*Calculateur!FO88*VLOOKUP('Données projet'!$B$16,Paramètres!$A$1:$I$89,3,0)*0.475*44/12</f>
        <v>5.8153558235793694</v>
      </c>
      <c r="FS88" s="21">
        <f>EXP(-LN(2)/2)*FS87+(1-EXP(-LN(2)/2))/(LN(2)/2)*FM88*FP88*VLOOKUP('Données projet'!$B$16,Paramètres!$A$1:$I$89,3,0)*0.475*44/12</f>
        <v>1.9192396799777326E-9</v>
      </c>
      <c r="FT88" s="22">
        <f t="shared" si="78"/>
        <v>88.104360492096632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853.00000000000011</v>
      </c>
      <c r="GA88" s="17">
        <f>FZ88*VLOOKUP('Données projet'!$B$17,Paramètres!$A$1:$I$89,3,0)*VLOOKUP('Données projet'!$B$17,Paramètres!$A$1:$I$89,5,0)</f>
        <v>399.20400000000006</v>
      </c>
      <c r="GB88" s="13">
        <f t="shared" si="103"/>
        <v>91.615269732888521</v>
      </c>
      <c r="GC88" s="20">
        <f t="shared" si="79"/>
        <v>854.8435614514475</v>
      </c>
      <c r="GD88" s="59">
        <f t="shared" si="80"/>
        <v>1148.1768947847809</v>
      </c>
      <c r="GE88" s="59">
        <f ca="1">AVERAGE(OFFSET($GD$3,0,0,'Données projet'!$E$17+1,1))-AVERAGE(OFFSET($H$3,0,0,'Données projet'!$E$17+1,1))</f>
        <v>488.67934252295686</v>
      </c>
      <c r="GF88" s="59">
        <f t="shared" si="104"/>
        <v>424.50324471331095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125.52653414204921</v>
      </c>
      <c r="GM88" s="21">
        <f>EXP(-LN(2)/25)*GM87+(1-EXP(-LN(2)/25))/(LN(2)/25)*Calculateur!GH88*Calculateur!GJ88*VLOOKUP('Données projet'!$B$17,Paramètres!$A$1:$I$89,3,0)*0.475*44/12</f>
        <v>10.661485676562176</v>
      </c>
      <c r="GN88" s="21">
        <f>EXP(-LN(2)/2)*GN87+(1-EXP(-LN(2)/2))/(LN(2)/2)*GH88*GK88*VLOOKUP('Données projet'!$B$17,Paramètres!$A$1:$I$89,3,0)*0.475*44/12</f>
        <v>4.2746701963140395E-9</v>
      </c>
      <c r="GO88" s="21">
        <f t="shared" si="81"/>
        <v>136.18801982288608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789</v>
      </c>
      <c r="GV88" s="17">
        <f>GU88*VLOOKUP('Données projet'!$B$18,Paramètres!$A$1:$I$89,3,0)*VLOOKUP('Données projet'!$B$18,Paramètres!$A$1:$I$89,5,0)</f>
        <v>379.50900000000001</v>
      </c>
      <c r="GW88" s="13">
        <f t="shared" si="105"/>
        <v>87.609801106074272</v>
      </c>
      <c r="GX88" s="20">
        <f t="shared" si="82"/>
        <v>813.56524525974601</v>
      </c>
      <c r="GY88" s="59">
        <f t="shared" si="83"/>
        <v>1106.8985785930793</v>
      </c>
      <c r="GZ88" s="59">
        <f ca="1">AVERAGE(OFFSET($GY$3,0,0,'Données projet'!$E$18+1,1))-AVERAGE(OFFSET($H$3,0,0,'Données projet'!$E$18+1,1))</f>
        <v>458.80976193248841</v>
      </c>
      <c r="HA88" s="59">
        <f t="shared" si="106"/>
        <v>396.07405370178759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127.10538859499299</v>
      </c>
      <c r="HH88" s="21">
        <f>EXP(-LN(2)/25)*HH87+(1-EXP(-LN(2)/25))/(LN(2)/25)*Calculateur!HC88*Calculateur!HE88*VLOOKUP('Données projet'!$B$18,Paramètres!$A$1:$I$89,3,0)*0.475*44/12</f>
        <v>9.9614891422424439</v>
      </c>
      <c r="HI88" s="21">
        <f>EXP(-LN(2)/2)*HI87+(1-EXP(-LN(2)/2))/(LN(2)/2)*HC88*HF88*VLOOKUP('Données projet'!$B$18,Paramètres!$A$1:$I$89,3,0)*0.475*44/12</f>
        <v>1.9725518933104489E-9</v>
      </c>
      <c r="HJ88" s="22">
        <f t="shared" si="84"/>
        <v>137.066877739208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790.40934773559275</v>
      </c>
      <c r="S89" s="59">
        <f ca="1">AVERAGE(OFFSET($R$3,0,0,'Données projet'!$E$9+1,1))-AVERAGE(OFFSET($H$3,0,0,'Données projet'!$E$9+1,1))</f>
        <v>364.3481978218424</v>
      </c>
      <c r="T89" s="59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62.321968200216382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62.321968200216382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636.99999999999977</v>
      </c>
      <c r="AJ89" s="13">
        <f>AI89*VLOOKUP('Données projet'!$B$10,Paramètres!$A$1:$I$89,3,0)*VLOOKUP('Données projet'!$B$10,Paramètres!$A$1:$I$89,5,0)</f>
        <v>356.08299999999991</v>
      </c>
      <c r="AK89" s="13">
        <f t="shared" si="89"/>
        <v>82.813805255716545</v>
      </c>
      <c r="AL89" s="20">
        <f t="shared" si="58"/>
        <v>764.41193582037283</v>
      </c>
      <c r="AM89" s="59">
        <f t="shared" si="59"/>
        <v>1057.7452691537062</v>
      </c>
      <c r="AN89" s="59">
        <f ca="1">AVERAGE(OFFSET($AM$3,0,0,'Données projet'!$E$10+1,1))-AVERAGE(OFFSET($H$3,0,0,'Données projet'!$E$10+1,1))</f>
        <v>443.34220761968419</v>
      </c>
      <c r="AO89" s="59">
        <f t="shared" si="90"/>
        <v>546.58234447298014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58.39939855638297</v>
      </c>
      <c r="AV89" s="21">
        <f>EXP(-LN(2)/25)*AV88+(1-EXP(-LN(2)/25))/(LN(2)/25)*Calculateur!AQ89*Calculateur!AS89*VLOOKUP('Données projet'!$B$10,Paramètres!$A$1:$I$89,3,0)*0.475*44/12</f>
        <v>4.6438273522530862</v>
      </c>
      <c r="AW89" s="21">
        <f>EXP(-LN(2)/2)*AW88+(1-EXP(-LN(2)/2))/(LN(2)/2)*AQ89*AT89*VLOOKUP('Données projet'!$B$10,Paramètres!$A$1:$I$89,3,0)*0.475*44/12</f>
        <v>2.2507447156102506E-8</v>
      </c>
      <c r="AX89" s="21">
        <f t="shared" si="60"/>
        <v>63.043225931143503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7.8</v>
      </c>
      <c r="BD89" s="12">
        <f>IF('Données projet'!$A$88&gt;35,BD88+BC89-BL88,IF(A89&lt;'Données projet'!$A$88,$BA$205^A89,IF(A89='Données projet'!$A$88,'Données projet'!$B$88,BD88+BC89-BL88)))</f>
        <v>345.79999999999978</v>
      </c>
      <c r="BE89" s="13">
        <f>BD89*VLOOKUP('Données projet'!$B$11,Paramètres!$A$1:$I$89,3,0)*VLOOKUP('Données projet'!$B$11,Paramètres!$A$1:$I$89,5,0)</f>
        <v>296.69639999999981</v>
      </c>
      <c r="BF89" s="13">
        <f t="shared" si="91"/>
        <v>70.48345633189993</v>
      </c>
      <c r="BG89" s="20">
        <f t="shared" si="61"/>
        <v>639.50491644472538</v>
      </c>
      <c r="BH89" s="59">
        <f t="shared" si="62"/>
        <v>932.83824977805875</v>
      </c>
      <c r="BI89" s="59">
        <f ca="1">AVERAGE(OFFSET($BH$3,0,0,'Données projet'!$E$11+1,1))-AVERAGE(OFFSET($H$3,0,0,'Données projet'!$E$11+1,1))</f>
        <v>447.15627913956871</v>
      </c>
      <c r="BJ89" s="59">
        <f t="shared" si="92"/>
        <v>256.77417912163997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96.630137789436915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96.630137789436915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5.2</v>
      </c>
      <c r="BY89" s="12">
        <f>IF('Données projet'!$A$114&gt;35,BY88+BX89-CG88,IF(A89&lt;'Données projet'!$A$114,$BV$205^A89,IF(A89='Données projet'!$A$114,'Données projet'!$B$114,BY88+BX89-CG88)))</f>
        <v>246.19999999999993</v>
      </c>
      <c r="BZ89" s="13">
        <f>BY89*VLOOKUP('Données projet'!$B$12,Paramètres!$A$1:$I$89,3,0)*VLOOKUP('Données projet'!$B$12,Paramètres!$A$1:$I$89,5,0)</f>
        <v>234.28391999999994</v>
      </c>
      <c r="CA89" s="13">
        <f t="shared" si="93"/>
        <v>57.207967976960866</v>
      </c>
      <c r="CB89" s="20">
        <f t="shared" si="64"/>
        <v>507.68170489320681</v>
      </c>
      <c r="CC89" s="59">
        <f t="shared" si="65"/>
        <v>801.01503822654013</v>
      </c>
      <c r="CD89" s="59">
        <f ca="1">AVERAGE(OFFSET($CC$3,0,0,'Données projet'!$E$12+1,1))-AVERAGE(OFFSET($H$3,0,0,'Données projet'!$E$12+1,1))</f>
        <v>448.94764480536713</v>
      </c>
      <c r="CE89" s="59">
        <f t="shared" si="94"/>
        <v>469.26760321719695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87.32853258125229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87.32853258125229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187.80389738728508</v>
      </c>
      <c r="CZ89" s="59">
        <f t="shared" si="96"/>
        <v>439.28159165815265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40.743060232493825</v>
      </c>
      <c r="DG89" s="21">
        <f>EXP(-LN(2)/25)*DG88+(1-EXP(-LN(2)/25))/(LN(2)/25)*Calculateur!DB89*Calculateur!DD89*VLOOKUP('Données projet'!$B$13,Paramètres!$A$1:$I$89,3,0)*0.475*44/12</f>
        <v>3.0434798766205953</v>
      </c>
      <c r="DH89" s="21">
        <f>EXP(-LN(2)/2)*DH88+(1-EXP(-LN(2)/2))/(LN(2)/2)*DB89*DE89*VLOOKUP('Données projet'!$B$13,Paramètres!$A$1:$I$89,3,0)*0.475*44/12</f>
        <v>1.6749652476070409E-10</v>
      </c>
      <c r="DI89" s="22">
        <f t="shared" si="69"/>
        <v>43.786540109281916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255.00000000000006</v>
      </c>
      <c r="DP89" s="17">
        <f>DO89*VLOOKUP('Données projet'!$B$14,Paramètres!$A$1:$I$89,3,0)*VLOOKUP('Données projet'!$B$14,Paramètres!$A$1:$I$89,5,0)</f>
        <v>186.96600000000004</v>
      </c>
      <c r="DQ89" s="13">
        <f t="shared" si="97"/>
        <v>46.868551400324648</v>
      </c>
      <c r="DR89" s="20">
        <f t="shared" si="70"/>
        <v>407.26184368889881</v>
      </c>
      <c r="DS89" s="59">
        <f t="shared" si="71"/>
        <v>700.59517702223206</v>
      </c>
      <c r="DT89" s="59">
        <f ca="1">AVERAGE(OFFSET($DS$3,0,0,'Données projet'!$E$14+1,1))-AVERAGE(OFFSET($H$3,0,0,'Données projet'!$E$14+1,1))</f>
        <v>239.25212250019609</v>
      </c>
      <c r="DU89" s="59">
        <f t="shared" si="98"/>
        <v>213.58492101729695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689</v>
      </c>
      <c r="EK89" s="17">
        <f>EJ89*VLOOKUP('Données projet'!$B$15,Paramètres!$A$1:$I$89,3,0)*VLOOKUP('Données projet'!$B$15,Paramètres!$A$1:$I$89,5,0)</f>
        <v>412.02199999999999</v>
      </c>
      <c r="EL89" s="13">
        <f t="shared" si="99"/>
        <v>94.209724877926391</v>
      </c>
      <c r="EM89" s="20">
        <f t="shared" si="73"/>
        <v>881.686920829055</v>
      </c>
      <c r="EN89" s="59">
        <f t="shared" si="74"/>
        <v>1175.0202541623883</v>
      </c>
      <c r="EO89" s="59">
        <f ca="1">AVERAGE(OFFSET($EN$3,0,0,'Données projet'!$E$15+1,1))-AVERAGE(OFFSET($H$3,0,0,'Données projet'!$E$15+1,1))</f>
        <v>504.81063008331739</v>
      </c>
      <c r="EP89" s="59">
        <f t="shared" si="100"/>
        <v>441.82647565372287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86.906181476208445</v>
      </c>
      <c r="EW89" s="21">
        <f>EXP(-LN(2)/25)*EW88+(1-EXP(-LN(2)/25))/(LN(2)/25)*Calculateur!ER89*Calculateur!ET89*VLOOKUP('Données projet'!$B$15,Paramètres!$A$1:$I$89,3,0)*0.475*44/12</f>
        <v>12.463929260153666</v>
      </c>
      <c r="EX89" s="21">
        <f>EXP(-LN(2)/2)*EX88+(1-EXP(-LN(2)/2))/(LN(2)/2)*ER89*EU89*VLOOKUP('Données projet'!$B$15,Paramètres!$A$1:$I$89,3,0)*0.475*44/12</f>
        <v>1.95074235149252E-10</v>
      </c>
      <c r="EY89" s="22">
        <f t="shared" si="75"/>
        <v>99.37011073655718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7.8</v>
      </c>
      <c r="FE89" s="12">
        <f>IF('Données projet'!$A$218&gt;35,FE88+FD89-FM88,IF(A89&lt;'Données projet'!$A$218,$FB$205^A89,IF(A89='Données projet'!$A$218,'Données projet'!$B$218,FE88+FD89-FM88)))</f>
        <v>500.7999999999995</v>
      </c>
      <c r="FF89" s="17">
        <f>FE89*VLOOKUP('Données projet'!$B$16,Paramètres!$A$1:$I$89,3,0)*VLOOKUP('Données projet'!$B$16,Paramètres!$A$1:$I$89,5,0)</f>
        <v>286.45759999999973</v>
      </c>
      <c r="FG89" s="13">
        <f t="shared" si="101"/>
        <v>68.329869178561367</v>
      </c>
      <c r="FH89" s="20">
        <f t="shared" si="76"/>
        <v>617.92150881932719</v>
      </c>
      <c r="FI89" s="59">
        <f t="shared" si="77"/>
        <v>911.25484215266056</v>
      </c>
      <c r="FJ89" s="59">
        <f ca="1">AVERAGE(OFFSET($FI$3,0,0,'Données projet'!$E$16+1,1))-AVERAGE(OFFSET($H$3,0,0,'Données projet'!$E$16+1,1))</f>
        <v>393.41577134252316</v>
      </c>
      <c r="FK89" s="59">
        <f t="shared" si="102"/>
        <v>255.54039659391475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80.675367476422906</v>
      </c>
      <c r="FR89" s="21">
        <f>EXP(-LN(2)/25)*FR88+(1-EXP(-LN(2)/25))/(LN(2)/25)*Calculateur!FM89*Calculateur!FO89*VLOOKUP('Données projet'!$B$16,Paramètres!$A$1:$I$89,3,0)*0.475*44/12</f>
        <v>5.6563346127673197</v>
      </c>
      <c r="FS89" s="21">
        <f>EXP(-LN(2)/2)*FS88+(1-EXP(-LN(2)/2))/(LN(2)/2)*FM89*FP89*VLOOKUP('Données projet'!$B$16,Paramètres!$A$1:$I$89,3,0)*0.475*44/12</f>
        <v>1.3571073924345541E-9</v>
      </c>
      <c r="FT89" s="22">
        <f t="shared" si="78"/>
        <v>86.331702090547338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853.00000000000011</v>
      </c>
      <c r="GA89" s="17">
        <f>FZ89*VLOOKUP('Données projet'!$B$17,Paramètres!$A$1:$I$89,3,0)*VLOOKUP('Données projet'!$B$17,Paramètres!$A$1:$I$89,5,0)</f>
        <v>399.20400000000006</v>
      </c>
      <c r="GB89" s="13">
        <f t="shared" si="103"/>
        <v>91.615269732888521</v>
      </c>
      <c r="GC89" s="20">
        <f t="shared" si="79"/>
        <v>854.8435614514475</v>
      </c>
      <c r="GD89" s="59">
        <f t="shared" si="80"/>
        <v>1148.1768947847809</v>
      </c>
      <c r="GE89" s="59">
        <f ca="1">AVERAGE(OFFSET($GD$3,0,0,'Données projet'!$E$17+1,1))-AVERAGE(OFFSET($H$3,0,0,'Données projet'!$E$17+1,1))</f>
        <v>488.67934252295686</v>
      </c>
      <c r="GF89" s="59">
        <f t="shared" si="104"/>
        <v>424.50324471331095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123.06503537114942</v>
      </c>
      <c r="GM89" s="21">
        <f>EXP(-LN(2)/25)*GM88+(1-EXP(-LN(2)/25))/(LN(2)/25)*Calculateur!GH89*Calculateur!GJ89*VLOOKUP('Données projet'!$B$17,Paramètres!$A$1:$I$89,3,0)*0.475*44/12</f>
        <v>10.369946790073419</v>
      </c>
      <c r="GN89" s="21">
        <f>EXP(-LN(2)/2)*GN88+(1-EXP(-LN(2)/2))/(LN(2)/2)*GH89*GK89*VLOOKUP('Données projet'!$B$17,Paramètres!$A$1:$I$89,3,0)*0.475*44/12</f>
        <v>3.0226482831496878E-9</v>
      </c>
      <c r="GO89" s="21">
        <f t="shared" si="81"/>
        <v>133.4349821642455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789</v>
      </c>
      <c r="GV89" s="17">
        <f>GU89*VLOOKUP('Données projet'!$B$18,Paramètres!$A$1:$I$89,3,0)*VLOOKUP('Données projet'!$B$18,Paramètres!$A$1:$I$89,5,0)</f>
        <v>379.50900000000001</v>
      </c>
      <c r="GW89" s="13">
        <f t="shared" si="105"/>
        <v>87.609801106074272</v>
      </c>
      <c r="GX89" s="20">
        <f t="shared" si="82"/>
        <v>813.56524525974601</v>
      </c>
      <c r="GY89" s="59">
        <f t="shared" si="83"/>
        <v>1106.8985785930793</v>
      </c>
      <c r="GZ89" s="59">
        <f ca="1">AVERAGE(OFFSET($GY$3,0,0,'Données projet'!$E$18+1,1))-AVERAGE(OFFSET($H$3,0,0,'Données projet'!$E$18+1,1))</f>
        <v>458.80976193248841</v>
      </c>
      <c r="HA89" s="59">
        <f t="shared" si="106"/>
        <v>396.07405370178759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124.6129294512771</v>
      </c>
      <c r="HH89" s="21">
        <f>EXP(-LN(2)/25)*HH88+(1-EXP(-LN(2)/25))/(LN(2)/25)*Calculateur!HC89*Calculateur!HE89*VLOOKUP('Données projet'!$B$18,Paramètres!$A$1:$I$89,3,0)*0.475*44/12</f>
        <v>9.6890916977958774</v>
      </c>
      <c r="HI89" s="21">
        <f>EXP(-LN(2)/2)*HI88+(1-EXP(-LN(2)/2))/(LN(2)/2)*HC89*HF89*VLOOKUP('Données projet'!$B$18,Paramètres!$A$1:$I$89,3,0)*0.475*44/12</f>
        <v>1.3948048200021816E-9</v>
      </c>
      <c r="HJ89" s="22">
        <f t="shared" si="84"/>
        <v>134.30202115046777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800.75738581526548</v>
      </c>
      <c r="S90" s="59">
        <f ca="1">AVERAGE(OFFSET($R$3,0,0,'Données projet'!$E$9+1,1))-AVERAGE(OFFSET($H$3,0,0,'Données projet'!$E$9+1,1))</f>
        <v>364.3481978218424</v>
      </c>
      <c r="T90" s="59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61.099872416457302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61.099872416457302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636.99999999999977</v>
      </c>
      <c r="AJ90" s="13">
        <f>AI90*VLOOKUP('Données projet'!$B$10,Paramètres!$A$1:$I$89,3,0)*VLOOKUP('Données projet'!$B$10,Paramètres!$A$1:$I$89,5,0)</f>
        <v>356.08299999999991</v>
      </c>
      <c r="AK90" s="13">
        <f t="shared" si="89"/>
        <v>82.813805255716545</v>
      </c>
      <c r="AL90" s="20">
        <f t="shared" si="58"/>
        <v>764.41193582037283</v>
      </c>
      <c r="AM90" s="59">
        <f t="shared" si="59"/>
        <v>1057.7452691537062</v>
      </c>
      <c r="AN90" s="59">
        <f ca="1">AVERAGE(OFFSET($AM$3,0,0,'Données projet'!$E$10+1,1))-AVERAGE(OFFSET($H$3,0,0,'Données projet'!$E$10+1,1))</f>
        <v>443.34220761968419</v>
      </c>
      <c r="AO90" s="59">
        <f t="shared" si="90"/>
        <v>546.58234447298014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57.254221970808224</v>
      </c>
      <c r="AV90" s="21">
        <f>EXP(-LN(2)/25)*AV89+(1-EXP(-LN(2)/25))/(LN(2)/25)*Calculateur!AQ90*Calculateur!AS90*VLOOKUP('Données projet'!$B$10,Paramètres!$A$1:$I$89,3,0)*0.475*44/12</f>
        <v>4.5168416490974588</v>
      </c>
      <c r="AW90" s="21">
        <f>EXP(-LN(2)/2)*AW89+(1-EXP(-LN(2)/2))/(LN(2)/2)*AQ90*AT90*VLOOKUP('Données projet'!$B$10,Paramètres!$A$1:$I$89,3,0)*0.475*44/12</f>
        <v>1.5915168511277956E-8</v>
      </c>
      <c r="AX90" s="21">
        <f t="shared" si="60"/>
        <v>61.771063635820852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7.8</v>
      </c>
      <c r="BD90" s="12">
        <f>IF('Données projet'!$A$88&gt;35,BD89+BC90-BL89,IF(A90&lt;'Données projet'!$A$88,$BA$205^A90,IF(A90='Données projet'!$A$88,'Données projet'!$B$88,BD89+BC90-BL89)))</f>
        <v>353.5999999999998</v>
      </c>
      <c r="BE90" s="13">
        <f>BD90*VLOOKUP('Données projet'!$B$11,Paramètres!$A$1:$I$89,3,0)*VLOOKUP('Données projet'!$B$11,Paramètres!$A$1:$I$89,5,0)</f>
        <v>303.38879999999989</v>
      </c>
      <c r="BF90" s="13">
        <f t="shared" si="91"/>
        <v>71.88642102141435</v>
      </c>
      <c r="BG90" s="20">
        <f t="shared" si="61"/>
        <v>653.60434327896314</v>
      </c>
      <c r="BH90" s="59">
        <f t="shared" si="62"/>
        <v>946.9376766122964</v>
      </c>
      <c r="BI90" s="59">
        <f ca="1">AVERAGE(OFFSET($BH$3,0,0,'Données projet'!$E$11+1,1))-AVERAGE(OFFSET($H$3,0,0,'Données projet'!$E$11+1,1))</f>
        <v>447.15627913956871</v>
      </c>
      <c r="BJ90" s="59">
        <f t="shared" si="92"/>
        <v>256.77417912163997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94.735279725950406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94.735279725950406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5.2</v>
      </c>
      <c r="BY90" s="12">
        <f>IF('Données projet'!$A$114&gt;35,BY89+BX90-CG89,IF(A90&lt;'Données projet'!$A$114,$BV$205^A90,IF(A90='Données projet'!$A$114,'Données projet'!$B$114,BY89+BX90-CG89)))</f>
        <v>251.39999999999992</v>
      </c>
      <c r="BZ90" s="13">
        <f>BY90*VLOOKUP('Données projet'!$B$12,Paramètres!$A$1:$I$89,3,0)*VLOOKUP('Données projet'!$B$12,Paramètres!$A$1:$I$89,5,0)</f>
        <v>239.23223999999993</v>
      </c>
      <c r="CA90" s="13">
        <f t="shared" si="93"/>
        <v>58.274312386610639</v>
      </c>
      <c r="CB90" s="20">
        <f t="shared" si="64"/>
        <v>518.15724540667998</v>
      </c>
      <c r="CC90" s="59">
        <f t="shared" si="65"/>
        <v>811.49057874001323</v>
      </c>
      <c r="CD90" s="59">
        <f ca="1">AVERAGE(OFFSET($CC$3,0,0,'Données projet'!$E$12+1,1))-AVERAGE(OFFSET($H$3,0,0,'Données projet'!$E$12+1,1))</f>
        <v>448.94764480536713</v>
      </c>
      <c r="CE90" s="59">
        <f t="shared" si="94"/>
        <v>469.26760321719695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85.616073322479309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85.616073322479309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187.80389738728508</v>
      </c>
      <c r="CZ90" s="59">
        <f t="shared" si="96"/>
        <v>439.28159165815265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39.944113672147552</v>
      </c>
      <c r="DG90" s="21">
        <f>EXP(-LN(2)/25)*DG89+(1-EXP(-LN(2)/25))/(LN(2)/25)*Calculateur!DB90*Calculateur!DD90*VLOOKUP('Données projet'!$B$13,Paramètres!$A$1:$I$89,3,0)*0.475*44/12</f>
        <v>2.9602557593447543</v>
      </c>
      <c r="DH90" s="21">
        <f>EXP(-LN(2)/2)*DH89+(1-EXP(-LN(2)/2))/(LN(2)/2)*DB90*DE90*VLOOKUP('Données projet'!$B$13,Paramètres!$A$1:$I$89,3,0)*0.475*44/12</f>
        <v>1.1843792848347432E-10</v>
      </c>
      <c r="DI90" s="22">
        <f t="shared" si="69"/>
        <v>42.904369431610746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255.00000000000006</v>
      </c>
      <c r="DP90" s="17">
        <f>DO90*VLOOKUP('Données projet'!$B$14,Paramètres!$A$1:$I$89,3,0)*VLOOKUP('Données projet'!$B$14,Paramètres!$A$1:$I$89,5,0)</f>
        <v>186.96600000000004</v>
      </c>
      <c r="DQ90" s="13">
        <f t="shared" si="97"/>
        <v>46.868551400324648</v>
      </c>
      <c r="DR90" s="20">
        <f t="shared" si="70"/>
        <v>407.26184368889881</v>
      </c>
      <c r="DS90" s="59">
        <f t="shared" si="71"/>
        <v>700.59517702223206</v>
      </c>
      <c r="DT90" s="59">
        <f ca="1">AVERAGE(OFFSET($DS$3,0,0,'Données projet'!$E$14+1,1))-AVERAGE(OFFSET($H$3,0,0,'Données projet'!$E$14+1,1))</f>
        <v>239.25212250019609</v>
      </c>
      <c r="DU90" s="59">
        <f t="shared" si="98"/>
        <v>213.58492101729695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689</v>
      </c>
      <c r="EK90" s="17">
        <f>EJ90*VLOOKUP('Données projet'!$B$15,Paramètres!$A$1:$I$89,3,0)*VLOOKUP('Données projet'!$B$15,Paramètres!$A$1:$I$89,5,0)</f>
        <v>412.02199999999999</v>
      </c>
      <c r="EL90" s="13">
        <f t="shared" si="99"/>
        <v>94.209724877926391</v>
      </c>
      <c r="EM90" s="20">
        <f t="shared" si="73"/>
        <v>881.686920829055</v>
      </c>
      <c r="EN90" s="59">
        <f t="shared" si="74"/>
        <v>1175.0202541623883</v>
      </c>
      <c r="EO90" s="59">
        <f ca="1">AVERAGE(OFFSET($EN$3,0,0,'Données projet'!$E$15+1,1))-AVERAGE(OFFSET($H$3,0,0,'Données projet'!$E$15+1,1))</f>
        <v>504.81063008331739</v>
      </c>
      <c r="EP90" s="59">
        <f t="shared" si="100"/>
        <v>441.82647565372287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85.202004264996646</v>
      </c>
      <c r="EW90" s="21">
        <f>EXP(-LN(2)/25)*EW89+(1-EXP(-LN(2)/25))/(LN(2)/25)*Calculateur!ER90*Calculateur!ET90*VLOOKUP('Données projet'!$B$15,Paramètres!$A$1:$I$89,3,0)*0.475*44/12</f>
        <v>12.12310245908521</v>
      </c>
      <c r="EX90" s="21">
        <f>EXP(-LN(2)/2)*EX89+(1-EXP(-LN(2)/2))/(LN(2)/2)*ER90*EU90*VLOOKUP('Données projet'!$B$15,Paramètres!$A$1:$I$89,3,0)*0.475*44/12</f>
        <v>1.3793831450881525E-10</v>
      </c>
      <c r="EY90" s="22">
        <f t="shared" si="75"/>
        <v>97.325106724219793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7.8</v>
      </c>
      <c r="FE90" s="12">
        <f>IF('Données projet'!$A$218&gt;35,FE89+FD90-FM89,IF(A90&lt;'Données projet'!$A$218,$FB$205^A90,IF(A90='Données projet'!$A$218,'Données projet'!$B$218,FE89+FD90-FM89)))</f>
        <v>508.59999999999951</v>
      </c>
      <c r="FF90" s="17">
        <f>FE90*VLOOKUP('Données projet'!$B$16,Paramètres!$A$1:$I$89,3,0)*VLOOKUP('Données projet'!$B$16,Paramètres!$A$1:$I$89,5,0)</f>
        <v>290.91919999999976</v>
      </c>
      <c r="FG90" s="13">
        <f t="shared" si="101"/>
        <v>69.269386931367706</v>
      </c>
      <c r="FH90" s="20">
        <f t="shared" si="76"/>
        <v>627.3284555721317</v>
      </c>
      <c r="FI90" s="59">
        <f t="shared" si="77"/>
        <v>920.66178890546507</v>
      </c>
      <c r="FJ90" s="59">
        <f ca="1">AVERAGE(OFFSET($FI$3,0,0,'Données projet'!$E$16+1,1))-AVERAGE(OFFSET($H$3,0,0,'Données projet'!$E$16+1,1))</f>
        <v>393.41577134252316</v>
      </c>
      <c r="FK90" s="59">
        <f t="shared" si="102"/>
        <v>255.54039659391475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79.093372727325615</v>
      </c>
      <c r="FR90" s="21">
        <f>EXP(-LN(2)/25)*FR89+(1-EXP(-LN(2)/25))/(LN(2)/25)*Calculateur!FM90*Calculateur!FO90*VLOOKUP('Données projet'!$B$16,Paramètres!$A$1:$I$89,3,0)*0.475*44/12</f>
        <v>5.5016618453274875</v>
      </c>
      <c r="FS90" s="21">
        <f>EXP(-LN(2)/2)*FS89+(1-EXP(-LN(2)/2))/(LN(2)/2)*FM90*FP90*VLOOKUP('Données projet'!$B$16,Paramètres!$A$1:$I$89,3,0)*0.475*44/12</f>
        <v>9.5961983998886631E-10</v>
      </c>
      <c r="FT90" s="22">
        <f t="shared" si="78"/>
        <v>84.595034573612722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853.00000000000011</v>
      </c>
      <c r="GA90" s="17">
        <f>FZ90*VLOOKUP('Données projet'!$B$17,Paramètres!$A$1:$I$89,3,0)*VLOOKUP('Données projet'!$B$17,Paramètres!$A$1:$I$89,5,0)</f>
        <v>399.20400000000006</v>
      </c>
      <c r="GB90" s="13">
        <f t="shared" si="103"/>
        <v>91.615269732888521</v>
      </c>
      <c r="GC90" s="20">
        <f t="shared" si="79"/>
        <v>854.8435614514475</v>
      </c>
      <c r="GD90" s="59">
        <f t="shared" si="80"/>
        <v>1148.1768947847809</v>
      </c>
      <c r="GE90" s="59">
        <f ca="1">AVERAGE(OFFSET($GD$3,0,0,'Données projet'!$E$17+1,1))-AVERAGE(OFFSET($H$3,0,0,'Données projet'!$E$17+1,1))</f>
        <v>488.67934252295686</v>
      </c>
      <c r="GF90" s="59">
        <f t="shared" si="104"/>
        <v>424.50324471331095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120.65180508978098</v>
      </c>
      <c r="GM90" s="21">
        <f>EXP(-LN(2)/25)*GM89+(1-EXP(-LN(2)/25))/(LN(2)/25)*Calculateur!GH90*Calculateur!GJ90*VLOOKUP('Données projet'!$B$17,Paramètres!$A$1:$I$89,3,0)*0.475*44/12</f>
        <v>10.08638004976706</v>
      </c>
      <c r="GN90" s="21">
        <f>EXP(-LN(2)/2)*GN89+(1-EXP(-LN(2)/2))/(LN(2)/2)*GH90*GK90*VLOOKUP('Données projet'!$B$17,Paramètres!$A$1:$I$89,3,0)*0.475*44/12</f>
        <v>2.1373350981570198E-9</v>
      </c>
      <c r="GO90" s="21">
        <f t="shared" si="81"/>
        <v>130.73818514168539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789</v>
      </c>
      <c r="GV90" s="17">
        <f>GU90*VLOOKUP('Données projet'!$B$18,Paramètres!$A$1:$I$89,3,0)*VLOOKUP('Données projet'!$B$18,Paramètres!$A$1:$I$89,5,0)</f>
        <v>379.50900000000001</v>
      </c>
      <c r="GW90" s="13">
        <f t="shared" si="105"/>
        <v>87.609801106074272</v>
      </c>
      <c r="GX90" s="20">
        <f t="shared" si="82"/>
        <v>813.56524525974601</v>
      </c>
      <c r="GY90" s="59">
        <f t="shared" si="83"/>
        <v>1106.8985785930793</v>
      </c>
      <c r="GZ90" s="59">
        <f ca="1">AVERAGE(OFFSET($GY$3,0,0,'Données projet'!$E$18+1,1))-AVERAGE(OFFSET($H$3,0,0,'Données projet'!$E$18+1,1))</f>
        <v>458.80976193248841</v>
      </c>
      <c r="HA90" s="59">
        <f t="shared" si="106"/>
        <v>396.07405370178759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122.16934591111951</v>
      </c>
      <c r="HH90" s="21">
        <f>EXP(-LN(2)/25)*HH89+(1-EXP(-LN(2)/25))/(LN(2)/25)*Calculateur!HC90*Calculateur!HE90*VLOOKUP('Données projet'!$B$18,Paramètres!$A$1:$I$89,3,0)*0.475*44/12</f>
        <v>9.4241429757924617</v>
      </c>
      <c r="HI90" s="21">
        <f>EXP(-LN(2)/2)*HI89+(1-EXP(-LN(2)/2))/(LN(2)/2)*HC90*HF90*VLOOKUP('Données projet'!$B$18,Paramètres!$A$1:$I$89,3,0)*0.475*44/12</f>
        <v>9.8627594665522445E-10</v>
      </c>
      <c r="HJ90" s="22">
        <f t="shared" si="84"/>
        <v>131.59348888789822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811.10096397458301</v>
      </c>
      <c r="S91" s="59">
        <f ca="1">AVERAGE(OFFSET($R$3,0,0,'Données projet'!$E$9+1,1))-AVERAGE(OFFSET($H$3,0,0,'Données projet'!$E$9+1,1))</f>
        <v>364.3481978218424</v>
      </c>
      <c r="T91" s="59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59.901741185612913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59.901741185612913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636.99999999999977</v>
      </c>
      <c r="AJ91" s="13">
        <f>AI91*VLOOKUP('Données projet'!$B$10,Paramètres!$A$1:$I$89,3,0)*VLOOKUP('Données projet'!$B$10,Paramètres!$A$1:$I$89,5,0)</f>
        <v>356.08299999999991</v>
      </c>
      <c r="AK91" s="13">
        <f t="shared" si="89"/>
        <v>82.813805255716545</v>
      </c>
      <c r="AL91" s="20">
        <f t="shared" si="58"/>
        <v>764.41193582037283</v>
      </c>
      <c r="AM91" s="59">
        <f t="shared" si="59"/>
        <v>1057.7452691537062</v>
      </c>
      <c r="AN91" s="59">
        <f ca="1">AVERAGE(OFFSET($AM$3,0,0,'Données projet'!$E$10+1,1))-AVERAGE(OFFSET($H$3,0,0,'Données projet'!$E$10+1,1))</f>
        <v>443.34220761968419</v>
      </c>
      <c r="AO91" s="59">
        <f t="shared" si="90"/>
        <v>546.58234447298014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56.13150159958785</v>
      </c>
      <c r="AV91" s="21">
        <f>EXP(-LN(2)/25)*AV90+(1-EXP(-LN(2)/25))/(LN(2)/25)*Calculateur!AQ91*Calculateur!AS91*VLOOKUP('Données projet'!$B$10,Paramètres!$A$1:$I$89,3,0)*0.475*44/12</f>
        <v>4.3933283766725095</v>
      </c>
      <c r="AW91" s="21">
        <f>EXP(-LN(2)/2)*AW90+(1-EXP(-LN(2)/2))/(LN(2)/2)*AQ91*AT91*VLOOKUP('Données projet'!$B$10,Paramètres!$A$1:$I$89,3,0)*0.475*44/12</f>
        <v>1.1253723578051253E-8</v>
      </c>
      <c r="AX91" s="21">
        <f t="shared" si="60"/>
        <v>60.524829987514082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7.8</v>
      </c>
      <c r="BD91" s="12">
        <f>IF('Données projet'!$A$88&gt;35,BD90+BC91-BL90,IF(A91&lt;'Données projet'!$A$88,$BA$205^A91,IF(A91='Données projet'!$A$88,'Données projet'!$B$88,BD90+BC91-BL90)))</f>
        <v>361.39999999999981</v>
      </c>
      <c r="BE91" s="13">
        <f>BD91*VLOOKUP('Données projet'!$B$11,Paramètres!$A$1:$I$89,3,0)*VLOOKUP('Données projet'!$B$11,Paramètres!$A$1:$I$89,5,0)</f>
        <v>310.08119999999985</v>
      </c>
      <c r="BF91" s="13">
        <f t="shared" si="91"/>
        <v>73.285787705139427</v>
      </c>
      <c r="BG91" s="20">
        <f t="shared" si="61"/>
        <v>667.69750358645092</v>
      </c>
      <c r="BH91" s="59">
        <f t="shared" si="62"/>
        <v>961.03083691978418</v>
      </c>
      <c r="BI91" s="59">
        <f ca="1">AVERAGE(OFFSET($BH$3,0,0,'Données projet'!$E$11+1,1))-AVERAGE(OFFSET($H$3,0,0,'Données projet'!$E$11+1,1))</f>
        <v>447.15627913956871</v>
      </c>
      <c r="BJ91" s="59">
        <f t="shared" si="92"/>
        <v>256.77417912163997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92.877578673339571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92.877578673339571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5.2</v>
      </c>
      <c r="BY91" s="12">
        <f>IF('Données projet'!$A$114&gt;35,BY90+BX91-CG90,IF(A91&lt;'Données projet'!$A$114,$BV$205^A91,IF(A91='Données projet'!$A$114,'Données projet'!$B$114,BY90+BX91-CG90)))</f>
        <v>256.59999999999991</v>
      </c>
      <c r="BZ91" s="13">
        <f>BY91*VLOOKUP('Données projet'!$B$12,Paramètres!$A$1:$I$89,3,0)*VLOOKUP('Données projet'!$B$12,Paramètres!$A$1:$I$89,5,0)</f>
        <v>244.18055999999993</v>
      </c>
      <c r="CA91" s="13">
        <f t="shared" si="93"/>
        <v>59.338092320635823</v>
      </c>
      <c r="CB91" s="20">
        <f t="shared" si="64"/>
        <v>528.62831945844061</v>
      </c>
      <c r="CC91" s="59">
        <f t="shared" si="65"/>
        <v>821.96165279177399</v>
      </c>
      <c r="CD91" s="59">
        <f ca="1">AVERAGE(OFFSET($CC$3,0,0,'Données projet'!$E$12+1,1))-AVERAGE(OFFSET($H$3,0,0,'Données projet'!$E$12+1,1))</f>
        <v>448.94764480536713</v>
      </c>
      <c r="CE91" s="59">
        <f t="shared" si="94"/>
        <v>469.26760321719695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83.937194345273852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83.937194345273852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187.80389738728508</v>
      </c>
      <c r="CZ91" s="59">
        <f t="shared" si="96"/>
        <v>439.28159165815265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39.16083396654038</v>
      </c>
      <c r="DG91" s="21">
        <f>EXP(-LN(2)/25)*DG90+(1-EXP(-LN(2)/25))/(LN(2)/25)*Calculateur!DB91*Calculateur!DD91*VLOOKUP('Données projet'!$B$13,Paramètres!$A$1:$I$89,3,0)*0.475*44/12</f>
        <v>2.8793074099323874</v>
      </c>
      <c r="DH91" s="21">
        <f>EXP(-LN(2)/2)*DH90+(1-EXP(-LN(2)/2))/(LN(2)/2)*DB91*DE91*VLOOKUP('Données projet'!$B$13,Paramètres!$A$1:$I$89,3,0)*0.475*44/12</f>
        <v>8.3748262380352044E-11</v>
      </c>
      <c r="DI91" s="22">
        <f t="shared" si="69"/>
        <v>42.04014137655652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255.00000000000006</v>
      </c>
      <c r="DP91" s="17">
        <f>DO91*VLOOKUP('Données projet'!$B$14,Paramètres!$A$1:$I$89,3,0)*VLOOKUP('Données projet'!$B$14,Paramètres!$A$1:$I$89,5,0)</f>
        <v>186.96600000000004</v>
      </c>
      <c r="DQ91" s="13">
        <f t="shared" si="97"/>
        <v>46.868551400324648</v>
      </c>
      <c r="DR91" s="20">
        <f t="shared" si="70"/>
        <v>407.26184368889881</v>
      </c>
      <c r="DS91" s="59">
        <f t="shared" si="71"/>
        <v>700.59517702223206</v>
      </c>
      <c r="DT91" s="59">
        <f ca="1">AVERAGE(OFFSET($DS$3,0,0,'Données projet'!$E$14+1,1))-AVERAGE(OFFSET($H$3,0,0,'Données projet'!$E$14+1,1))</f>
        <v>239.25212250019609</v>
      </c>
      <c r="DU91" s="59">
        <f t="shared" si="98"/>
        <v>213.58492101729695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689</v>
      </c>
      <c r="EK91" s="17">
        <f>EJ91*VLOOKUP('Données projet'!$B$15,Paramètres!$A$1:$I$89,3,0)*VLOOKUP('Données projet'!$B$15,Paramètres!$A$1:$I$89,5,0)</f>
        <v>412.02199999999999</v>
      </c>
      <c r="EL91" s="13">
        <f t="shared" si="99"/>
        <v>94.209724877926391</v>
      </c>
      <c r="EM91" s="20">
        <f t="shared" si="73"/>
        <v>881.686920829055</v>
      </c>
      <c r="EN91" s="59">
        <f t="shared" si="74"/>
        <v>1175.0202541623883</v>
      </c>
      <c r="EO91" s="59">
        <f ca="1">AVERAGE(OFFSET($EN$3,0,0,'Données projet'!$E$15+1,1))-AVERAGE(OFFSET($H$3,0,0,'Données projet'!$E$15+1,1))</f>
        <v>504.81063008331739</v>
      </c>
      <c r="EP91" s="59">
        <f t="shared" si="100"/>
        <v>441.82647565372287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83.531244929451233</v>
      </c>
      <c r="EW91" s="21">
        <f>EXP(-LN(2)/25)*EW90+(1-EXP(-LN(2)/25))/(LN(2)/25)*Calculateur!ER91*Calculateur!ET91*VLOOKUP('Données projet'!$B$15,Paramètres!$A$1:$I$89,3,0)*0.475*44/12</f>
        <v>11.791595584815274</v>
      </c>
      <c r="EX91" s="21">
        <f>EXP(-LN(2)/2)*EX90+(1-EXP(-LN(2)/2))/(LN(2)/2)*ER91*EU91*VLOOKUP('Données projet'!$B$15,Paramètres!$A$1:$I$89,3,0)*0.475*44/12</f>
        <v>9.7537117574625999E-11</v>
      </c>
      <c r="EY91" s="22">
        <f t="shared" si="75"/>
        <v>95.322840514364046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7.8</v>
      </c>
      <c r="FE91" s="12">
        <f>IF('Données projet'!$A$218&gt;35,FE90+FD91-FM90,IF(A91&lt;'Données projet'!$A$218,$FB$205^A91,IF(A91='Données projet'!$A$218,'Données projet'!$B$218,FE90+FD91-FM90)))</f>
        <v>516.39999999999952</v>
      </c>
      <c r="FF91" s="17">
        <f>FE91*VLOOKUP('Données projet'!$B$16,Paramètres!$A$1:$I$89,3,0)*VLOOKUP('Données projet'!$B$16,Paramètres!$A$1:$I$89,5,0)</f>
        <v>295.38079999999974</v>
      </c>
      <c r="FG91" s="13">
        <f t="shared" si="101"/>
        <v>70.207228944164783</v>
      </c>
      <c r="FH91" s="20">
        <f t="shared" si="76"/>
        <v>636.73248374441994</v>
      </c>
      <c r="FI91" s="59">
        <f t="shared" si="77"/>
        <v>930.06581707775331</v>
      </c>
      <c r="FJ91" s="59">
        <f ca="1">AVERAGE(OFFSET($FI$3,0,0,'Données projet'!$E$16+1,1))-AVERAGE(OFFSET($H$3,0,0,'Données projet'!$E$16+1,1))</f>
        <v>393.41577134252316</v>
      </c>
      <c r="FK91" s="59">
        <f t="shared" si="102"/>
        <v>255.54039659391475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77.5423999303366</v>
      </c>
      <c r="FR91" s="21">
        <f>EXP(-LN(2)/25)*FR90+(1-EXP(-LN(2)/25))/(LN(2)/25)*Calculateur!FM91*Calculateur!FO91*VLOOKUP('Données projet'!$B$16,Paramètres!$A$1:$I$89,3,0)*0.475*44/12</f>
        <v>5.3512186128471848</v>
      </c>
      <c r="FS91" s="21">
        <f>EXP(-LN(2)/2)*FS90+(1-EXP(-LN(2)/2))/(LN(2)/2)*FM91*FP91*VLOOKUP('Données projet'!$B$16,Paramètres!$A$1:$I$89,3,0)*0.475*44/12</f>
        <v>6.7855369621727704E-10</v>
      </c>
      <c r="FT91" s="22">
        <f t="shared" si="78"/>
        <v>82.893618543862345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853.00000000000011</v>
      </c>
      <c r="GA91" s="17">
        <f>FZ91*VLOOKUP('Données projet'!$B$17,Paramètres!$A$1:$I$89,3,0)*VLOOKUP('Données projet'!$B$17,Paramètres!$A$1:$I$89,5,0)</f>
        <v>399.20400000000006</v>
      </c>
      <c r="GB91" s="13">
        <f t="shared" si="103"/>
        <v>91.615269732888521</v>
      </c>
      <c r="GC91" s="20">
        <f t="shared" si="79"/>
        <v>854.8435614514475</v>
      </c>
      <c r="GD91" s="59">
        <f t="shared" si="80"/>
        <v>1148.1768947847809</v>
      </c>
      <c r="GE91" s="59">
        <f ca="1">AVERAGE(OFFSET($GD$3,0,0,'Données projet'!$E$17+1,1))-AVERAGE(OFFSET($H$3,0,0,'Données projet'!$E$17+1,1))</f>
        <v>488.67934252295686</v>
      </c>
      <c r="GF91" s="59">
        <f t="shared" si="104"/>
        <v>424.50324471331095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118.28589678230503</v>
      </c>
      <c r="GM91" s="21">
        <f>EXP(-LN(2)/25)*GM90+(1-EXP(-LN(2)/25))/(LN(2)/25)*Calculateur!GH91*Calculateur!GJ91*VLOOKUP('Données projet'!$B$17,Paramètres!$A$1:$I$89,3,0)*0.475*44/12</f>
        <v>9.8105674568865062</v>
      </c>
      <c r="GN91" s="21">
        <f>EXP(-LN(2)/2)*GN90+(1-EXP(-LN(2)/2))/(LN(2)/2)*GH91*GK91*VLOOKUP('Données projet'!$B$17,Paramètres!$A$1:$I$89,3,0)*0.475*44/12</f>
        <v>1.5113241415748439E-9</v>
      </c>
      <c r="GO91" s="21">
        <f t="shared" si="81"/>
        <v>128.09646424070286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789</v>
      </c>
      <c r="GV91" s="17">
        <f>GU91*VLOOKUP('Données projet'!$B$18,Paramètres!$A$1:$I$89,3,0)*VLOOKUP('Données projet'!$B$18,Paramètres!$A$1:$I$89,5,0)</f>
        <v>379.50900000000001</v>
      </c>
      <c r="GW91" s="13">
        <f t="shared" si="105"/>
        <v>87.609801106074272</v>
      </c>
      <c r="GX91" s="20">
        <f t="shared" si="82"/>
        <v>813.56524525974601</v>
      </c>
      <c r="GY91" s="59">
        <f t="shared" si="83"/>
        <v>1106.8985785930793</v>
      </c>
      <c r="GZ91" s="59">
        <f ca="1">AVERAGE(OFFSET($GY$3,0,0,'Données projet'!$E$18+1,1))-AVERAGE(OFFSET($H$3,0,0,'Données projet'!$E$18+1,1))</f>
        <v>458.80976193248841</v>
      </c>
      <c r="HA91" s="59">
        <f t="shared" si="106"/>
        <v>396.07405370178759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119.77367955374562</v>
      </c>
      <c r="HH91" s="21">
        <f>EXP(-LN(2)/25)*HH90+(1-EXP(-LN(2)/25))/(LN(2)/25)*Calculateur!HC91*Calculateur!HE91*VLOOKUP('Données projet'!$B$18,Paramètres!$A$1:$I$89,3,0)*0.475*44/12</f>
        <v>9.1664392905252772</v>
      </c>
      <c r="HI91" s="21">
        <f>EXP(-LN(2)/2)*HI90+(1-EXP(-LN(2)/2))/(LN(2)/2)*HC91*HF91*VLOOKUP('Données projet'!$B$18,Paramètres!$A$1:$I$89,3,0)*0.475*44/12</f>
        <v>6.9740241000109082E-10</v>
      </c>
      <c r="HJ91" s="22">
        <f t="shared" si="84"/>
        <v>128.94011884496831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821.44018387408369</v>
      </c>
      <c r="S92" s="59">
        <f ca="1">AVERAGE(OFFSET($R$3,0,0,'Données projet'!$E$9+1,1))-AVERAGE(OFFSET($H$3,0,0,'Données projet'!$E$9+1,1))</f>
        <v>364.3481978218424</v>
      </c>
      <c r="T92" s="59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58.727104577417492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58.727104577417492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636.99999999999977</v>
      </c>
      <c r="AJ92" s="13">
        <f>AI92*VLOOKUP('Données projet'!$B$10,Paramètres!$A$1:$I$89,3,0)*VLOOKUP('Données projet'!$B$10,Paramètres!$A$1:$I$89,5,0)</f>
        <v>356.08299999999991</v>
      </c>
      <c r="AK92" s="13">
        <f t="shared" si="89"/>
        <v>82.813805255716545</v>
      </c>
      <c r="AL92" s="20">
        <f t="shared" si="58"/>
        <v>764.41193582037283</v>
      </c>
      <c r="AM92" s="59">
        <f t="shared" si="59"/>
        <v>1057.7452691537062</v>
      </c>
      <c r="AN92" s="59">
        <f ca="1">AVERAGE(OFFSET($AM$3,0,0,'Données projet'!$E$10+1,1))-AVERAGE(OFFSET($H$3,0,0,'Données projet'!$E$10+1,1))</f>
        <v>443.34220761968419</v>
      </c>
      <c r="AO92" s="59">
        <f t="shared" si="90"/>
        <v>546.58234447298014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55.030797090055302</v>
      </c>
      <c r="AV92" s="21">
        <f>EXP(-LN(2)/25)*AV91+(1-EXP(-LN(2)/25))/(LN(2)/25)*Calculateur!AQ92*Calculateur!AS92*VLOOKUP('Données projet'!$B$10,Paramètres!$A$1:$I$89,3,0)*0.475*44/12</f>
        <v>4.2731925811773017</v>
      </c>
      <c r="AW92" s="21">
        <f>EXP(-LN(2)/2)*AW91+(1-EXP(-LN(2)/2))/(LN(2)/2)*AQ92*AT92*VLOOKUP('Données projet'!$B$10,Paramètres!$A$1:$I$89,3,0)*0.475*44/12</f>
        <v>7.9575842556389778E-9</v>
      </c>
      <c r="AX92" s="21">
        <f t="shared" si="60"/>
        <v>59.303989679190181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7.8</v>
      </c>
      <c r="BD92" s="12">
        <f>IF('Données projet'!$A$88&gt;35,BD91+BC92-BL91,IF(A92&lt;'Données projet'!$A$88,$BA$205^A92,IF(A92='Données projet'!$A$88,'Données projet'!$B$88,BD91+BC92-BL91)))</f>
        <v>369.19999999999982</v>
      </c>
      <c r="BE92" s="13">
        <f>BD92*VLOOKUP('Données projet'!$B$11,Paramètres!$A$1:$I$89,3,0)*VLOOKUP('Données projet'!$B$11,Paramètres!$A$1:$I$89,5,0)</f>
        <v>316.77359999999987</v>
      </c>
      <c r="BF92" s="13">
        <f t="shared" si="91"/>
        <v>74.681642981668006</v>
      </c>
      <c r="BG92" s="20">
        <f t="shared" si="61"/>
        <v>681.78454819307149</v>
      </c>
      <c r="BH92" s="59">
        <f t="shared" si="62"/>
        <v>975.11788152640474</v>
      </c>
      <c r="BI92" s="59">
        <f ca="1">AVERAGE(OFFSET($BH$3,0,0,'Données projet'!$E$11+1,1))-AVERAGE(OFFSET($H$3,0,0,'Données projet'!$E$11+1,1))</f>
        <v>447.15627913956871</v>
      </c>
      <c r="BJ92" s="59">
        <f t="shared" si="92"/>
        <v>256.77417912163997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91.056306005284682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91.056306005284682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5.2</v>
      </c>
      <c r="BY92" s="12">
        <f>IF('Données projet'!$A$114&gt;35,BY91+BX92-CG91,IF(A92&lt;'Données projet'!$A$114,$BV$205^A92,IF(A92='Données projet'!$A$114,'Données projet'!$B$114,BY91+BX92-CG91)))</f>
        <v>261.7999999999999</v>
      </c>
      <c r="BZ92" s="13">
        <f>BY92*VLOOKUP('Données projet'!$B$12,Paramètres!$A$1:$I$89,3,0)*VLOOKUP('Données projet'!$B$12,Paramètres!$A$1:$I$89,5,0)</f>
        <v>249.1288799999999</v>
      </c>
      <c r="CA92" s="13">
        <f t="shared" si="93"/>
        <v>60.399365736982055</v>
      </c>
      <c r="CB92" s="20">
        <f t="shared" si="64"/>
        <v>539.09502799191023</v>
      </c>
      <c r="CC92" s="59">
        <f t="shared" si="65"/>
        <v>832.42836132524349</v>
      </c>
      <c r="CD92" s="59">
        <f ca="1">AVERAGE(OFFSET($CC$3,0,0,'Données projet'!$E$12+1,1))-AVERAGE(OFFSET($H$3,0,0,'Données projet'!$E$12+1,1))</f>
        <v>448.94764480536713</v>
      </c>
      <c r="CE92" s="59">
        <f t="shared" si="94"/>
        <v>469.26760321719695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82.291237160796328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82.291237160796328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187.80389738728508</v>
      </c>
      <c r="CZ92" s="59">
        <f t="shared" si="96"/>
        <v>439.28159165815265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38.392913898206722</v>
      </c>
      <c r="DG92" s="21">
        <f>EXP(-LN(2)/25)*DG91+(1-EXP(-LN(2)/25))/(LN(2)/25)*Calculateur!DB92*Calculateur!DD92*VLOOKUP('Données projet'!$B$13,Paramètres!$A$1:$I$89,3,0)*0.475*44/12</f>
        <v>2.8005725973915903</v>
      </c>
      <c r="DH92" s="21">
        <f>EXP(-LN(2)/2)*DH91+(1-EXP(-LN(2)/2))/(LN(2)/2)*DB92*DE92*VLOOKUP('Données projet'!$B$13,Paramètres!$A$1:$I$89,3,0)*0.475*44/12</f>
        <v>5.9218964241737162E-11</v>
      </c>
      <c r="DI92" s="22">
        <f t="shared" si="69"/>
        <v>41.193486495657531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255.00000000000006</v>
      </c>
      <c r="DP92" s="17">
        <f>DO92*VLOOKUP('Données projet'!$B$14,Paramètres!$A$1:$I$89,3,0)*VLOOKUP('Données projet'!$B$14,Paramètres!$A$1:$I$89,5,0)</f>
        <v>186.96600000000004</v>
      </c>
      <c r="DQ92" s="13">
        <f t="shared" si="97"/>
        <v>46.868551400324648</v>
      </c>
      <c r="DR92" s="20">
        <f t="shared" si="70"/>
        <v>407.26184368889881</v>
      </c>
      <c r="DS92" s="59">
        <f t="shared" si="71"/>
        <v>700.59517702223206</v>
      </c>
      <c r="DT92" s="59">
        <f ca="1">AVERAGE(OFFSET($DS$3,0,0,'Données projet'!$E$14+1,1))-AVERAGE(OFFSET($H$3,0,0,'Données projet'!$E$14+1,1))</f>
        <v>239.25212250019609</v>
      </c>
      <c r="DU92" s="59">
        <f t="shared" si="98"/>
        <v>213.58492101729695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689</v>
      </c>
      <c r="EK92" s="17">
        <f>EJ92*VLOOKUP('Données projet'!$B$15,Paramètres!$A$1:$I$89,3,0)*VLOOKUP('Données projet'!$B$15,Paramètres!$A$1:$I$89,5,0)</f>
        <v>412.02199999999999</v>
      </c>
      <c r="EL92" s="13">
        <f t="shared" si="99"/>
        <v>94.209724877926391</v>
      </c>
      <c r="EM92" s="20">
        <f t="shared" si="73"/>
        <v>881.686920829055</v>
      </c>
      <c r="EN92" s="59">
        <f t="shared" si="74"/>
        <v>1175.0202541623883</v>
      </c>
      <c r="EO92" s="59">
        <f ca="1">AVERAGE(OFFSET($EN$3,0,0,'Données projet'!$E$15+1,1))-AVERAGE(OFFSET($H$3,0,0,'Données projet'!$E$15+1,1))</f>
        <v>504.81063008331739</v>
      </c>
      <c r="EP92" s="59">
        <f t="shared" si="100"/>
        <v>441.82647565372287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81.893248165413297</v>
      </c>
      <c r="EW92" s="21">
        <f>EXP(-LN(2)/25)*EW91+(1-EXP(-LN(2)/25))/(LN(2)/25)*Calculateur!ER92*Calculateur!ET92*VLOOKUP('Données projet'!$B$15,Paramètres!$A$1:$I$89,3,0)*0.475*44/12</f>
        <v>11.46915378345544</v>
      </c>
      <c r="EX92" s="21">
        <f>EXP(-LN(2)/2)*EX91+(1-EXP(-LN(2)/2))/(LN(2)/2)*ER92*EU92*VLOOKUP('Données projet'!$B$15,Paramètres!$A$1:$I$89,3,0)*0.475*44/12</f>
        <v>6.8969157254407624E-11</v>
      </c>
      <c r="EY92" s="22">
        <f t="shared" si="75"/>
        <v>93.362401948937702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7.8</v>
      </c>
      <c r="FE92" s="12">
        <f>IF('Données projet'!$A$218&gt;35,FE91+FD92-FM91,IF(A92&lt;'Données projet'!$A$218,$FB$205^A92,IF(A92='Données projet'!$A$218,'Données projet'!$B$218,FE91+FD92-FM91)))</f>
        <v>524.19999999999948</v>
      </c>
      <c r="FF92" s="17">
        <f>FE92*VLOOKUP('Données projet'!$B$16,Paramètres!$A$1:$I$89,3,0)*VLOOKUP('Données projet'!$B$16,Paramètres!$A$1:$I$89,5,0)</f>
        <v>299.84239999999971</v>
      </c>
      <c r="FG92" s="13">
        <f t="shared" si="101"/>
        <v>71.143423451859917</v>
      </c>
      <c r="FH92" s="20">
        <f t="shared" si="76"/>
        <v>646.13364251198891</v>
      </c>
      <c r="FI92" s="59">
        <f t="shared" si="77"/>
        <v>939.46697584532217</v>
      </c>
      <c r="FJ92" s="59">
        <f ca="1">AVERAGE(OFFSET($FI$3,0,0,'Données projet'!$E$16+1,1))-AVERAGE(OFFSET($H$3,0,0,'Données projet'!$E$16+1,1))</f>
        <v>393.41577134252316</v>
      </c>
      <c r="FK92" s="59">
        <f t="shared" si="102"/>
        <v>255.54039659391475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76.021840763896549</v>
      </c>
      <c r="FR92" s="21">
        <f>EXP(-LN(2)/25)*FR91+(1-EXP(-LN(2)/25))/(LN(2)/25)*Calculateur!FM92*Calculateur!FO92*VLOOKUP('Données projet'!$B$16,Paramètres!$A$1:$I$89,3,0)*0.475*44/12</f>
        <v>5.204889258470522</v>
      </c>
      <c r="FS92" s="21">
        <f>EXP(-LN(2)/2)*FS91+(1-EXP(-LN(2)/2))/(LN(2)/2)*FM92*FP92*VLOOKUP('Données projet'!$B$16,Paramètres!$A$1:$I$89,3,0)*0.475*44/12</f>
        <v>4.7980991999443315E-10</v>
      </c>
      <c r="FT92" s="22">
        <f t="shared" si="78"/>
        <v>81.22673002284688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853.00000000000011</v>
      </c>
      <c r="GA92" s="17">
        <f>FZ92*VLOOKUP('Données projet'!$B$17,Paramètres!$A$1:$I$89,3,0)*VLOOKUP('Données projet'!$B$17,Paramètres!$A$1:$I$89,5,0)</f>
        <v>399.20400000000006</v>
      </c>
      <c r="GB92" s="13">
        <f t="shared" si="103"/>
        <v>91.615269732888521</v>
      </c>
      <c r="GC92" s="20">
        <f t="shared" si="79"/>
        <v>854.8435614514475</v>
      </c>
      <c r="GD92" s="59">
        <f t="shared" si="80"/>
        <v>1148.1768947847809</v>
      </c>
      <c r="GE92" s="59">
        <f ca="1">AVERAGE(OFFSET($GD$3,0,0,'Données projet'!$E$17+1,1))-AVERAGE(OFFSET($H$3,0,0,'Données projet'!$E$17+1,1))</f>
        <v>488.67934252295686</v>
      </c>
      <c r="GF92" s="59">
        <f t="shared" si="104"/>
        <v>424.50324471331095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115.96638249367712</v>
      </c>
      <c r="GM92" s="21">
        <f>EXP(-LN(2)/25)*GM91+(1-EXP(-LN(2)/25))/(LN(2)/25)*Calculateur!GH92*Calculateur!GJ92*VLOOKUP('Données projet'!$B$17,Paramètres!$A$1:$I$89,3,0)*0.475*44/12</f>
        <v>9.5422969738626247</v>
      </c>
      <c r="GN92" s="21">
        <f>EXP(-LN(2)/2)*GN91+(1-EXP(-LN(2)/2))/(LN(2)/2)*GH92*GK92*VLOOKUP('Données projet'!$B$17,Paramètres!$A$1:$I$89,3,0)*0.475*44/12</f>
        <v>1.0686675490785099E-9</v>
      </c>
      <c r="GO92" s="21">
        <f t="shared" si="81"/>
        <v>125.50867946860841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789</v>
      </c>
      <c r="GV92" s="17">
        <f>GU92*VLOOKUP('Données projet'!$B$18,Paramètres!$A$1:$I$89,3,0)*VLOOKUP('Données projet'!$B$18,Paramètres!$A$1:$I$89,5,0)</f>
        <v>379.50900000000001</v>
      </c>
      <c r="GW92" s="13">
        <f t="shared" si="105"/>
        <v>87.609801106074272</v>
      </c>
      <c r="GX92" s="20">
        <f t="shared" si="82"/>
        <v>813.56524525974601</v>
      </c>
      <c r="GY92" s="59">
        <f t="shared" si="83"/>
        <v>1106.8985785930793</v>
      </c>
      <c r="GZ92" s="59">
        <f ca="1">AVERAGE(OFFSET($GY$3,0,0,'Données projet'!$E$18+1,1))-AVERAGE(OFFSET($H$3,0,0,'Données projet'!$E$18+1,1))</f>
        <v>458.80976193248841</v>
      </c>
      <c r="HA92" s="59">
        <f t="shared" si="106"/>
        <v>396.07405370178759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117.42499075242765</v>
      </c>
      <c r="HH92" s="21">
        <f>EXP(-LN(2)/25)*HH91+(1-EXP(-LN(2)/25))/(LN(2)/25)*Calculateur!HC92*Calculateur!HE92*VLOOKUP('Données projet'!$B$18,Paramètres!$A$1:$I$89,3,0)*0.475*44/12</f>
        <v>8.9157825260837722</v>
      </c>
      <c r="HI92" s="21">
        <f>EXP(-LN(2)/2)*HI91+(1-EXP(-LN(2)/2))/(LN(2)/2)*HC92*HF92*VLOOKUP('Données projet'!$B$18,Paramètres!$A$1:$I$89,3,0)*0.475*44/12</f>
        <v>4.9313797332761223E-10</v>
      </c>
      <c r="HJ92" s="22">
        <f t="shared" si="84"/>
        <v>126.34077327900457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831.77514286899145</v>
      </c>
      <c r="S93" s="59">
        <f ca="1">AVERAGE(OFFSET($R$3,0,0,'Données projet'!$E$9+1,1))-AVERAGE(OFFSET($H$3,0,0,'Données projet'!$E$9+1,1))</f>
        <v>364.3481978218424</v>
      </c>
      <c r="T93" s="59">
        <f t="shared" si="88"/>
        <v>231.36959598460686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66.607575159245954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66.607575159245954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636.99999999999977</v>
      </c>
      <c r="AJ93" s="13">
        <f>AI93*VLOOKUP('Données projet'!$B$10,Paramètres!$A$1:$I$89,3,0)*VLOOKUP('Données projet'!$B$10,Paramètres!$A$1:$I$89,5,0)</f>
        <v>356.08299999999991</v>
      </c>
      <c r="AK93" s="13">
        <f t="shared" si="89"/>
        <v>82.813805255716545</v>
      </c>
      <c r="AL93" s="20">
        <f t="shared" si="58"/>
        <v>764.41193582037283</v>
      </c>
      <c r="AM93" s="59">
        <f t="shared" si="59"/>
        <v>1057.7452691537062</v>
      </c>
      <c r="AN93" s="59">
        <f ca="1">AVERAGE(OFFSET($AM$3,0,0,'Données projet'!$E$10+1,1))-AVERAGE(OFFSET($H$3,0,0,'Données projet'!$E$10+1,1))</f>
        <v>443.34220761968419</v>
      </c>
      <c r="AO93" s="59">
        <f t="shared" si="90"/>
        <v>546.58234447298014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53.951676724591231</v>
      </c>
      <c r="AV93" s="21">
        <f>EXP(-LN(2)/25)*AV92+(1-EXP(-LN(2)/25))/(LN(2)/25)*Calculateur!AQ93*Calculateur!AS93*VLOOKUP('Données projet'!$B$10,Paramètres!$A$1:$I$89,3,0)*0.475*44/12</f>
        <v>4.1563419053275767</v>
      </c>
      <c r="AW93" s="21">
        <f>EXP(-LN(2)/2)*AW92+(1-EXP(-LN(2)/2))/(LN(2)/2)*AQ93*AT93*VLOOKUP('Données projet'!$B$10,Paramètres!$A$1:$I$89,3,0)*0.475*44/12</f>
        <v>5.6268617890256264E-9</v>
      </c>
      <c r="AX93" s="21">
        <f t="shared" si="60"/>
        <v>58.108018635545669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377</v>
      </c>
      <c r="BB93" s="12">
        <f>VLOOKUP(A93,'Données projet'!$A$87:$I$107,9,0)</f>
        <v>7.8</v>
      </c>
      <c r="BC93" s="12">
        <f t="array" ref="BC93">INDEX(BB:BB,MIN(IF(ISNUMBER(BB93:BB289),ROW(BB93:BB289),"")))</f>
        <v>7.8</v>
      </c>
      <c r="BD93" s="12">
        <f>IF('Données projet'!$A$88&gt;35,BD92+BC93-BL92,IF(A93&lt;'Données projet'!$A$88,$BA$205^A93,IF(A93='Données projet'!$A$88,'Données projet'!$B$88,BD92+BC93-BL92)))</f>
        <v>376.99999999999983</v>
      </c>
      <c r="BE93" s="13">
        <f>BD93*VLOOKUP('Données projet'!$B$11,Paramètres!$A$1:$I$89,3,0)*VLOOKUP('Données projet'!$B$11,Paramètres!$A$1:$I$89,5,0)</f>
        <v>323.46599999999989</v>
      </c>
      <c r="BF93" s="13">
        <f t="shared" si="91"/>
        <v>76.074069581431147</v>
      </c>
      <c r="BG93" s="20">
        <f t="shared" si="61"/>
        <v>695.86562118765903</v>
      </c>
      <c r="BH93" s="59">
        <f t="shared" si="62"/>
        <v>989.1989545209924</v>
      </c>
      <c r="BI93" s="59">
        <f ca="1">AVERAGE(OFFSET($BH$3,0,0,'Données projet'!$E$11+1,1))-AVERAGE(OFFSET($H$3,0,0,'Données projet'!$E$11+1,1))</f>
        <v>447.15627913956871</v>
      </c>
      <c r="BJ93" s="59">
        <f t="shared" si="92"/>
        <v>256.77417912163997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26</v>
      </c>
      <c r="BM93" s="16">
        <f>IF(ISNA(VLOOKUP(A93,'Données projet'!$A$87:$I$107,5,0)),0%,VLOOKUP(A93,'Données projet'!$A$87:$I$107,5,0)*VLOOKUP('Données projet'!$B$11,Paramètres!$A$1:$I$89,7,0))</f>
        <v>0.53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102.34098899349287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102.34098899349287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267</v>
      </c>
      <c r="BW93" s="12">
        <f>VLOOKUP(A93,'Données projet'!$A$113:$I$133,9,0)</f>
        <v>5.2</v>
      </c>
      <c r="BX93" s="12">
        <f t="array" ref="BX93">INDEX(BW:BW,MIN(IF(ISNUMBER(BW93:BW289),ROW(BW93:BW289),"")))</f>
        <v>5.2</v>
      </c>
      <c r="BY93" s="12">
        <f>IF('Données projet'!$A$114&gt;35,BY92+BX93-CG92,IF(A93&lt;'Données projet'!$A$114,$BV$205^A93,IF(A93='Données projet'!$A$114,'Données projet'!$B$114,BY92+BX93-CG92)))</f>
        <v>266.99999999999989</v>
      </c>
      <c r="BZ93" s="13">
        <f>BY93*VLOOKUP('Données projet'!$B$12,Paramètres!$A$1:$I$89,3,0)*VLOOKUP('Données projet'!$B$12,Paramètres!$A$1:$I$89,5,0)</f>
        <v>254.07719999999989</v>
      </c>
      <c r="CA93" s="13">
        <f t="shared" si="93"/>
        <v>61.458188159552705</v>
      </c>
      <c r="CB93" s="20">
        <f t="shared" si="64"/>
        <v>549.55746771122074</v>
      </c>
      <c r="CC93" s="59">
        <f t="shared" si="65"/>
        <v>842.89080104455411</v>
      </c>
      <c r="CD93" s="59">
        <f ca="1">AVERAGE(OFFSET($CC$3,0,0,'Données projet'!$E$12+1,1))-AVERAGE(OFFSET($H$3,0,0,'Données projet'!$E$12+1,1))</f>
        <v>448.94764480536713</v>
      </c>
      <c r="CE93" s="59">
        <f t="shared" si="94"/>
        <v>469.26760321719695</v>
      </c>
      <c r="CF93" s="15">
        <f>IF(ISNA(VLOOKUP(A93,'Données projet'!$A$113:$I$133,3,0)),0,VLOOKUP(A93,'Données projet'!$A$113:$I$133,3,0))</f>
        <v>17</v>
      </c>
      <c r="CG93" s="15">
        <f>IF(ISNA(VLOOKUP(A93,'Données projet'!$A$113:$I$133,4,0)),0,VLOOKUP(A93,'Données projet'!$A$113:$I$133,4,0))</f>
        <v>24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91.533841320619558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91.533841320619558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187.80389738728508</v>
      </c>
      <c r="CZ93" s="59">
        <f t="shared" si="96"/>
        <v>439.28159165815265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37.640052274028093</v>
      </c>
      <c r="DG93" s="21">
        <f>EXP(-LN(2)/25)*DG92+(1-EXP(-LN(2)/25))/(LN(2)/25)*Calculateur!DB93*Calculateur!DD93*VLOOKUP('Données projet'!$B$13,Paramètres!$A$1:$I$89,3,0)*0.475*44/12</f>
        <v>2.7239907924402051</v>
      </c>
      <c r="DH93" s="21">
        <f>EXP(-LN(2)/2)*DH92+(1-EXP(-LN(2)/2))/(LN(2)/2)*DB93*DE93*VLOOKUP('Données projet'!$B$13,Paramètres!$A$1:$I$89,3,0)*0.475*44/12</f>
        <v>4.1874131190176022E-11</v>
      </c>
      <c r="DI93" s="22">
        <f t="shared" si="69"/>
        <v>40.36404306651017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255.00000000000006</v>
      </c>
      <c r="DP93" s="17">
        <f>DO93*VLOOKUP('Données projet'!$B$14,Paramètres!$A$1:$I$89,3,0)*VLOOKUP('Données projet'!$B$14,Paramètres!$A$1:$I$89,5,0)</f>
        <v>186.96600000000004</v>
      </c>
      <c r="DQ93" s="13">
        <f t="shared" si="97"/>
        <v>46.868551400324648</v>
      </c>
      <c r="DR93" s="20">
        <f t="shared" si="70"/>
        <v>407.26184368889881</v>
      </c>
      <c r="DS93" s="59">
        <f t="shared" si="71"/>
        <v>700.59517702223206</v>
      </c>
      <c r="DT93" s="59">
        <f ca="1">AVERAGE(OFFSET($DS$3,0,0,'Données projet'!$E$14+1,1))-AVERAGE(OFFSET($H$3,0,0,'Données projet'!$E$14+1,1))</f>
        <v>239.25212250019609</v>
      </c>
      <c r="DU93" s="59">
        <f t="shared" si="98"/>
        <v>213.58492101729695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689</v>
      </c>
      <c r="EK93" s="17">
        <f>EJ93*VLOOKUP('Données projet'!$B$15,Paramètres!$A$1:$I$89,3,0)*VLOOKUP('Données projet'!$B$15,Paramètres!$A$1:$I$89,5,0)</f>
        <v>412.02199999999999</v>
      </c>
      <c r="EL93" s="13">
        <f t="shared" si="99"/>
        <v>94.209724877926391</v>
      </c>
      <c r="EM93" s="20">
        <f t="shared" si="73"/>
        <v>881.686920829055</v>
      </c>
      <c r="EN93" s="59">
        <f t="shared" si="74"/>
        <v>1175.0202541623883</v>
      </c>
      <c r="EO93" s="59">
        <f ca="1">AVERAGE(OFFSET($EN$3,0,0,'Données projet'!$E$15+1,1))-AVERAGE(OFFSET($H$3,0,0,'Données projet'!$E$15+1,1))</f>
        <v>504.81063008331739</v>
      </c>
      <c r="EP93" s="59">
        <f t="shared" si="100"/>
        <v>441.82647565372287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80.287371518838782</v>
      </c>
      <c r="EW93" s="21">
        <f>EXP(-LN(2)/25)*EW92+(1-EXP(-LN(2)/25))/(LN(2)/25)*Calculateur!ER93*Calculateur!ET93*VLOOKUP('Données projet'!$B$15,Paramètres!$A$1:$I$89,3,0)*0.475*44/12</f>
        <v>11.155529170110267</v>
      </c>
      <c r="EX93" s="21">
        <f>EXP(-LN(2)/2)*EX92+(1-EXP(-LN(2)/2))/(LN(2)/2)*ER93*EU93*VLOOKUP('Données projet'!$B$15,Paramètres!$A$1:$I$89,3,0)*0.475*44/12</f>
        <v>4.8768558787312999E-11</v>
      </c>
      <c r="EY93" s="22">
        <f t="shared" si="75"/>
        <v>91.442900688997824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532</v>
      </c>
      <c r="FC93" s="12">
        <f>VLOOKUP(A93,'Données projet'!$A$217:$I$237,9,0)</f>
        <v>7.8</v>
      </c>
      <c r="FD93" s="12">
        <f t="array" ref="FD93">INDEX(FC:FC,MIN(IF(ISNUMBER(FC93:FC289),ROW(FC93:FC289),"")))</f>
        <v>7.8</v>
      </c>
      <c r="FE93" s="12">
        <f>IF('Données projet'!$A$218&gt;35,FE92+FD93-FM92,IF(A93&lt;'Données projet'!$A$218,$FB$205^A93,IF(A93='Données projet'!$A$218,'Données projet'!$B$218,FE92+FD93-FM92)))</f>
        <v>531.99999999999943</v>
      </c>
      <c r="FF93" s="17">
        <f>FE93*VLOOKUP('Données projet'!$B$16,Paramètres!$A$1:$I$89,3,0)*VLOOKUP('Données projet'!$B$16,Paramètres!$A$1:$I$89,5,0)</f>
        <v>304.30399999999969</v>
      </c>
      <c r="FG93" s="13">
        <f t="shared" si="101"/>
        <v>72.077997800868275</v>
      </c>
      <c r="FH93" s="20">
        <f t="shared" si="76"/>
        <v>655.53197950317838</v>
      </c>
      <c r="FI93" s="59">
        <f t="shared" si="77"/>
        <v>948.86531283651175</v>
      </c>
      <c r="FJ93" s="59">
        <f ca="1">AVERAGE(OFFSET($FI$3,0,0,'Données projet'!$E$16+1,1))-AVERAGE(OFFSET($H$3,0,0,'Données projet'!$E$16+1,1))</f>
        <v>393.41577134252316</v>
      </c>
      <c r="FK93" s="59">
        <f t="shared" si="102"/>
        <v>255.54039659391475</v>
      </c>
      <c r="FL93" s="15">
        <f>IF(ISNA(VLOOKUP(A93,'Données projet'!$A$217:$I$237,3,0)),0,VLOOKUP(A93,'Données projet'!$A$217:$I$237,3,0))</f>
        <v>15</v>
      </c>
      <c r="FM93" s="15">
        <f>IF(ISNA(VLOOKUP(A93,'Données projet'!$A$217:$I$237,4,0)),0,VLOOKUP(A93,'Données projet'!$A$217:$I$237,4,0))</f>
        <v>20</v>
      </c>
      <c r="FN93" s="16">
        <f>IF(ISNA(VLOOKUP(A93,'Données projet'!$A$217:$I$237,5,0)),0%,VLOOKUP(A93,'Données projet'!$A$217:$I$237,5,0)*VLOOKUP('Données projet'!$B$16,Paramètres!$A$1:$I$89,7,0))</f>
        <v>0.45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81.360252651863618</v>
      </c>
      <c r="FR93" s="21">
        <f>EXP(-LN(2)/25)*FR92+(1-EXP(-LN(2)/25))/(LN(2)/25)*Calculateur!FM93*Calculateur!FO93*VLOOKUP('Données projet'!$B$16,Paramètres!$A$1:$I$89,3,0)*0.475*44/12</f>
        <v>5.0625612879844155</v>
      </c>
      <c r="FS93" s="21">
        <f>EXP(-LN(2)/2)*FS92+(1-EXP(-LN(2)/2))/(LN(2)/2)*FM93*FP93*VLOOKUP('Données projet'!$B$16,Paramètres!$A$1:$I$89,3,0)*0.475*44/12</f>
        <v>3.3927684810863852E-10</v>
      </c>
      <c r="FT93" s="22">
        <f t="shared" si="78"/>
        <v>86.422813940187297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853.00000000000011</v>
      </c>
      <c r="GA93" s="17">
        <f>FZ93*VLOOKUP('Données projet'!$B$17,Paramètres!$A$1:$I$89,3,0)*VLOOKUP('Données projet'!$B$17,Paramètres!$A$1:$I$89,5,0)</f>
        <v>399.20400000000006</v>
      </c>
      <c r="GB93" s="13">
        <f t="shared" si="103"/>
        <v>91.615269732888521</v>
      </c>
      <c r="GC93" s="20">
        <f t="shared" si="79"/>
        <v>854.8435614514475</v>
      </c>
      <c r="GD93" s="59">
        <f t="shared" si="80"/>
        <v>1148.1768947847809</v>
      </c>
      <c r="GE93" s="59">
        <f ca="1">AVERAGE(OFFSET($GD$3,0,0,'Données projet'!$E$17+1,1))-AVERAGE(OFFSET($H$3,0,0,'Données projet'!$E$17+1,1))</f>
        <v>488.67934252295686</v>
      </c>
      <c r="GF93" s="59">
        <f t="shared" si="104"/>
        <v>424.50324471331095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113.69235246548517</v>
      </c>
      <c r="GM93" s="21">
        <f>EXP(-LN(2)/25)*GM92+(1-EXP(-LN(2)/25))/(LN(2)/25)*Calculateur!GH93*Calculateur!GJ93*VLOOKUP('Données projet'!$B$17,Paramètres!$A$1:$I$89,3,0)*0.475*44/12</f>
        <v>9.2813623613047618</v>
      </c>
      <c r="GN93" s="21">
        <f>EXP(-LN(2)/2)*GN92+(1-EXP(-LN(2)/2))/(LN(2)/2)*GH93*GK93*VLOOKUP('Données projet'!$B$17,Paramètres!$A$1:$I$89,3,0)*0.475*44/12</f>
        <v>7.5566207078742194E-10</v>
      </c>
      <c r="GO93" s="21">
        <f t="shared" si="81"/>
        <v>122.97371482754559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789</v>
      </c>
      <c r="GV93" s="17">
        <f>GU93*VLOOKUP('Données projet'!$B$18,Paramètres!$A$1:$I$89,3,0)*VLOOKUP('Données projet'!$B$18,Paramètres!$A$1:$I$89,5,0)</f>
        <v>379.50900000000001</v>
      </c>
      <c r="GW93" s="13">
        <f t="shared" si="105"/>
        <v>87.609801106074272</v>
      </c>
      <c r="GX93" s="20">
        <f t="shared" si="82"/>
        <v>813.56524525974601</v>
      </c>
      <c r="GY93" s="59">
        <f t="shared" si="83"/>
        <v>1106.8985785930793</v>
      </c>
      <c r="GZ93" s="59">
        <f ca="1">AVERAGE(OFFSET($GY$3,0,0,'Données projet'!$E$18+1,1))-AVERAGE(OFFSET($H$3,0,0,'Données projet'!$E$18+1,1))</f>
        <v>458.80976193248841</v>
      </c>
      <c r="HA93" s="59">
        <f t="shared" si="106"/>
        <v>396.07405370178759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115.1223583059448</v>
      </c>
      <c r="HH93" s="21">
        <f>EXP(-LN(2)/25)*HH92+(1-EXP(-LN(2)/25))/(LN(2)/25)*Calculateur!HC93*Calculateur!HE93*VLOOKUP('Données projet'!$B$18,Paramètres!$A$1:$I$89,3,0)*0.475*44/12</f>
        <v>8.6719799840473861</v>
      </c>
      <c r="HI93" s="21">
        <f>EXP(-LN(2)/2)*HI92+(1-EXP(-LN(2)/2))/(LN(2)/2)*HC93*HF93*VLOOKUP('Données projet'!$B$18,Paramètres!$A$1:$I$89,3,0)*0.475*44/12</f>
        <v>3.4870120500054541E-10</v>
      </c>
      <c r="HJ93" s="22">
        <f t="shared" si="84"/>
        <v>123.79433829034089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258.99999999999983</v>
      </c>
      <c r="O94" s="13">
        <f>N94*VLOOKUP('Données projet'!$B$9,Paramètres!$A$1:$I$89,3,0)*VLOOKUP('Données projet'!$B$9,Paramètres!$A$1:$I$89,5,0)</f>
        <v>234.34319999999983</v>
      </c>
      <c r="P94" s="13">
        <f t="shared" si="87"/>
        <v>57.220758006491614</v>
      </c>
      <c r="Q94" s="20">
        <f t="shared" si="54"/>
        <v>507.80722686130588</v>
      </c>
      <c r="R94" s="59">
        <f t="shared" si="55"/>
        <v>801.14056019463919</v>
      </c>
      <c r="S94" s="59">
        <f ca="1">AVERAGE(OFFSET($R$3,0,0,'Données projet'!$E$9+1,1))-AVERAGE(OFFSET($H$3,0,0,'Données projet'!$E$9+1,1))</f>
        <v>364.3481978218424</v>
      </c>
      <c r="T94" s="59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65.301441236982441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65.301441236982441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636.99999999999977</v>
      </c>
      <c r="AJ94" s="13">
        <f>AI94*VLOOKUP('Données projet'!$B$10,Paramètres!$A$1:$I$89,3,0)*VLOOKUP('Données projet'!$B$10,Paramètres!$A$1:$I$89,5,0)</f>
        <v>356.08299999999991</v>
      </c>
      <c r="AK94" s="13">
        <f t="shared" si="89"/>
        <v>82.813805255716545</v>
      </c>
      <c r="AL94" s="20">
        <f t="shared" si="58"/>
        <v>764.41193582037283</v>
      </c>
      <c r="AM94" s="59">
        <f t="shared" si="59"/>
        <v>1057.7452691537062</v>
      </c>
      <c r="AN94" s="59">
        <f ca="1">AVERAGE(OFFSET($AM$3,0,0,'Données projet'!$E$10+1,1))-AVERAGE(OFFSET($H$3,0,0,'Données projet'!$E$10+1,1))</f>
        <v>443.34220761968419</v>
      </c>
      <c r="AO94" s="59">
        <f t="shared" si="90"/>
        <v>546.58234447298014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52.893717251295477</v>
      </c>
      <c r="AV94" s="21">
        <f>EXP(-LN(2)/25)*AV93+(1-EXP(-LN(2)/25))/(LN(2)/25)*Calculateur!AQ94*Calculateur!AS94*VLOOKUP('Données projet'!$B$10,Paramètres!$A$1:$I$89,3,0)*0.475*44/12</f>
        <v>4.0426865173538724</v>
      </c>
      <c r="AW94" s="21">
        <f>EXP(-LN(2)/2)*AW93+(1-EXP(-LN(2)/2))/(LN(2)/2)*AQ94*AT94*VLOOKUP('Données projet'!$B$10,Paramètres!$A$1:$I$89,3,0)*0.475*44/12</f>
        <v>3.9787921278194889E-9</v>
      </c>
      <c r="AX94" s="21">
        <f t="shared" si="60"/>
        <v>56.93640377262814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7.6</v>
      </c>
      <c r="BD94" s="12">
        <f>IF('Données projet'!$A$88&gt;35,BD93+BC94-BL93,IF(A94&lt;'Données projet'!$A$88,$BA$205^A94,IF(A94='Données projet'!$A$88,'Données projet'!$B$88,BD93+BC94-BL93)))</f>
        <v>358.59999999999985</v>
      </c>
      <c r="BE94" s="13">
        <f>BD94*VLOOKUP('Données projet'!$B$11,Paramètres!$A$1:$I$89,3,0)*VLOOKUP('Données projet'!$B$11,Paramètres!$A$1:$I$89,5,0)</f>
        <v>307.67879999999991</v>
      </c>
      <c r="BF94" s="13">
        <f t="shared" si="91"/>
        <v>72.783859383050768</v>
      </c>
      <c r="BG94" s="20">
        <f t="shared" si="61"/>
        <v>662.63913175881328</v>
      </c>
      <c r="BH94" s="59">
        <f t="shared" si="62"/>
        <v>955.97246509214665</v>
      </c>
      <c r="BI94" s="59">
        <f ca="1">AVERAGE(OFFSET($BH$3,0,0,'Données projet'!$E$11+1,1))-AVERAGE(OFFSET($H$3,0,0,'Données projet'!$E$11+1,1))</f>
        <v>447.15627913956871</v>
      </c>
      <c r="BJ94" s="59">
        <f t="shared" si="92"/>
        <v>256.77417912163997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100.33414462117011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100.33414462117011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4.8</v>
      </c>
      <c r="BY94" s="12">
        <f>IF('Données projet'!$A$114&gt;35,BY93+BX94-CG93,IF(A94&lt;'Données projet'!$A$114,$BV$205^A94,IF(A94='Données projet'!$A$114,'Données projet'!$B$114,BY93+BX94-CG93)))</f>
        <v>247.7999999999999</v>
      </c>
      <c r="BZ94" s="13">
        <f>BY94*VLOOKUP('Données projet'!$B$12,Paramètres!$A$1:$I$89,3,0)*VLOOKUP('Données projet'!$B$12,Paramètres!$A$1:$I$89,5,0)</f>
        <v>235.80647999999991</v>
      </c>
      <c r="CA94" s="13">
        <f t="shared" si="93"/>
        <v>57.5363506739358</v>
      </c>
      <c r="CB94" s="20">
        <f t="shared" si="64"/>
        <v>510.90543009043807</v>
      </c>
      <c r="CC94" s="59">
        <f t="shared" si="65"/>
        <v>804.23876342377139</v>
      </c>
      <c r="CD94" s="59">
        <f ca="1">AVERAGE(OFFSET($CC$3,0,0,'Données projet'!$E$12+1,1))-AVERAGE(OFFSET($H$3,0,0,'Données projet'!$E$12+1,1))</f>
        <v>448.94764480536713</v>
      </c>
      <c r="CE94" s="59">
        <f t="shared" si="94"/>
        <v>469.26760321719695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89.73891852245265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89.73891852245265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187.80389738728508</v>
      </c>
      <c r="CZ94" s="59">
        <f t="shared" si="96"/>
        <v>439.28159165815265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36.90195380709936</v>
      </c>
      <c r="DG94" s="21">
        <f>EXP(-LN(2)/25)*DG93+(1-EXP(-LN(2)/25))/(LN(2)/25)*Calculateur!DB94*Calculateur!DD94*VLOOKUP('Données projet'!$B$13,Paramètres!$A$1:$I$89,3,0)*0.475*44/12</f>
        <v>2.6495031209724775</v>
      </c>
      <c r="DH94" s="21">
        <f>EXP(-LN(2)/2)*DH93+(1-EXP(-LN(2)/2))/(LN(2)/2)*DB94*DE94*VLOOKUP('Données projet'!$B$13,Paramètres!$A$1:$I$89,3,0)*0.475*44/12</f>
        <v>2.9609482120868581E-11</v>
      </c>
      <c r="DI94" s="22">
        <f t="shared" si="69"/>
        <v>39.551456928101445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255.00000000000006</v>
      </c>
      <c r="DP94" s="17">
        <f>DO94*VLOOKUP('Données projet'!$B$14,Paramètres!$A$1:$I$89,3,0)*VLOOKUP('Données projet'!$B$14,Paramètres!$A$1:$I$89,5,0)</f>
        <v>186.96600000000004</v>
      </c>
      <c r="DQ94" s="13">
        <f t="shared" si="97"/>
        <v>46.868551400324648</v>
      </c>
      <c r="DR94" s="20">
        <f t="shared" si="70"/>
        <v>407.26184368889881</v>
      </c>
      <c r="DS94" s="59">
        <f t="shared" si="71"/>
        <v>700.59517702223206</v>
      </c>
      <c r="DT94" s="59">
        <f ca="1">AVERAGE(OFFSET($DS$3,0,0,'Données projet'!$E$14+1,1))-AVERAGE(OFFSET($H$3,0,0,'Données projet'!$E$14+1,1))</f>
        <v>239.25212250019609</v>
      </c>
      <c r="DU94" s="59">
        <f t="shared" si="98"/>
        <v>213.58492101729695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689</v>
      </c>
      <c r="EK94" s="17">
        <f>EJ94*VLOOKUP('Données projet'!$B$15,Paramètres!$A$1:$I$89,3,0)*VLOOKUP('Données projet'!$B$15,Paramètres!$A$1:$I$89,5,0)</f>
        <v>412.02199999999999</v>
      </c>
      <c r="EL94" s="13">
        <f t="shared" si="99"/>
        <v>94.209724877926391</v>
      </c>
      <c r="EM94" s="20">
        <f t="shared" si="73"/>
        <v>881.686920829055</v>
      </c>
      <c r="EN94" s="59">
        <f t="shared" si="74"/>
        <v>1175.0202541623883</v>
      </c>
      <c r="EO94" s="59">
        <f ca="1">AVERAGE(OFFSET($EN$3,0,0,'Données projet'!$E$15+1,1))-AVERAGE(OFFSET($H$3,0,0,'Données projet'!$E$15+1,1))</f>
        <v>504.81063008331739</v>
      </c>
      <c r="EP94" s="59">
        <f t="shared" si="100"/>
        <v>441.82647565372287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78.71298513381555</v>
      </c>
      <c r="EW94" s="21">
        <f>EXP(-LN(2)/25)*EW93+(1-EXP(-LN(2)/25))/(LN(2)/25)*Calculateur!ER94*Calculateur!ET94*VLOOKUP('Données projet'!$B$15,Paramètres!$A$1:$I$89,3,0)*0.475*44/12</f>
        <v>10.850480638309818</v>
      </c>
      <c r="EX94" s="21">
        <f>EXP(-LN(2)/2)*EX93+(1-EXP(-LN(2)/2))/(LN(2)/2)*ER94*EU94*VLOOKUP('Données projet'!$B$15,Paramètres!$A$1:$I$89,3,0)*0.475*44/12</f>
        <v>3.4484578627203812E-11</v>
      </c>
      <c r="EY94" s="22">
        <f t="shared" si="75"/>
        <v>89.563465772159859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6.2</v>
      </c>
      <c r="FE94" s="12">
        <f>IF('Données projet'!$A$218&gt;35,FE93+FD94-FM93,IF(A94&lt;'Données projet'!$A$218,$FB$205^A94,IF(A94='Données projet'!$A$218,'Données projet'!$B$218,FE93+FD94-FM93)))</f>
        <v>518.19999999999948</v>
      </c>
      <c r="FF94" s="17">
        <f>FE94*VLOOKUP('Données projet'!$B$16,Paramètres!$A$1:$I$89,3,0)*VLOOKUP('Données projet'!$B$16,Paramètres!$A$1:$I$89,5,0)</f>
        <v>296.41039999999975</v>
      </c>
      <c r="FG94" s="13">
        <f t="shared" si="101"/>
        <v>70.42341904903634</v>
      </c>
      <c r="FH94" s="20">
        <f t="shared" si="76"/>
        <v>638.9022348437378</v>
      </c>
      <c r="FI94" s="59">
        <f t="shared" si="77"/>
        <v>932.23556817707117</v>
      </c>
      <c r="FJ94" s="59">
        <f ca="1">AVERAGE(OFFSET($FI$3,0,0,'Données projet'!$E$16+1,1))-AVERAGE(OFFSET($H$3,0,0,'Données projet'!$E$16+1,1))</f>
        <v>393.41577134252316</v>
      </c>
      <c r="FK94" s="59">
        <f t="shared" si="102"/>
        <v>255.54039659391475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79.764827722214648</v>
      </c>
      <c r="FR94" s="21">
        <f>EXP(-LN(2)/25)*FR93+(1-EXP(-LN(2)/25))/(LN(2)/25)*Calculateur!FM94*Calculateur!FO94*VLOOKUP('Données projet'!$B$16,Paramètres!$A$1:$I$89,3,0)*0.475*44/12</f>
        <v>4.9241252833359539</v>
      </c>
      <c r="FS94" s="21">
        <f>EXP(-LN(2)/2)*FS93+(1-EXP(-LN(2)/2))/(LN(2)/2)*FM94*FP94*VLOOKUP('Données projet'!$B$16,Paramètres!$A$1:$I$89,3,0)*0.475*44/12</f>
        <v>2.3990495999721658E-10</v>
      </c>
      <c r="FT94" s="22">
        <f t="shared" si="78"/>
        <v>84.688953005790509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853.00000000000011</v>
      </c>
      <c r="GA94" s="17">
        <f>FZ94*VLOOKUP('Données projet'!$B$17,Paramètres!$A$1:$I$89,3,0)*VLOOKUP('Données projet'!$B$17,Paramètres!$A$1:$I$89,5,0)</f>
        <v>399.20400000000006</v>
      </c>
      <c r="GB94" s="13">
        <f t="shared" si="103"/>
        <v>91.615269732888521</v>
      </c>
      <c r="GC94" s="20">
        <f t="shared" si="79"/>
        <v>854.8435614514475</v>
      </c>
      <c r="GD94" s="59">
        <f t="shared" si="80"/>
        <v>1148.1768947847809</v>
      </c>
      <c r="GE94" s="59">
        <f ca="1">AVERAGE(OFFSET($GD$3,0,0,'Données projet'!$E$17+1,1))-AVERAGE(OFFSET($H$3,0,0,'Données projet'!$E$17+1,1))</f>
        <v>488.67934252295686</v>
      </c>
      <c r="GF94" s="59">
        <f t="shared" si="104"/>
        <v>424.50324471331095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111.46291477912472</v>
      </c>
      <c r="GM94" s="21">
        <f>EXP(-LN(2)/25)*GM93+(1-EXP(-LN(2)/25))/(LN(2)/25)*Calculateur!GH94*Calculateur!GJ94*VLOOKUP('Données projet'!$B$17,Paramètres!$A$1:$I$89,3,0)*0.475*44/12</f>
        <v>9.02756301944925</v>
      </c>
      <c r="GN94" s="21">
        <f>EXP(-LN(2)/2)*GN93+(1-EXP(-LN(2)/2))/(LN(2)/2)*GH94*GK94*VLOOKUP('Données projet'!$B$17,Paramètres!$A$1:$I$89,3,0)*0.475*44/12</f>
        <v>5.3433377453925494E-10</v>
      </c>
      <c r="GO94" s="21">
        <f t="shared" si="81"/>
        <v>120.49047779910829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789</v>
      </c>
      <c r="GV94" s="17">
        <f>GU94*VLOOKUP('Données projet'!$B$18,Paramètres!$A$1:$I$89,3,0)*VLOOKUP('Données projet'!$B$18,Paramètres!$A$1:$I$89,5,0)</f>
        <v>379.50900000000001</v>
      </c>
      <c r="GW94" s="13">
        <f t="shared" si="105"/>
        <v>87.609801106074272</v>
      </c>
      <c r="GX94" s="20">
        <f t="shared" si="82"/>
        <v>813.56524525974601</v>
      </c>
      <c r="GY94" s="59">
        <f t="shared" si="83"/>
        <v>1106.8985785930793</v>
      </c>
      <c r="GZ94" s="59">
        <f ca="1">AVERAGE(OFFSET($GY$3,0,0,'Données projet'!$E$18+1,1))-AVERAGE(OFFSET($H$3,0,0,'Données projet'!$E$18+1,1))</f>
        <v>458.80976193248841</v>
      </c>
      <c r="HA94" s="59">
        <f t="shared" si="106"/>
        <v>396.07405370178759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112.86487907727037</v>
      </c>
      <c r="HH94" s="21">
        <f>EXP(-LN(2)/25)*HH93+(1-EXP(-LN(2)/25))/(LN(2)/25)*Calculateur!HC94*Calculateur!HE94*VLOOKUP('Données projet'!$B$18,Paramètres!$A$1:$I$89,3,0)*0.475*44/12</f>
        <v>8.4348442353440038</v>
      </c>
      <c r="HI94" s="21">
        <f>EXP(-LN(2)/2)*HI93+(1-EXP(-LN(2)/2))/(LN(2)/2)*HC94*HF94*VLOOKUP('Données projet'!$B$18,Paramètres!$A$1:$I$89,3,0)*0.475*44/12</f>
        <v>2.4656898666380611E-10</v>
      </c>
      <c r="HJ94" s="22">
        <f t="shared" si="84"/>
        <v>121.29972331286095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263.99999999999983</v>
      </c>
      <c r="O95" s="13">
        <f>N95*VLOOKUP('Données projet'!$B$9,Paramètres!$A$1:$I$89,3,0)*VLOOKUP('Données projet'!$B$9,Paramètres!$A$1:$I$89,5,0)</f>
        <v>238.86719999999983</v>
      </c>
      <c r="P95" s="13">
        <f t="shared" si="87"/>
        <v>58.195735973104156</v>
      </c>
      <c r="Q95" s="20">
        <f t="shared" si="54"/>
        <v>517.38461348648946</v>
      </c>
      <c r="R95" s="59">
        <f t="shared" si="55"/>
        <v>810.71794681982283</v>
      </c>
      <c r="S95" s="59">
        <f ca="1">AVERAGE(OFFSET($R$3,0,0,'Données projet'!$E$9+1,1))-AVERAGE(OFFSET($H$3,0,0,'Données projet'!$E$9+1,1))</f>
        <v>364.3481978218424</v>
      </c>
      <c r="T95" s="59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64.020919804271486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64.020919804271486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636.99999999999977</v>
      </c>
      <c r="AJ95" s="13">
        <f>AI95*VLOOKUP('Données projet'!$B$10,Paramètres!$A$1:$I$89,3,0)*VLOOKUP('Données projet'!$B$10,Paramètres!$A$1:$I$89,5,0)</f>
        <v>356.08299999999991</v>
      </c>
      <c r="AK95" s="13">
        <f t="shared" si="89"/>
        <v>82.813805255716545</v>
      </c>
      <c r="AL95" s="20">
        <f t="shared" si="58"/>
        <v>764.41193582037283</v>
      </c>
      <c r="AM95" s="59">
        <f t="shared" si="59"/>
        <v>1057.7452691537062</v>
      </c>
      <c r="AN95" s="59">
        <f ca="1">AVERAGE(OFFSET($AM$3,0,0,'Données projet'!$E$10+1,1))-AVERAGE(OFFSET($H$3,0,0,'Données projet'!$E$10+1,1))</f>
        <v>443.34220761968419</v>
      </c>
      <c r="AO95" s="59">
        <f t="shared" si="90"/>
        <v>546.58234447298014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51.856503717979493</v>
      </c>
      <c r="AV95" s="21">
        <f>EXP(-LN(2)/25)*AV94+(1-EXP(-LN(2)/25))/(LN(2)/25)*Calculateur!AQ95*Calculateur!AS95*VLOOKUP('Données projet'!$B$10,Paramètres!$A$1:$I$89,3,0)*0.475*44/12</f>
        <v>3.9321390419411864</v>
      </c>
      <c r="AW95" s="21">
        <f>EXP(-LN(2)/2)*AW94+(1-EXP(-LN(2)/2))/(LN(2)/2)*AQ95*AT95*VLOOKUP('Données projet'!$B$10,Paramètres!$A$1:$I$89,3,0)*0.475*44/12</f>
        <v>2.8134308945128132E-9</v>
      </c>
      <c r="AX95" s="21">
        <f t="shared" si="60"/>
        <v>55.788642762734106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</v>
      </c>
      <c r="BD95" s="12">
        <f>IF('Données projet'!$A$88&gt;35,BD94+BC95-BL94,IF(A95&lt;'Données projet'!$A$88,$BA$205^A95,IF(A95='Données projet'!$A$88,'Données projet'!$B$88,BD94+BC95-BL94)))</f>
        <v>366.19999999999987</v>
      </c>
      <c r="BE95" s="13">
        <f>BD95*VLOOKUP('Données projet'!$B$11,Paramètres!$A$1:$I$89,3,0)*VLOOKUP('Données projet'!$B$11,Paramètres!$A$1:$I$89,5,0)</f>
        <v>314.19959999999992</v>
      </c>
      <c r="BF95" s="13">
        <f t="shared" si="91"/>
        <v>74.145185764564587</v>
      </c>
      <c r="BG95" s="20">
        <f t="shared" si="61"/>
        <v>676.36716853994983</v>
      </c>
      <c r="BH95" s="59">
        <f t="shared" si="62"/>
        <v>969.7005018732832</v>
      </c>
      <c r="BI95" s="59">
        <f ca="1">AVERAGE(OFFSET($BH$3,0,0,'Données projet'!$E$11+1,1))-AVERAGE(OFFSET($H$3,0,0,'Données projet'!$E$11+1,1))</f>
        <v>447.15627913956871</v>
      </c>
      <c r="BJ95" s="59">
        <f t="shared" si="92"/>
        <v>256.77417912163997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98.366653242934404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98.366653242934404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4.8</v>
      </c>
      <c r="BY95" s="12">
        <f>IF('Données projet'!$A$114&gt;35,BY94+BX95-CG94,IF(A95&lt;'Données projet'!$A$114,$BV$205^A95,IF(A95='Données projet'!$A$114,'Données projet'!$B$114,BY94+BX95-CG94)))</f>
        <v>252.59999999999991</v>
      </c>
      <c r="BZ95" s="13">
        <f>BY95*VLOOKUP('Données projet'!$B$12,Paramètres!$A$1:$I$89,3,0)*VLOOKUP('Données projet'!$B$12,Paramètres!$A$1:$I$89,5,0)</f>
        <v>240.3741599999999</v>
      </c>
      <c r="CA95" s="13">
        <f t="shared" si="93"/>
        <v>58.520025528844819</v>
      </c>
      <c r="CB95" s="20">
        <f t="shared" si="64"/>
        <v>520.57403979607113</v>
      </c>
      <c r="CC95" s="59">
        <f t="shared" si="65"/>
        <v>813.9073731294045</v>
      </c>
      <c r="CD95" s="59">
        <f ca="1">AVERAGE(OFFSET($CC$3,0,0,'Données projet'!$E$12+1,1))-AVERAGE(OFFSET($H$3,0,0,'Données projet'!$E$12+1,1))</f>
        <v>448.94764480536713</v>
      </c>
      <c r="CE95" s="59">
        <f t="shared" si="94"/>
        <v>469.26760321719695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87.979193065562981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87.979193065562981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187.80389738728508</v>
      </c>
      <c r="CZ95" s="59">
        <f t="shared" si="96"/>
        <v>439.28159165815265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36.178329000911489</v>
      </c>
      <c r="DG95" s="21">
        <f>EXP(-LN(2)/25)*DG94+(1-EXP(-LN(2)/25))/(LN(2)/25)*Calculateur!DB95*Calculateur!DD95*VLOOKUP('Données projet'!$B$13,Paramètres!$A$1:$I$89,3,0)*0.475*44/12</f>
        <v>2.5770523187981715</v>
      </c>
      <c r="DH95" s="21">
        <f>EXP(-LN(2)/2)*DH94+(1-EXP(-LN(2)/2))/(LN(2)/2)*DB95*DE95*VLOOKUP('Données projet'!$B$13,Paramètres!$A$1:$I$89,3,0)*0.475*44/12</f>
        <v>2.0937065595088011E-11</v>
      </c>
      <c r="DI95" s="22">
        <f t="shared" si="69"/>
        <v>38.755381319730603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255.00000000000006</v>
      </c>
      <c r="DP95" s="17">
        <f>DO95*VLOOKUP('Données projet'!$B$14,Paramètres!$A$1:$I$89,3,0)*VLOOKUP('Données projet'!$B$14,Paramètres!$A$1:$I$89,5,0)</f>
        <v>186.96600000000004</v>
      </c>
      <c r="DQ95" s="13">
        <f t="shared" si="97"/>
        <v>46.868551400324648</v>
      </c>
      <c r="DR95" s="20">
        <f t="shared" si="70"/>
        <v>407.26184368889881</v>
      </c>
      <c r="DS95" s="59">
        <f t="shared" si="71"/>
        <v>700.59517702223206</v>
      </c>
      <c r="DT95" s="59">
        <f ca="1">AVERAGE(OFFSET($DS$3,0,0,'Données projet'!$E$14+1,1))-AVERAGE(OFFSET($H$3,0,0,'Données projet'!$E$14+1,1))</f>
        <v>239.25212250019609</v>
      </c>
      <c r="DU95" s="59">
        <f t="shared" si="98"/>
        <v>213.58492101729695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689</v>
      </c>
      <c r="EK95" s="17">
        <f>EJ95*VLOOKUP('Données projet'!$B$15,Paramètres!$A$1:$I$89,3,0)*VLOOKUP('Données projet'!$B$15,Paramètres!$A$1:$I$89,5,0)</f>
        <v>412.02199999999999</v>
      </c>
      <c r="EL95" s="13">
        <f t="shared" si="99"/>
        <v>94.209724877926391</v>
      </c>
      <c r="EM95" s="20">
        <f t="shared" si="73"/>
        <v>881.686920829055</v>
      </c>
      <c r="EN95" s="59">
        <f t="shared" si="74"/>
        <v>1175.0202541623883</v>
      </c>
      <c r="EO95" s="59">
        <f ca="1">AVERAGE(OFFSET($EN$3,0,0,'Données projet'!$E$15+1,1))-AVERAGE(OFFSET($H$3,0,0,'Données projet'!$E$15+1,1))</f>
        <v>504.81063008331739</v>
      </c>
      <c r="EP95" s="59">
        <f t="shared" si="100"/>
        <v>441.82647565372287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77.169471505521742</v>
      </c>
      <c r="EW95" s="21">
        <f>EXP(-LN(2)/25)*EW94+(1-EXP(-LN(2)/25))/(LN(2)/25)*Calculateur!ER95*Calculateur!ET95*VLOOKUP('Données projet'!$B$15,Paramètres!$A$1:$I$89,3,0)*0.475*44/12</f>
        <v>10.553773674653259</v>
      </c>
      <c r="EX95" s="21">
        <f>EXP(-LN(2)/2)*EX94+(1-EXP(-LN(2)/2))/(LN(2)/2)*ER95*EU95*VLOOKUP('Données projet'!$B$15,Paramètres!$A$1:$I$89,3,0)*0.475*44/12</f>
        <v>2.43842793936565E-11</v>
      </c>
      <c r="EY95" s="22">
        <f t="shared" si="75"/>
        <v>87.723245180199385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6.2</v>
      </c>
      <c r="FE95" s="12">
        <f>IF('Données projet'!$A$218&gt;35,FE94+FD95-FM94,IF(A95&lt;'Données projet'!$A$218,$FB$205^A95,IF(A95='Données projet'!$A$218,'Données projet'!$B$218,FE94+FD95-FM94)))</f>
        <v>524.39999999999952</v>
      </c>
      <c r="FF95" s="17">
        <f>FE95*VLOOKUP('Données projet'!$B$16,Paramètres!$A$1:$I$89,3,0)*VLOOKUP('Données projet'!$B$16,Paramètres!$A$1:$I$89,5,0)</f>
        <v>299.95679999999976</v>
      </c>
      <c r="FG95" s="13">
        <f t="shared" si="101"/>
        <v>71.167407020454192</v>
      </c>
      <c r="FH95" s="20">
        <f t="shared" si="76"/>
        <v>646.37466056062397</v>
      </c>
      <c r="FI95" s="59">
        <f t="shared" si="77"/>
        <v>939.70799389395734</v>
      </c>
      <c r="FJ95" s="59">
        <f ca="1">AVERAGE(OFFSET($FI$3,0,0,'Données projet'!$E$16+1,1))-AVERAGE(OFFSET($H$3,0,0,'Données projet'!$E$16+1,1))</f>
        <v>393.41577134252316</v>
      </c>
      <c r="FK95" s="59">
        <f t="shared" si="102"/>
        <v>255.54039659391475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78.200688102322971</v>
      </c>
      <c r="FR95" s="21">
        <f>EXP(-LN(2)/25)*FR94+(1-EXP(-LN(2)/25))/(LN(2)/25)*Calculateur!FM95*Calculateur!FO95*VLOOKUP('Données projet'!$B$16,Paramètres!$A$1:$I$89,3,0)*0.475*44/12</f>
        <v>4.7894748185146376</v>
      </c>
      <c r="FS95" s="21">
        <f>EXP(-LN(2)/2)*FS94+(1-EXP(-LN(2)/2))/(LN(2)/2)*FM95*FP95*VLOOKUP('Données projet'!$B$16,Paramètres!$A$1:$I$89,3,0)*0.475*44/12</f>
        <v>1.6963842405431926E-10</v>
      </c>
      <c r="FT95" s="22">
        <f t="shared" si="78"/>
        <v>82.99016292100724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853.00000000000011</v>
      </c>
      <c r="GA95" s="17">
        <f>FZ95*VLOOKUP('Données projet'!$B$17,Paramètres!$A$1:$I$89,3,0)*VLOOKUP('Données projet'!$B$17,Paramètres!$A$1:$I$89,5,0)</f>
        <v>399.20400000000006</v>
      </c>
      <c r="GB95" s="13">
        <f t="shared" si="103"/>
        <v>91.615269732888521</v>
      </c>
      <c r="GC95" s="20">
        <f t="shared" si="79"/>
        <v>854.8435614514475</v>
      </c>
      <c r="GD95" s="59">
        <f t="shared" si="80"/>
        <v>1148.1768947847809</v>
      </c>
      <c r="GE95" s="59">
        <f ca="1">AVERAGE(OFFSET($GD$3,0,0,'Données projet'!$E$17+1,1))-AVERAGE(OFFSET($H$3,0,0,'Données projet'!$E$17+1,1))</f>
        <v>488.67934252295686</v>
      </c>
      <c r="GF95" s="59">
        <f t="shared" si="104"/>
        <v>424.50324471331095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109.27719500597107</v>
      </c>
      <c r="GM95" s="21">
        <f>EXP(-LN(2)/25)*GM94+(1-EXP(-LN(2)/25))/(LN(2)/25)*Calculateur!GH95*Calculateur!GJ95*VLOOKUP('Données projet'!$B$17,Paramètres!$A$1:$I$89,3,0)*0.475*44/12</f>
        <v>8.7807038339435035</v>
      </c>
      <c r="GN95" s="21">
        <f>EXP(-LN(2)/2)*GN94+(1-EXP(-LN(2)/2))/(LN(2)/2)*GH95*GK95*VLOOKUP('Données projet'!$B$17,Paramètres!$A$1:$I$89,3,0)*0.475*44/12</f>
        <v>3.7783103539371097E-10</v>
      </c>
      <c r="GO95" s="21">
        <f t="shared" si="81"/>
        <v>118.0578988402924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789</v>
      </c>
      <c r="GV95" s="17">
        <f>GU95*VLOOKUP('Données projet'!$B$18,Paramètres!$A$1:$I$89,3,0)*VLOOKUP('Données projet'!$B$18,Paramètres!$A$1:$I$89,5,0)</f>
        <v>379.50900000000001</v>
      </c>
      <c r="GW95" s="13">
        <f t="shared" si="105"/>
        <v>87.609801106074272</v>
      </c>
      <c r="GX95" s="20">
        <f t="shared" si="82"/>
        <v>813.56524525974601</v>
      </c>
      <c r="GY95" s="59">
        <f t="shared" si="83"/>
        <v>1106.8985785930793</v>
      </c>
      <c r="GZ95" s="59">
        <f ca="1">AVERAGE(OFFSET($GY$3,0,0,'Données projet'!$E$18+1,1))-AVERAGE(OFFSET($H$3,0,0,'Données projet'!$E$18+1,1))</f>
        <v>458.80976193248841</v>
      </c>
      <c r="HA95" s="59">
        <f t="shared" si="106"/>
        <v>396.07405370178759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110.65166763934387</v>
      </c>
      <c r="HH95" s="21">
        <f>EXP(-LN(2)/25)*HH94+(1-EXP(-LN(2)/25))/(LN(2)/25)*Calculateur!HC95*Calculateur!HE95*VLOOKUP('Données projet'!$B$18,Paramètres!$A$1:$I$89,3,0)*0.475*44/12</f>
        <v>8.2041929761593426</v>
      </c>
      <c r="HI95" s="21">
        <f>EXP(-LN(2)/2)*HI94+(1-EXP(-LN(2)/2))/(LN(2)/2)*HC95*HF95*VLOOKUP('Données projet'!$B$18,Paramètres!$A$1:$I$89,3,0)*0.475*44/12</f>
        <v>1.743506025002727E-10</v>
      </c>
      <c r="HJ95" s="22">
        <f t="shared" si="84"/>
        <v>118.85586061567757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268.99999999999983</v>
      </c>
      <c r="O96" s="13">
        <f>N96*VLOOKUP('Données projet'!$B$9,Paramètres!$A$1:$I$89,3,0)*VLOOKUP('Données projet'!$B$9,Paramètres!$A$1:$I$89,5,0)</f>
        <v>243.39119999999986</v>
      </c>
      <c r="P96" s="13">
        <f t="shared" si="87"/>
        <v>59.168566788241527</v>
      </c>
      <c r="Q96" s="20">
        <f t="shared" si="54"/>
        <v>526.95826048952051</v>
      </c>
      <c r="R96" s="59">
        <f t="shared" si="55"/>
        <v>820.29159382285388</v>
      </c>
      <c r="S96" s="59">
        <f ca="1">AVERAGE(OFFSET($R$3,0,0,'Données projet'!$E$9+1,1))-AVERAGE(OFFSET($H$3,0,0,'Données projet'!$E$9+1,1))</f>
        <v>364.3481978218424</v>
      </c>
      <c r="T96" s="59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62.765508615815044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62.765508615815044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636.99999999999977</v>
      </c>
      <c r="AJ96" s="13">
        <f>AI96*VLOOKUP('Données projet'!$B$10,Paramètres!$A$1:$I$89,3,0)*VLOOKUP('Données projet'!$B$10,Paramètres!$A$1:$I$89,5,0)</f>
        <v>356.08299999999991</v>
      </c>
      <c r="AK96" s="13">
        <f t="shared" si="89"/>
        <v>82.813805255716545</v>
      </c>
      <c r="AL96" s="20">
        <f t="shared" si="58"/>
        <v>764.41193582037283</v>
      </c>
      <c r="AM96" s="59">
        <f t="shared" si="59"/>
        <v>1057.7452691537062</v>
      </c>
      <c r="AN96" s="59">
        <f ca="1">AVERAGE(OFFSET($AM$3,0,0,'Données projet'!$E$10+1,1))-AVERAGE(OFFSET($H$3,0,0,'Données projet'!$E$10+1,1))</f>
        <v>443.34220761968419</v>
      </c>
      <c r="AO96" s="59">
        <f t="shared" si="90"/>
        <v>546.58234447298014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50.839629309414043</v>
      </c>
      <c r="AV96" s="21">
        <f>EXP(-LN(2)/25)*AV95+(1-EXP(-LN(2)/25))/(LN(2)/25)*Calculateur!AQ96*Calculateur!AS96*VLOOKUP('Données projet'!$B$10,Paramètres!$A$1:$I$89,3,0)*0.475*44/12</f>
        <v>3.8246144930570996</v>
      </c>
      <c r="AW96" s="21">
        <f>EXP(-LN(2)/2)*AW95+(1-EXP(-LN(2)/2))/(LN(2)/2)*AQ96*AT96*VLOOKUP('Données projet'!$B$10,Paramètres!$A$1:$I$89,3,0)*0.475*44/12</f>
        <v>1.9893960639097444E-9</v>
      </c>
      <c r="AX96" s="21">
        <f t="shared" si="60"/>
        <v>54.66424380446054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7.6</v>
      </c>
      <c r="BD96" s="12">
        <f>IF('Données projet'!$A$88&gt;35,BD95+BC96-BL95,IF(A96&lt;'Données projet'!$A$88,$BA$205^A96,IF(A96='Données projet'!$A$88,'Données projet'!$B$88,BD95+BC96-BL95)))</f>
        <v>373.7999999999999</v>
      </c>
      <c r="BE96" s="13">
        <f>BD96*VLOOKUP('Données projet'!$B$11,Paramètres!$A$1:$I$89,3,0)*VLOOKUP('Données projet'!$B$11,Paramètres!$A$1:$I$89,5,0)</f>
        <v>320.72039999999993</v>
      </c>
      <c r="BF96" s="13">
        <f t="shared" si="91"/>
        <v>75.503227270035708</v>
      </c>
      <c r="BG96" s="20">
        <f t="shared" si="61"/>
        <v>690.0894841619787</v>
      </c>
      <c r="BH96" s="59">
        <f t="shared" si="62"/>
        <v>983.42281749531207</v>
      </c>
      <c r="BI96" s="59">
        <f ca="1">AVERAGE(OFFSET($BH$3,0,0,'Données projet'!$E$11+1,1))-AVERAGE(OFFSET($H$3,0,0,'Données projet'!$E$11+1,1))</f>
        <v>447.15627913956871</v>
      </c>
      <c r="BJ96" s="59">
        <f t="shared" si="92"/>
        <v>256.77417912163997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96.437743170574649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96.437743170574649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4.8</v>
      </c>
      <c r="BY96" s="12">
        <f>IF('Données projet'!$A$114&gt;35,BY95+BX96-CG95,IF(A96&lt;'Données projet'!$A$114,$BV$205^A96,IF(A96='Données projet'!$A$114,'Données projet'!$B$114,BY95+BX96-CG95)))</f>
        <v>257.39999999999992</v>
      </c>
      <c r="BZ96" s="13">
        <f>BY96*VLOOKUP('Données projet'!$B$12,Paramètres!$A$1:$I$89,3,0)*VLOOKUP('Données projet'!$B$12,Paramètres!$A$1:$I$89,5,0)</f>
        <v>244.94183999999993</v>
      </c>
      <c r="CA96" s="13">
        <f t="shared" si="93"/>
        <v>59.501526882688026</v>
      </c>
      <c r="CB96" s="20">
        <f t="shared" si="64"/>
        <v>530.23886398734817</v>
      </c>
      <c r="CC96" s="59">
        <f t="shared" si="65"/>
        <v>823.57219732068143</v>
      </c>
      <c r="CD96" s="59">
        <f ca="1">AVERAGE(OFFSET($CC$3,0,0,'Données projet'!$E$12+1,1))-AVERAGE(OFFSET($H$3,0,0,'Données projet'!$E$12+1,1))</f>
        <v>448.94764480536713</v>
      </c>
      <c r="CE96" s="59">
        <f t="shared" si="94"/>
        <v>469.26760321719695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86.253974751556385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86.253974751556385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187.80389738728508</v>
      </c>
      <c r="CZ96" s="59">
        <f t="shared" si="96"/>
        <v>439.28159165815265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35.468894035805413</v>
      </c>
      <c r="DG96" s="21">
        <f>EXP(-LN(2)/25)*DG95+(1-EXP(-LN(2)/25))/(LN(2)/25)*Calculateur!DB96*Calculateur!DD96*VLOOKUP('Données projet'!$B$13,Paramètres!$A$1:$I$89,3,0)*0.475*44/12</f>
        <v>2.506582687619344</v>
      </c>
      <c r="DH96" s="21">
        <f>EXP(-LN(2)/2)*DH95+(1-EXP(-LN(2)/2))/(LN(2)/2)*DB96*DE96*VLOOKUP('Données projet'!$B$13,Paramètres!$A$1:$I$89,3,0)*0.475*44/12</f>
        <v>1.480474106043429E-11</v>
      </c>
      <c r="DI96" s="22">
        <f t="shared" si="69"/>
        <v>37.975476723439563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255.00000000000006</v>
      </c>
      <c r="DP96" s="17">
        <f>DO96*VLOOKUP('Données projet'!$B$14,Paramètres!$A$1:$I$89,3,0)*VLOOKUP('Données projet'!$B$14,Paramètres!$A$1:$I$89,5,0)</f>
        <v>186.96600000000004</v>
      </c>
      <c r="DQ96" s="13">
        <f t="shared" si="97"/>
        <v>46.868551400324648</v>
      </c>
      <c r="DR96" s="20">
        <f t="shared" si="70"/>
        <v>407.26184368889881</v>
      </c>
      <c r="DS96" s="59">
        <f t="shared" si="71"/>
        <v>700.59517702223206</v>
      </c>
      <c r="DT96" s="59">
        <f ca="1">AVERAGE(OFFSET($DS$3,0,0,'Données projet'!$E$14+1,1))-AVERAGE(OFFSET($H$3,0,0,'Données projet'!$E$14+1,1))</f>
        <v>239.25212250019609</v>
      </c>
      <c r="DU96" s="59">
        <f t="shared" si="98"/>
        <v>213.58492101729695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689</v>
      </c>
      <c r="EK96" s="17">
        <f>EJ96*VLOOKUP('Données projet'!$B$15,Paramètres!$A$1:$I$89,3,0)*VLOOKUP('Données projet'!$B$15,Paramètres!$A$1:$I$89,5,0)</f>
        <v>412.02199999999999</v>
      </c>
      <c r="EL96" s="13">
        <f t="shared" si="99"/>
        <v>94.209724877926391</v>
      </c>
      <c r="EM96" s="20">
        <f t="shared" si="73"/>
        <v>881.686920829055</v>
      </c>
      <c r="EN96" s="59">
        <f t="shared" si="74"/>
        <v>1175.0202541623883</v>
      </c>
      <c r="EO96" s="59">
        <f ca="1">AVERAGE(OFFSET($EN$3,0,0,'Données projet'!$E$15+1,1))-AVERAGE(OFFSET($H$3,0,0,'Données projet'!$E$15+1,1))</f>
        <v>504.81063008331739</v>
      </c>
      <c r="EP96" s="59">
        <f t="shared" si="100"/>
        <v>441.82647565372287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75.656225238028426</v>
      </c>
      <c r="EW96" s="21">
        <f>EXP(-LN(2)/25)*EW95+(1-EXP(-LN(2)/25))/(LN(2)/25)*Calculateur!ER96*Calculateur!ET96*VLOOKUP('Données projet'!$B$15,Paramètres!$A$1:$I$89,3,0)*0.475*44/12</f>
        <v>10.26518017852103</v>
      </c>
      <c r="EX96" s="21">
        <f>EXP(-LN(2)/2)*EX95+(1-EXP(-LN(2)/2))/(LN(2)/2)*ER96*EU96*VLOOKUP('Données projet'!$B$15,Paramètres!$A$1:$I$89,3,0)*0.475*44/12</f>
        <v>1.7242289313601906E-11</v>
      </c>
      <c r="EY96" s="22">
        <f t="shared" si="75"/>
        <v>85.921405416566699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6.2</v>
      </c>
      <c r="FE96" s="12">
        <f>IF('Données projet'!$A$218&gt;35,FE95+FD96-FM95,IF(A96&lt;'Données projet'!$A$218,$FB$205^A96,IF(A96='Données projet'!$A$218,'Données projet'!$B$218,FE95+FD96-FM95)))</f>
        <v>530.59999999999957</v>
      </c>
      <c r="FF96" s="17">
        <f>FE96*VLOOKUP('Données projet'!$B$16,Paramètres!$A$1:$I$89,3,0)*VLOOKUP('Données projet'!$B$16,Paramètres!$A$1:$I$89,5,0)</f>
        <v>303.50319999999977</v>
      </c>
      <c r="FG96" s="13">
        <f t="shared" si="101"/>
        <v>71.910371793603048</v>
      </c>
      <c r="FH96" s="20">
        <f t="shared" si="76"/>
        <v>653.84530420719159</v>
      </c>
      <c r="FI96" s="59">
        <f t="shared" si="77"/>
        <v>947.17863754052496</v>
      </c>
      <c r="FJ96" s="59">
        <f ca="1">AVERAGE(OFFSET($FI$3,0,0,'Données projet'!$E$16+1,1))-AVERAGE(OFFSET($H$3,0,0,'Données projet'!$E$16+1,1))</f>
        <v>393.41577134252316</v>
      </c>
      <c r="FK96" s="59">
        <f t="shared" si="102"/>
        <v>255.54039659391475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76.667220306346408</v>
      </c>
      <c r="FR96" s="21">
        <f>EXP(-LN(2)/25)*FR95+(1-EXP(-LN(2)/25))/(LN(2)/25)*Calculateur!FM96*Calculateur!FO96*VLOOKUP('Données projet'!$B$16,Paramètres!$A$1:$I$89,3,0)*0.475*44/12</f>
        <v>4.6585063777348203</v>
      </c>
      <c r="FS96" s="21">
        <f>EXP(-LN(2)/2)*FS95+(1-EXP(-LN(2)/2))/(LN(2)/2)*FM96*FP96*VLOOKUP('Données projet'!$B$16,Paramètres!$A$1:$I$89,3,0)*0.475*44/12</f>
        <v>1.1995247999860829E-10</v>
      </c>
      <c r="FT96" s="22">
        <f t="shared" si="78"/>
        <v>81.325726684201186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853.00000000000011</v>
      </c>
      <c r="GA96" s="17">
        <f>FZ96*VLOOKUP('Données projet'!$B$17,Paramètres!$A$1:$I$89,3,0)*VLOOKUP('Données projet'!$B$17,Paramètres!$A$1:$I$89,5,0)</f>
        <v>399.20400000000006</v>
      </c>
      <c r="GB96" s="13">
        <f t="shared" si="103"/>
        <v>91.615269732888521</v>
      </c>
      <c r="GC96" s="20">
        <f t="shared" si="79"/>
        <v>854.8435614514475</v>
      </c>
      <c r="GD96" s="59">
        <f t="shared" si="80"/>
        <v>1148.1768947847809</v>
      </c>
      <c r="GE96" s="59">
        <f ca="1">AVERAGE(OFFSET($GD$3,0,0,'Données projet'!$E$17+1,1))-AVERAGE(OFFSET($H$3,0,0,'Données projet'!$E$17+1,1))</f>
        <v>488.67934252295686</v>
      </c>
      <c r="GF96" s="59">
        <f t="shared" si="104"/>
        <v>424.50324471331095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107.13433586441154</v>
      </c>
      <c r="GM96" s="21">
        <f>EXP(-LN(2)/25)*GM95+(1-EXP(-LN(2)/25))/(LN(2)/25)*Calculateur!GH96*Calculateur!GJ96*VLOOKUP('Données projet'!$B$17,Paramètres!$A$1:$I$89,3,0)*0.475*44/12</f>
        <v>8.540595025847173</v>
      </c>
      <c r="GN96" s="21">
        <f>EXP(-LN(2)/2)*GN95+(1-EXP(-LN(2)/2))/(LN(2)/2)*GH96*GK96*VLOOKUP('Données projet'!$B$17,Paramètres!$A$1:$I$89,3,0)*0.475*44/12</f>
        <v>2.6716688726962747E-10</v>
      </c>
      <c r="GO96" s="21">
        <f t="shared" si="81"/>
        <v>115.67493089052587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789</v>
      </c>
      <c r="GV96" s="17">
        <f>GU96*VLOOKUP('Données projet'!$B$18,Paramètres!$A$1:$I$89,3,0)*VLOOKUP('Données projet'!$B$18,Paramètres!$A$1:$I$89,5,0)</f>
        <v>379.50900000000001</v>
      </c>
      <c r="GW96" s="13">
        <f t="shared" si="105"/>
        <v>87.609801106074272</v>
      </c>
      <c r="GX96" s="20">
        <f t="shared" si="82"/>
        <v>813.56524525974601</v>
      </c>
      <c r="GY96" s="59">
        <f t="shared" si="83"/>
        <v>1106.8985785930793</v>
      </c>
      <c r="GZ96" s="59">
        <f ca="1">AVERAGE(OFFSET($GY$3,0,0,'Données projet'!$E$18+1,1))-AVERAGE(OFFSET($H$3,0,0,'Données projet'!$E$18+1,1))</f>
        <v>458.80976193248841</v>
      </c>
      <c r="HA96" s="59">
        <f t="shared" si="106"/>
        <v>396.07405370178759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108.48185592778943</v>
      </c>
      <c r="HH96" s="21">
        <f>EXP(-LN(2)/25)*HH95+(1-EXP(-LN(2)/25))/(LN(2)/25)*Calculateur!HC96*Calculateur!HE96*VLOOKUP('Données projet'!$B$18,Paramètres!$A$1:$I$89,3,0)*0.475*44/12</f>
        <v>7.9798488877865079</v>
      </c>
      <c r="HI96" s="21">
        <f>EXP(-LN(2)/2)*HI95+(1-EXP(-LN(2)/2))/(LN(2)/2)*HC96*HF96*VLOOKUP('Données projet'!$B$18,Paramètres!$A$1:$I$89,3,0)*0.475*44/12</f>
        <v>1.2328449333190306E-10</v>
      </c>
      <c r="HJ96" s="22">
        <f t="shared" si="84"/>
        <v>116.46170481569921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273.99999999999983</v>
      </c>
      <c r="O97" s="13">
        <f>N97*VLOOKUP('Données projet'!$B$9,Paramètres!$A$1:$I$89,3,0)*VLOOKUP('Données projet'!$B$9,Paramètres!$A$1:$I$89,5,0)</f>
        <v>247.91519999999986</v>
      </c>
      <c r="P97" s="13">
        <f t="shared" si="87"/>
        <v>60.139294964297406</v>
      </c>
      <c r="Q97" s="20">
        <f t="shared" si="54"/>
        <v>536.52824539615096</v>
      </c>
      <c r="R97" s="59">
        <f t="shared" si="55"/>
        <v>829.86157872948434</v>
      </c>
      <c r="S97" s="59">
        <f ca="1">AVERAGE(OFFSET($R$3,0,0,'Données projet'!$E$9+1,1))-AVERAGE(OFFSET($H$3,0,0,'Données projet'!$E$9+1,1))</f>
        <v>364.3481978218424</v>
      </c>
      <c r="T97" s="59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61.534715275039019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61.534715275039019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636.99999999999977</v>
      </c>
      <c r="AJ97" s="13">
        <f>AI97*VLOOKUP('Données projet'!$B$10,Paramètres!$A$1:$I$89,3,0)*VLOOKUP('Données projet'!$B$10,Paramètres!$A$1:$I$89,5,0)</f>
        <v>356.08299999999991</v>
      </c>
      <c r="AK97" s="13">
        <f t="shared" si="89"/>
        <v>82.813805255716545</v>
      </c>
      <c r="AL97" s="20">
        <f t="shared" si="58"/>
        <v>764.41193582037283</v>
      </c>
      <c r="AM97" s="59">
        <f t="shared" si="59"/>
        <v>1057.7452691537062</v>
      </c>
      <c r="AN97" s="59">
        <f ca="1">AVERAGE(OFFSET($AM$3,0,0,'Données projet'!$E$10+1,1))-AVERAGE(OFFSET($H$3,0,0,'Données projet'!$E$10+1,1))</f>
        <v>443.34220761968419</v>
      </c>
      <c r="AO97" s="59">
        <f t="shared" si="90"/>
        <v>546.58234447298014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49.84269518776842</v>
      </c>
      <c r="AV97" s="21">
        <f>EXP(-LN(2)/25)*AV96+(1-EXP(-LN(2)/25))/(LN(2)/25)*Calculateur!AQ97*Calculateur!AS97*VLOOKUP('Données projet'!$B$10,Paramètres!$A$1:$I$89,3,0)*0.475*44/12</f>
        <v>3.7200302086167181</v>
      </c>
      <c r="AW97" s="21">
        <f>EXP(-LN(2)/2)*AW96+(1-EXP(-LN(2)/2))/(LN(2)/2)*AQ97*AT97*VLOOKUP('Données projet'!$B$10,Paramètres!$A$1:$I$89,3,0)*0.475*44/12</f>
        <v>1.4067154472564066E-9</v>
      </c>
      <c r="AX97" s="21">
        <f t="shared" si="60"/>
        <v>53.562725397791858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7.6</v>
      </c>
      <c r="BD97" s="12">
        <f>IF('Données projet'!$A$88&gt;35,BD96+BC97-BL96,IF(A97&lt;'Données projet'!$A$88,$BA$205^A97,IF(A97='Données projet'!$A$88,'Données projet'!$B$88,BD96+BC97-BL96)))</f>
        <v>381.39999999999992</v>
      </c>
      <c r="BE97" s="13">
        <f>BD97*VLOOKUP('Données projet'!$B$11,Paramètres!$A$1:$I$89,3,0)*VLOOKUP('Données projet'!$B$11,Paramètres!$A$1:$I$89,5,0)</f>
        <v>327.24119999999999</v>
      </c>
      <c r="BF97" s="13">
        <f t="shared" si="91"/>
        <v>76.85805838290122</v>
      </c>
      <c r="BG97" s="20">
        <f t="shared" si="61"/>
        <v>703.80620835021955</v>
      </c>
      <c r="BH97" s="59">
        <f t="shared" si="62"/>
        <v>997.13954168355281</v>
      </c>
      <c r="BI97" s="59">
        <f ca="1">AVERAGE(OFFSET($BH$3,0,0,'Données projet'!$E$11+1,1))-AVERAGE(OFFSET($H$3,0,0,'Données projet'!$E$11+1,1))</f>
        <v>447.15627913956871</v>
      </c>
      <c r="BJ97" s="59">
        <f t="shared" si="92"/>
        <v>256.77417912163997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94.546657848214906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94.546657848214906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4.8</v>
      </c>
      <c r="BY97" s="12">
        <f>IF('Données projet'!$A$114&gt;35,BY96+BX97-CG96,IF(A97&lt;'Données projet'!$A$114,$BV$205^A97,IF(A97='Données projet'!$A$114,'Données projet'!$B$114,BY96+BX97-CG96)))</f>
        <v>262.19999999999993</v>
      </c>
      <c r="BZ97" s="13">
        <f>BY97*VLOOKUP('Données projet'!$B$12,Paramètres!$A$1:$I$89,3,0)*VLOOKUP('Données projet'!$B$12,Paramètres!$A$1:$I$89,5,0)</f>
        <v>249.50951999999992</v>
      </c>
      <c r="CA97" s="13">
        <f t="shared" si="93"/>
        <v>60.48089994102925</v>
      </c>
      <c r="CB97" s="20">
        <f t="shared" si="64"/>
        <v>539.89998139729244</v>
      </c>
      <c r="CC97" s="59">
        <f t="shared" si="65"/>
        <v>833.23331473062581</v>
      </c>
      <c r="CD97" s="59">
        <f ca="1">AVERAGE(OFFSET($CC$3,0,0,'Données projet'!$E$12+1,1))-AVERAGE(OFFSET($H$3,0,0,'Données projet'!$E$12+1,1))</f>
        <v>448.94764480536713</v>
      </c>
      <c r="CE97" s="59">
        <f t="shared" si="94"/>
        <v>469.26760321719695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84.562586916408179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84.562586916408179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187.80389738728508</v>
      </c>
      <c r="CZ97" s="59">
        <f t="shared" si="96"/>
        <v>439.28159165815265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34.773370657652464</v>
      </c>
      <c r="DG97" s="21">
        <f>EXP(-LN(2)/25)*DG96+(1-EXP(-LN(2)/25))/(LN(2)/25)*Calculateur!DB97*Calculateur!DD97*VLOOKUP('Données projet'!$B$13,Paramètres!$A$1:$I$89,3,0)*0.475*44/12</f>
        <v>2.4380400522109382</v>
      </c>
      <c r="DH97" s="21">
        <f>EXP(-LN(2)/2)*DH96+(1-EXP(-LN(2)/2))/(LN(2)/2)*DB97*DE97*VLOOKUP('Données projet'!$B$13,Paramètres!$A$1:$I$89,3,0)*0.475*44/12</f>
        <v>1.0468532797544005E-11</v>
      </c>
      <c r="DI97" s="22">
        <f t="shared" si="69"/>
        <v>37.211410709873867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255.00000000000006</v>
      </c>
      <c r="DP97" s="17">
        <f>DO97*VLOOKUP('Données projet'!$B$14,Paramètres!$A$1:$I$89,3,0)*VLOOKUP('Données projet'!$B$14,Paramètres!$A$1:$I$89,5,0)</f>
        <v>186.96600000000004</v>
      </c>
      <c r="DQ97" s="13">
        <f t="shared" si="97"/>
        <v>46.868551400324648</v>
      </c>
      <c r="DR97" s="20">
        <f t="shared" si="70"/>
        <v>407.26184368889881</v>
      </c>
      <c r="DS97" s="59">
        <f t="shared" si="71"/>
        <v>700.59517702223206</v>
      </c>
      <c r="DT97" s="59">
        <f ca="1">AVERAGE(OFFSET($DS$3,0,0,'Données projet'!$E$14+1,1))-AVERAGE(OFFSET($H$3,0,0,'Données projet'!$E$14+1,1))</f>
        <v>239.25212250019609</v>
      </c>
      <c r="DU97" s="59">
        <f t="shared" si="98"/>
        <v>213.58492101729695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689</v>
      </c>
      <c r="EK97" s="17">
        <f>EJ97*VLOOKUP('Données projet'!$B$15,Paramètres!$A$1:$I$89,3,0)*VLOOKUP('Données projet'!$B$15,Paramètres!$A$1:$I$89,5,0)</f>
        <v>412.02199999999999</v>
      </c>
      <c r="EL97" s="13">
        <f t="shared" si="99"/>
        <v>94.209724877926391</v>
      </c>
      <c r="EM97" s="20">
        <f t="shared" si="73"/>
        <v>881.686920829055</v>
      </c>
      <c r="EN97" s="59">
        <f t="shared" si="74"/>
        <v>1175.0202541623883</v>
      </c>
      <c r="EO97" s="59">
        <f ca="1">AVERAGE(OFFSET($EN$3,0,0,'Données projet'!$E$15+1,1))-AVERAGE(OFFSET($H$3,0,0,'Données projet'!$E$15+1,1))</f>
        <v>504.81063008331739</v>
      </c>
      <c r="EP97" s="59">
        <f t="shared" si="100"/>
        <v>441.82647565372287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74.172652806851573</v>
      </c>
      <c r="EW97" s="21">
        <f>EXP(-LN(2)/25)*EW96+(1-EXP(-LN(2)/25))/(LN(2)/25)*Calculateur!ER97*Calculateur!ET97*VLOOKUP('Données projet'!$B$15,Paramètres!$A$1:$I$89,3,0)*0.475*44/12</f>
        <v>9.9844782867170085</v>
      </c>
      <c r="EX97" s="21">
        <f>EXP(-LN(2)/2)*EX96+(1-EXP(-LN(2)/2))/(LN(2)/2)*ER97*EU97*VLOOKUP('Données projet'!$B$15,Paramètres!$A$1:$I$89,3,0)*0.475*44/12</f>
        <v>1.219213969682825E-11</v>
      </c>
      <c r="EY97" s="22">
        <f t="shared" si="75"/>
        <v>84.157131093580773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6.2</v>
      </c>
      <c r="FE97" s="12">
        <f>IF('Données projet'!$A$218&gt;35,FE96+FD97-FM96,IF(A97&lt;'Données projet'!$A$218,$FB$205^A97,IF(A97='Données projet'!$A$218,'Données projet'!$B$218,FE96+FD97-FM96)))</f>
        <v>536.79999999999961</v>
      </c>
      <c r="FF97" s="17">
        <f>FE97*VLOOKUP('Données projet'!$B$16,Paramètres!$A$1:$I$89,3,0)*VLOOKUP('Données projet'!$B$16,Paramètres!$A$1:$I$89,5,0)</f>
        <v>307.04959999999977</v>
      </c>
      <c r="FG97" s="13">
        <f t="shared" si="101"/>
        <v>72.652326707647532</v>
      </c>
      <c r="FH97" s="20">
        <f t="shared" si="76"/>
        <v>661.31418901581912</v>
      </c>
      <c r="FI97" s="59">
        <f t="shared" si="77"/>
        <v>954.6475223491525</v>
      </c>
      <c r="FJ97" s="59">
        <f ca="1">AVERAGE(OFFSET($FI$3,0,0,'Données projet'!$E$16+1,1))-AVERAGE(OFFSET($H$3,0,0,'Données projet'!$E$16+1,1))</f>
        <v>393.41577134252316</v>
      </c>
      <c r="FK97" s="59">
        <f t="shared" si="102"/>
        <v>255.54039659391475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75.163822878525934</v>
      </c>
      <c r="FR97" s="21">
        <f>EXP(-LN(2)/25)*FR96+(1-EXP(-LN(2)/25))/(LN(2)/25)*Calculateur!FM97*Calculateur!FO97*VLOOKUP('Données projet'!$B$16,Paramètres!$A$1:$I$89,3,0)*0.475*44/12</f>
        <v>4.5311192758554588</v>
      </c>
      <c r="FS97" s="21">
        <f>EXP(-LN(2)/2)*FS96+(1-EXP(-LN(2)/2))/(LN(2)/2)*FM97*FP97*VLOOKUP('Données projet'!$B$16,Paramètres!$A$1:$I$89,3,0)*0.475*44/12</f>
        <v>8.481921202715963E-11</v>
      </c>
      <c r="FT97" s="22">
        <f t="shared" si="78"/>
        <v>79.694942154466219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853.00000000000011</v>
      </c>
      <c r="GA97" s="17">
        <f>FZ97*VLOOKUP('Données projet'!$B$17,Paramètres!$A$1:$I$89,3,0)*VLOOKUP('Données projet'!$B$17,Paramètres!$A$1:$I$89,5,0)</f>
        <v>399.20400000000006</v>
      </c>
      <c r="GB97" s="13">
        <f t="shared" si="103"/>
        <v>91.615269732888521</v>
      </c>
      <c r="GC97" s="20">
        <f t="shared" si="79"/>
        <v>854.8435614514475</v>
      </c>
      <c r="GD97" s="59">
        <f t="shared" si="80"/>
        <v>1148.1768947847809</v>
      </c>
      <c r="GE97" s="59">
        <f ca="1">AVERAGE(OFFSET($GD$3,0,0,'Données projet'!$E$17+1,1))-AVERAGE(OFFSET($H$3,0,0,'Données projet'!$E$17+1,1))</f>
        <v>488.67934252295686</v>
      </c>
      <c r="GF97" s="59">
        <f t="shared" si="104"/>
        <v>424.50324471331095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105.03349688360298</v>
      </c>
      <c r="GM97" s="21">
        <f>EXP(-LN(2)/25)*GM96+(1-EXP(-LN(2)/25))/(LN(2)/25)*Calculateur!GH97*Calculateur!GJ97*VLOOKUP('Données projet'!$B$17,Paramètres!$A$1:$I$89,3,0)*0.475*44/12</f>
        <v>8.3070520057350095</v>
      </c>
      <c r="GN97" s="21">
        <f>EXP(-LN(2)/2)*GN96+(1-EXP(-LN(2)/2))/(LN(2)/2)*GH97*GK97*VLOOKUP('Données projet'!$B$17,Paramètres!$A$1:$I$89,3,0)*0.475*44/12</f>
        <v>1.8891551769685549E-10</v>
      </c>
      <c r="GO97" s="21">
        <f t="shared" si="81"/>
        <v>113.3405488895269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789</v>
      </c>
      <c r="GV97" s="17">
        <f>GU97*VLOOKUP('Données projet'!$B$18,Paramètres!$A$1:$I$89,3,0)*VLOOKUP('Données projet'!$B$18,Paramètres!$A$1:$I$89,5,0)</f>
        <v>379.50900000000001</v>
      </c>
      <c r="GW97" s="13">
        <f t="shared" si="105"/>
        <v>87.609801106074272</v>
      </c>
      <c r="GX97" s="20">
        <f t="shared" si="82"/>
        <v>813.56524525974601</v>
      </c>
      <c r="GY97" s="59">
        <f t="shared" si="83"/>
        <v>1106.8985785930793</v>
      </c>
      <c r="GZ97" s="59">
        <f ca="1">AVERAGE(OFFSET($GY$3,0,0,'Données projet'!$E$18+1,1))-AVERAGE(OFFSET($H$3,0,0,'Données projet'!$E$18+1,1))</f>
        <v>458.80976193248841</v>
      </c>
      <c r="HA97" s="59">
        <f t="shared" si="106"/>
        <v>396.07405370178759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106.3545929004441</v>
      </c>
      <c r="HH97" s="21">
        <f>EXP(-LN(2)/25)*HH96+(1-EXP(-LN(2)/25))/(LN(2)/25)*Calculateur!HC97*Calculateur!HE97*VLOOKUP('Données projet'!$B$18,Paramètres!$A$1:$I$89,3,0)*0.475*44/12</f>
        <v>7.7616395003079708</v>
      </c>
      <c r="HI97" s="21">
        <f>EXP(-LN(2)/2)*HI96+(1-EXP(-LN(2)/2))/(LN(2)/2)*HC97*HF97*VLOOKUP('Données projet'!$B$18,Paramètres!$A$1:$I$89,3,0)*0.475*44/12</f>
        <v>8.7175301250136352E-11</v>
      </c>
      <c r="HJ97" s="22">
        <f t="shared" si="84"/>
        <v>114.11623240083924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252.43919999999983</v>
      </c>
      <c r="P98" s="13">
        <f t="shared" si="87"/>
        <v>61.107963296116218</v>
      </c>
      <c r="Q98" s="20">
        <f t="shared" si="54"/>
        <v>546.09464274073537</v>
      </c>
      <c r="R98" s="59">
        <f t="shared" si="55"/>
        <v>839.42797607406874</v>
      </c>
      <c r="S98" s="59">
        <f ca="1">AVERAGE(OFFSET($R$3,0,0,'Données projet'!$E$9+1,1))-AVERAGE(OFFSET($H$3,0,0,'Données projet'!$E$9+1,1))</f>
        <v>364.3481978218424</v>
      </c>
      <c r="T98" s="59">
        <f t="shared" si="88"/>
        <v>231.36959598460686</v>
      </c>
      <c r="U98" s="15">
        <f>IF(ISNA(VLOOKUP(A98,'Données projet'!$A$35:$I$55,3,0)),0,VLOOKUP(A98,'Données projet'!$A$35:$I$55,3,0))</f>
        <v>15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69.360130323560554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69.360130323560554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636.99999999999977</v>
      </c>
      <c r="AJ98" s="13">
        <f>AI98*VLOOKUP('Données projet'!$B$10,Paramètres!$A$1:$I$89,3,0)*VLOOKUP('Données projet'!$B$10,Paramètres!$A$1:$I$89,5,0)</f>
        <v>356.08299999999991</v>
      </c>
      <c r="AK98" s="13">
        <f t="shared" si="89"/>
        <v>82.813805255716545</v>
      </c>
      <c r="AL98" s="20">
        <f t="shared" si="58"/>
        <v>764.41193582037283</v>
      </c>
      <c r="AM98" s="59">
        <f t="shared" si="59"/>
        <v>1057.7452691537062</v>
      </c>
      <c r="AN98" s="59">
        <f ca="1">AVERAGE(OFFSET($AM$3,0,0,'Données projet'!$E$10+1,1))-AVERAGE(OFFSET($H$3,0,0,'Données projet'!$E$10+1,1))</f>
        <v>443.34220761968419</v>
      </c>
      <c r="AO98" s="59">
        <f t="shared" si="90"/>
        <v>546.58234447298014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48.865310336178496</v>
      </c>
      <c r="AV98" s="21">
        <f>EXP(-LN(2)/25)*AV97+(1-EXP(-LN(2)/25))/(LN(2)/25)*Calculateur!AQ98*Calculateur!AS98*VLOOKUP('Données projet'!$B$10,Paramètres!$A$1:$I$89,3,0)*0.475*44/12</f>
        <v>3.6183057869342075</v>
      </c>
      <c r="AW98" s="21">
        <f>EXP(-LN(2)/2)*AW97+(1-EXP(-LN(2)/2))/(LN(2)/2)*AQ98*AT98*VLOOKUP('Données projet'!$B$10,Paramètres!$A$1:$I$89,3,0)*0.475*44/12</f>
        <v>9.9469803195487222E-10</v>
      </c>
      <c r="AX98" s="21">
        <f t="shared" si="60"/>
        <v>52.4836161241074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389</v>
      </c>
      <c r="BB98" s="12">
        <f>VLOOKUP(A98,'Données projet'!$A$87:$I$107,9,0)</f>
        <v>7.6</v>
      </c>
      <c r="BC98" s="12">
        <f t="array" ref="BC98">INDEX(BB:BB,MIN(IF(ISNUMBER(BB98:BB294),ROW(BB98:BB294),"")))</f>
        <v>7.6</v>
      </c>
      <c r="BD98" s="12">
        <f>IF('Données projet'!$A$88&gt;35,BD97+BC98-BL97,IF(A98&lt;'Données projet'!$A$88,$BA$205^A98,IF(A98='Données projet'!$A$88,'Données projet'!$B$88,BD97+BC98-BL97)))</f>
        <v>388.99999999999994</v>
      </c>
      <c r="BE98" s="13">
        <f>BD98*VLOOKUP('Données projet'!$B$11,Paramètres!$A$1:$I$89,3,0)*VLOOKUP('Données projet'!$B$11,Paramètres!$A$1:$I$89,5,0)</f>
        <v>333.762</v>
      </c>
      <c r="BF98" s="13">
        <f t="shared" si="91"/>
        <v>78.209750448453065</v>
      </c>
      <c r="BG98" s="20">
        <f t="shared" si="61"/>
        <v>717.51746536438895</v>
      </c>
      <c r="BH98" s="59">
        <f t="shared" si="62"/>
        <v>1010.8507986977222</v>
      </c>
      <c r="BI98" s="59">
        <f ca="1">AVERAGE(OFFSET($BH$3,0,0,'Données projet'!$E$11+1,1))-AVERAGE(OFFSET($H$3,0,0,'Données projet'!$E$11+1,1))</f>
        <v>447.15627913956871</v>
      </c>
      <c r="BJ98" s="59">
        <f t="shared" si="92"/>
        <v>256.77417912163997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25</v>
      </c>
      <c r="BM98" s="16">
        <f>IF(ISNA(VLOOKUP(A98,'Données projet'!$A$87:$I$107,5,0)),0%,VLOOKUP(A98,'Données projet'!$A$87:$I$107,5,0)*VLOOKUP('Données projet'!$B$11,Paramètres!$A$1:$I$89,7,0))</f>
        <v>0.53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105.26019556529883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105.26019556529883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267</v>
      </c>
      <c r="BW98" s="12">
        <f>VLOOKUP(A98,'Données projet'!$A$113:$I$133,9,0)</f>
        <v>4.8</v>
      </c>
      <c r="BX98" s="12">
        <f t="array" ref="BX98">INDEX(BW:BW,MIN(IF(ISNUMBER(BW98:BW294),ROW(BW98:BW294),"")))</f>
        <v>4.8</v>
      </c>
      <c r="BY98" s="12">
        <f>IF('Données projet'!$A$114&gt;35,BY97+BX98-CG97,IF(A98&lt;'Données projet'!$A$114,$BV$205^A98,IF(A98='Données projet'!$A$114,'Données projet'!$B$114,BY97+BX98-CG97)))</f>
        <v>266.99999999999994</v>
      </c>
      <c r="BZ98" s="13">
        <f>BY98*VLOOKUP('Données projet'!$B$12,Paramètres!$A$1:$I$89,3,0)*VLOOKUP('Données projet'!$B$12,Paramètres!$A$1:$I$89,5,0)</f>
        <v>254.07719999999992</v>
      </c>
      <c r="CA98" s="13">
        <f t="shared" si="93"/>
        <v>61.458188159552705</v>
      </c>
      <c r="CB98" s="20">
        <f t="shared" si="64"/>
        <v>549.55746771122074</v>
      </c>
      <c r="CC98" s="59">
        <f t="shared" si="65"/>
        <v>842.89080104455411</v>
      </c>
      <c r="CD98" s="59">
        <f ca="1">AVERAGE(OFFSET($CC$3,0,0,'Données projet'!$E$12+1,1))-AVERAGE(OFFSET($H$3,0,0,'Données projet'!$E$12+1,1))</f>
        <v>448.94764480536713</v>
      </c>
      <c r="CE98" s="59">
        <f t="shared" si="94"/>
        <v>469.26760321719695</v>
      </c>
      <c r="CF98" s="15">
        <f>IF(ISNA(VLOOKUP(A98,'Données projet'!$A$113:$I$133,3,0)),0,VLOOKUP(A98,'Données projet'!$A$113:$I$133,3,0))</f>
        <v>18</v>
      </c>
      <c r="CG98" s="15">
        <f>IF(ISNA(VLOOKUP(A98,'Données projet'!$A$113:$I$133,4,0)),0,VLOOKUP(A98,'Données projet'!$A$113:$I$133,4,0))</f>
        <v>23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93.308306079250087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93.308306079250087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187.80389738728508</v>
      </c>
      <c r="CZ98" s="59">
        <f t="shared" si="96"/>
        <v>439.28159165815265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34.091486068717721</v>
      </c>
      <c r="DG98" s="21">
        <f>EXP(-LN(2)/25)*DG97+(1-EXP(-LN(2)/25))/(LN(2)/25)*Calculateur!DB98*Calculateur!DD98*VLOOKUP('Données projet'!$B$13,Paramètres!$A$1:$I$89,3,0)*0.475*44/12</f>
        <v>2.3713717187722758</v>
      </c>
      <c r="DH98" s="21">
        <f>EXP(-LN(2)/2)*DH97+(1-EXP(-LN(2)/2))/(LN(2)/2)*DB98*DE98*VLOOKUP('Données projet'!$B$13,Paramètres!$A$1:$I$89,3,0)*0.475*44/12</f>
        <v>7.4023705302171452E-12</v>
      </c>
      <c r="DI98" s="22">
        <f t="shared" si="69"/>
        <v>36.462857787497398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255.00000000000006</v>
      </c>
      <c r="DP98" s="17">
        <f>DO98*VLOOKUP('Données projet'!$B$14,Paramètres!$A$1:$I$89,3,0)*VLOOKUP('Données projet'!$B$14,Paramètres!$A$1:$I$89,5,0)</f>
        <v>186.96600000000004</v>
      </c>
      <c r="DQ98" s="13">
        <f t="shared" si="97"/>
        <v>46.868551400324648</v>
      </c>
      <c r="DR98" s="20">
        <f t="shared" si="70"/>
        <v>407.26184368889881</v>
      </c>
      <c r="DS98" s="59">
        <f t="shared" si="71"/>
        <v>700.59517702223206</v>
      </c>
      <c r="DT98" s="59">
        <f ca="1">AVERAGE(OFFSET($DS$3,0,0,'Données projet'!$E$14+1,1))-AVERAGE(OFFSET($H$3,0,0,'Données projet'!$E$14+1,1))</f>
        <v>239.25212250019609</v>
      </c>
      <c r="DU98" s="59">
        <f t="shared" si="98"/>
        <v>213.58492101729695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689</v>
      </c>
      <c r="EK98" s="17">
        <f>EJ98*VLOOKUP('Données projet'!$B$15,Paramètres!$A$1:$I$89,3,0)*VLOOKUP('Données projet'!$B$15,Paramètres!$A$1:$I$89,5,0)</f>
        <v>412.02199999999999</v>
      </c>
      <c r="EL98" s="13">
        <f t="shared" si="99"/>
        <v>94.209724877926391</v>
      </c>
      <c r="EM98" s="20">
        <f t="shared" si="73"/>
        <v>881.686920829055</v>
      </c>
      <c r="EN98" s="59">
        <f t="shared" si="74"/>
        <v>1175.0202541623883</v>
      </c>
      <c r="EO98" s="59">
        <f ca="1">AVERAGE(OFFSET($EN$3,0,0,'Données projet'!$E$15+1,1))-AVERAGE(OFFSET($H$3,0,0,'Données projet'!$E$15+1,1))</f>
        <v>504.81063008331739</v>
      </c>
      <c r="EP98" s="59">
        <f t="shared" si="100"/>
        <v>441.82647565372287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72.718172326160257</v>
      </c>
      <c r="EW98" s="21">
        <f>EXP(-LN(2)/25)*EW97+(1-EXP(-LN(2)/25))/(LN(2)/25)*Calculateur!ER98*Calculateur!ET98*VLOOKUP('Données projet'!$B$15,Paramètres!$A$1:$I$89,3,0)*0.475*44/12</f>
        <v>9.7114522029058392</v>
      </c>
      <c r="EX98" s="21">
        <f>EXP(-LN(2)/2)*EX97+(1-EXP(-LN(2)/2))/(LN(2)/2)*ER98*EU98*VLOOKUP('Données projet'!$B$15,Paramètres!$A$1:$I$89,3,0)*0.475*44/12</f>
        <v>8.621144656800953E-12</v>
      </c>
      <c r="EY98" s="22">
        <f t="shared" si="75"/>
        <v>82.429624529074729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543</v>
      </c>
      <c r="FC98" s="12">
        <f>VLOOKUP(A98,'Données projet'!$A$217:$I$237,9,0)</f>
        <v>6.2</v>
      </c>
      <c r="FD98" s="12">
        <f t="array" ref="FD98">INDEX(FC:FC,MIN(IF(ISNUMBER(FC98:FC294),ROW(FC98:FC294),"")))</f>
        <v>6.2</v>
      </c>
      <c r="FE98" s="12">
        <f>IF('Données projet'!$A$218&gt;35,FE97+FD98-FM97,IF(A98&lt;'Données projet'!$A$218,$FB$205^A98,IF(A98='Données projet'!$A$218,'Données projet'!$B$218,FE97+FD98-FM97)))</f>
        <v>542.99999999999966</v>
      </c>
      <c r="FF98" s="17">
        <f>FE98*VLOOKUP('Données projet'!$B$16,Paramètres!$A$1:$I$89,3,0)*VLOOKUP('Données projet'!$B$16,Paramètres!$A$1:$I$89,5,0)</f>
        <v>310.59599999999983</v>
      </c>
      <c r="FG98" s="13">
        <f t="shared" si="101"/>
        <v>73.393284775883487</v>
      </c>
      <c r="FH98" s="20">
        <f t="shared" si="76"/>
        <v>668.78133765133009</v>
      </c>
      <c r="FI98" s="59">
        <f t="shared" si="77"/>
        <v>962.11467098466346</v>
      </c>
      <c r="FJ98" s="59">
        <f ca="1">AVERAGE(OFFSET($FI$3,0,0,'Données projet'!$E$16+1,1))-AVERAGE(OFFSET($H$3,0,0,'Données projet'!$E$16+1,1))</f>
        <v>393.41577134252316</v>
      </c>
      <c r="FK98" s="59">
        <f t="shared" si="102"/>
        <v>255.54039659391475</v>
      </c>
      <c r="FL98" s="15">
        <f>IF(ISNA(VLOOKUP(A98,'Données projet'!$A$217:$I$237,3,0)),0,VLOOKUP(A98,'Données projet'!$A$217:$I$237,3,0))</f>
        <v>16</v>
      </c>
      <c r="FM98" s="15">
        <f>IF(ISNA(VLOOKUP(A98,'Données projet'!$A$217:$I$237,4,0)),0,VLOOKUP(A98,'Données projet'!$A$217:$I$237,4,0))</f>
        <v>17</v>
      </c>
      <c r="FN98" s="16">
        <f>IF(ISNA(VLOOKUP(A98,'Données projet'!$A$217:$I$237,5,0)),0%,VLOOKUP(A98,'Données projet'!$A$217:$I$237,5,0)*VLOOKUP('Données projet'!$B$16,Paramètres!$A$1:$I$89,7,0))</f>
        <v>0.45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79.494686901395468</v>
      </c>
      <c r="FR98" s="21">
        <f>EXP(-LN(2)/25)*FR97+(1-EXP(-LN(2)/25))/(LN(2)/25)*Calculateur!FM98*Calculateur!FO98*VLOOKUP('Données projet'!$B$16,Paramètres!$A$1:$I$89,3,0)*0.475*44/12</f>
        <v>4.4072155809759845</v>
      </c>
      <c r="FS98" s="21">
        <f>EXP(-LN(2)/2)*FS97+(1-EXP(-LN(2)/2))/(LN(2)/2)*FM98*FP98*VLOOKUP('Données projet'!$B$16,Paramètres!$A$1:$I$89,3,0)*0.475*44/12</f>
        <v>5.9976239999304144E-11</v>
      </c>
      <c r="FT98" s="22">
        <f t="shared" si="78"/>
        <v>83.901902482431424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853.00000000000011</v>
      </c>
      <c r="GA98" s="17">
        <f>FZ98*VLOOKUP('Données projet'!$B$17,Paramètres!$A$1:$I$89,3,0)*VLOOKUP('Données projet'!$B$17,Paramètres!$A$1:$I$89,5,0)</f>
        <v>399.20400000000006</v>
      </c>
      <c r="GB98" s="13">
        <f t="shared" si="103"/>
        <v>91.615269732888521</v>
      </c>
      <c r="GC98" s="20">
        <f t="shared" si="79"/>
        <v>854.8435614514475</v>
      </c>
      <c r="GD98" s="59">
        <f t="shared" si="80"/>
        <v>1148.1768947847809</v>
      </c>
      <c r="GE98" s="59">
        <f ca="1">AVERAGE(OFFSET($GD$3,0,0,'Données projet'!$E$17+1,1))-AVERAGE(OFFSET($H$3,0,0,'Données projet'!$E$17+1,1))</f>
        <v>488.67934252295686</v>
      </c>
      <c r="GF98" s="59">
        <f t="shared" si="104"/>
        <v>424.50324471331095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102.97385407382282</v>
      </c>
      <c r="GM98" s="21">
        <f>EXP(-LN(2)/25)*GM97+(1-EXP(-LN(2)/25))/(LN(2)/25)*Calculateur!GH98*Calculateur!GJ98*VLOOKUP('Données projet'!$B$17,Paramètres!$A$1:$I$89,3,0)*0.475*44/12</f>
        <v>8.0798952317893065</v>
      </c>
      <c r="GN98" s="21">
        <f>EXP(-LN(2)/2)*GN97+(1-EXP(-LN(2)/2))/(LN(2)/2)*GH98*GK98*VLOOKUP('Données projet'!$B$17,Paramètres!$A$1:$I$89,3,0)*0.475*44/12</f>
        <v>1.3358344363481373E-10</v>
      </c>
      <c r="GO98" s="21">
        <f t="shared" si="81"/>
        <v>111.05374930574571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789</v>
      </c>
      <c r="GV98" s="17">
        <f>GU98*VLOOKUP('Données projet'!$B$18,Paramètres!$A$1:$I$89,3,0)*VLOOKUP('Données projet'!$B$18,Paramètres!$A$1:$I$89,5,0)</f>
        <v>379.50900000000001</v>
      </c>
      <c r="GW98" s="13">
        <f t="shared" si="105"/>
        <v>87.609801106074272</v>
      </c>
      <c r="GX98" s="20">
        <f t="shared" si="82"/>
        <v>813.56524525974601</v>
      </c>
      <c r="GY98" s="59">
        <f t="shared" si="83"/>
        <v>1106.8985785930793</v>
      </c>
      <c r="GZ98" s="59">
        <f ca="1">AVERAGE(OFFSET($GY$3,0,0,'Données projet'!$E$18+1,1))-AVERAGE(OFFSET($H$3,0,0,'Données projet'!$E$18+1,1))</f>
        <v>458.80976193248841</v>
      </c>
      <c r="HA98" s="59">
        <f t="shared" si="106"/>
        <v>396.07405370178759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104.2690442035627</v>
      </c>
      <c r="HH98" s="21">
        <f>EXP(-LN(2)/25)*HH97+(1-EXP(-LN(2)/25))/(LN(2)/25)*Calculateur!HC98*Calculateur!HE98*VLOOKUP('Données projet'!$B$18,Paramètres!$A$1:$I$89,3,0)*0.475*44/12</f>
        <v>7.5493970600051679</v>
      </c>
      <c r="HI98" s="21">
        <f>EXP(-LN(2)/2)*HI97+(1-EXP(-LN(2)/2))/(LN(2)/2)*HC98*HF98*VLOOKUP('Données projet'!$B$18,Paramètres!$A$1:$I$89,3,0)*0.475*44/12</f>
        <v>6.1642246665951528E-11</v>
      </c>
      <c r="HJ98" s="22">
        <f t="shared" si="84"/>
        <v>111.81844126362951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237.78143999999983</v>
      </c>
      <c r="P99" s="13">
        <f t="shared" si="87"/>
        <v>57.9619387969109</v>
      </c>
      <c r="Q99" s="20">
        <f t="shared" ref="Q99:Q130" si="107">(O99+P99)*0.475*44/12</f>
        <v>515.08638473795281</v>
      </c>
      <c r="R99" s="59">
        <f t="shared" si="55"/>
        <v>808.41971807128607</v>
      </c>
      <c r="S99" s="59">
        <f ca="1">AVERAGE(OFFSET($R$3,0,0,'Données projet'!$E$9+1,1))-AVERAGE(OFFSET($H$3,0,0,'Données projet'!$E$9+1,1))</f>
        <v>364.3481978218424</v>
      </c>
      <c r="T99" s="59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68.000020473417706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68.000020473417706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636.99999999999977</v>
      </c>
      <c r="AJ99" s="13">
        <f>AI99*VLOOKUP('Données projet'!$B$10,Paramètres!$A$1:$I$89,3,0)*VLOOKUP('Données projet'!$B$10,Paramètres!$A$1:$I$89,5,0)</f>
        <v>356.08299999999991</v>
      </c>
      <c r="AK99" s="13">
        <f t="shared" si="89"/>
        <v>82.813805255716545</v>
      </c>
      <c r="AL99" s="20">
        <f t="shared" si="58"/>
        <v>764.41193582037283</v>
      </c>
      <c r="AM99" s="59">
        <f t="shared" si="59"/>
        <v>1057.7452691537062</v>
      </c>
      <c r="AN99" s="59">
        <f ca="1">AVERAGE(OFFSET($AM$3,0,0,'Données projet'!$E$10+1,1))-AVERAGE(OFFSET($H$3,0,0,'Données projet'!$E$10+1,1))</f>
        <v>443.34220761968419</v>
      </c>
      <c r="AO99" s="59">
        <f t="shared" si="90"/>
        <v>546.58234447298014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47.907091405382353</v>
      </c>
      <c r="AV99" s="21">
        <f>EXP(-LN(2)/25)*AV98+(1-EXP(-LN(2)/25))/(LN(2)/25)*Calculateur!AQ99*Calculateur!AS99*VLOOKUP('Données projet'!$B$10,Paramètres!$A$1:$I$89,3,0)*0.475*44/12</f>
        <v>3.5193630249120598</v>
      </c>
      <c r="AW99" s="21">
        <f>EXP(-LN(2)/2)*AW98+(1-EXP(-LN(2)/2))/(LN(2)/2)*AQ99*AT99*VLOOKUP('Données projet'!$B$10,Paramètres!$A$1:$I$89,3,0)*0.475*44/12</f>
        <v>7.033577236282033E-10</v>
      </c>
      <c r="AX99" s="21">
        <f t="shared" si="60"/>
        <v>51.426454430997772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7.2</v>
      </c>
      <c r="BD99" s="12">
        <f>IF('Données projet'!$A$88&gt;35,BD98+BC99-BL98,IF(A99&lt;'Données projet'!$A$88,$BA$205^A99,IF(A99='Données projet'!$A$88,'Données projet'!$B$88,BD98+BC99-BL98)))</f>
        <v>371.19999999999993</v>
      </c>
      <c r="BE99" s="13">
        <f>BD99*VLOOKUP('Données projet'!$B$11,Paramètres!$A$1:$I$89,3,0)*VLOOKUP('Données projet'!$B$11,Paramètres!$A$1:$I$89,5,0)</f>
        <v>318.48959999999994</v>
      </c>
      <c r="BF99" s="13">
        <f t="shared" si="91"/>
        <v>75.038999086150227</v>
      </c>
      <c r="BG99" s="20">
        <f t="shared" si="61"/>
        <v>685.39564340837808</v>
      </c>
      <c r="BH99" s="59">
        <f t="shared" si="62"/>
        <v>978.72897674171145</v>
      </c>
      <c r="BI99" s="59">
        <f ca="1">AVERAGE(OFFSET($BH$3,0,0,'Données projet'!$E$11+1,1))-AVERAGE(OFFSET($H$3,0,0,'Données projet'!$E$11+1,1))</f>
        <v>447.15627913956871</v>
      </c>
      <c r="BJ99" s="59">
        <f t="shared" si="92"/>
        <v>256.77417912163997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103.19610733264315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103.19610733264315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4.5999999999999996</v>
      </c>
      <c r="BY99" s="12">
        <f>IF('Données projet'!$A$114&gt;35,BY98+BX99-CG98,IF(A99&lt;'Données projet'!$A$114,$BV$205^A99,IF(A99='Données projet'!$A$114,'Données projet'!$B$114,BY98+BX99-CG98)))</f>
        <v>248.59999999999997</v>
      </c>
      <c r="BZ99" s="13">
        <f>BY99*VLOOKUP('Données projet'!$B$12,Paramètres!$A$1:$I$89,3,0)*VLOOKUP('Données projet'!$B$12,Paramètres!$A$1:$I$89,5,0)</f>
        <v>236.56775999999999</v>
      </c>
      <c r="CA99" s="13">
        <f t="shared" si="93"/>
        <v>57.700449394109818</v>
      </c>
      <c r="CB99" s="20">
        <f t="shared" si="64"/>
        <v>512.51713136140791</v>
      </c>
      <c r="CC99" s="59">
        <f t="shared" si="65"/>
        <v>805.85046469474128</v>
      </c>
      <c r="CD99" s="59">
        <f ca="1">AVERAGE(OFFSET($CC$3,0,0,'Données projet'!$E$12+1,1))-AVERAGE(OFFSET($H$3,0,0,'Données projet'!$E$12+1,1))</f>
        <v>448.94764480536713</v>
      </c>
      <c r="CE99" s="59">
        <f t="shared" si="94"/>
        <v>469.26760321719695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91.478587109483058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91.478587109483058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187.80389738728508</v>
      </c>
      <c r="CZ99" s="59">
        <f t="shared" si="96"/>
        <v>439.28159165815265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33.422972820663453</v>
      </c>
      <c r="DG99" s="21">
        <f>EXP(-LN(2)/25)*DG98+(1-EXP(-LN(2)/25))/(LN(2)/25)*Calculateur!DB99*Calculateur!DD99*VLOOKUP('Données projet'!$B$13,Paramètres!$A$1:$I$89,3,0)*0.475*44/12</f>
        <v>2.306526434417429</v>
      </c>
      <c r="DH99" s="21">
        <f>EXP(-LN(2)/2)*DH98+(1-EXP(-LN(2)/2))/(LN(2)/2)*DB99*DE99*VLOOKUP('Données projet'!$B$13,Paramètres!$A$1:$I$89,3,0)*0.475*44/12</f>
        <v>5.2342663987720027E-12</v>
      </c>
      <c r="DI99" s="22">
        <f t="shared" si="69"/>
        <v>35.729499255086118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255.00000000000006</v>
      </c>
      <c r="DP99" s="17">
        <f>DO99*VLOOKUP('Données projet'!$B$14,Paramètres!$A$1:$I$89,3,0)*VLOOKUP('Données projet'!$B$14,Paramètres!$A$1:$I$89,5,0)</f>
        <v>186.96600000000004</v>
      </c>
      <c r="DQ99" s="13">
        <f t="shared" si="97"/>
        <v>46.868551400324648</v>
      </c>
      <c r="DR99" s="20">
        <f t="shared" si="70"/>
        <v>407.26184368889881</v>
      </c>
      <c r="DS99" s="59">
        <f t="shared" si="71"/>
        <v>700.59517702223206</v>
      </c>
      <c r="DT99" s="59">
        <f ca="1">AVERAGE(OFFSET($DS$3,0,0,'Données projet'!$E$14+1,1))-AVERAGE(OFFSET($H$3,0,0,'Données projet'!$E$14+1,1))</f>
        <v>239.25212250019609</v>
      </c>
      <c r="DU99" s="59">
        <f t="shared" si="98"/>
        <v>213.58492101729695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689</v>
      </c>
      <c r="EK99" s="17">
        <f>EJ99*VLOOKUP('Données projet'!$B$15,Paramètres!$A$1:$I$89,3,0)*VLOOKUP('Données projet'!$B$15,Paramètres!$A$1:$I$89,5,0)</f>
        <v>412.02199999999999</v>
      </c>
      <c r="EL99" s="13">
        <f t="shared" si="99"/>
        <v>94.209724877926391</v>
      </c>
      <c r="EM99" s="20">
        <f t="shared" si="73"/>
        <v>881.686920829055</v>
      </c>
      <c r="EN99" s="59">
        <f t="shared" si="74"/>
        <v>1175.0202541623883</v>
      </c>
      <c r="EO99" s="59">
        <f ca="1">AVERAGE(OFFSET($EN$3,0,0,'Données projet'!$E$15+1,1))-AVERAGE(OFFSET($H$3,0,0,'Données projet'!$E$15+1,1))</f>
        <v>504.81063008331739</v>
      </c>
      <c r="EP99" s="59">
        <f t="shared" si="100"/>
        <v>441.82647565372287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71.292213320549806</v>
      </c>
      <c r="EW99" s="21">
        <f>EXP(-LN(2)/25)*EW98+(1-EXP(-LN(2)/25))/(LN(2)/25)*Calculateur!ER99*Calculateur!ET99*VLOOKUP('Données projet'!$B$15,Paramètres!$A$1:$I$89,3,0)*0.475*44/12</f>
        <v>9.4458920317143029</v>
      </c>
      <c r="EX99" s="21">
        <f>EXP(-LN(2)/2)*EX98+(1-EXP(-LN(2)/2))/(LN(2)/2)*ER99*EU99*VLOOKUP('Données projet'!$B$15,Paramètres!$A$1:$I$89,3,0)*0.475*44/12</f>
        <v>6.0960698484141249E-12</v>
      </c>
      <c r="EY99" s="22">
        <f t="shared" si="75"/>
        <v>80.73810535227021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6.2</v>
      </c>
      <c r="FE99" s="12">
        <f>IF('Données projet'!$A$218&gt;35,FE98+FD99-FM98,IF(A99&lt;'Données projet'!$A$218,$FB$205^A99,IF(A99='Données projet'!$A$218,'Données projet'!$B$218,FE98+FD99-FM98)))</f>
        <v>532.1999999999997</v>
      </c>
      <c r="FF99" s="17">
        <f>FE99*VLOOKUP('Données projet'!$B$16,Paramètres!$A$1:$I$89,3,0)*VLOOKUP('Données projet'!$B$16,Paramètres!$A$1:$I$89,5,0)</f>
        <v>304.41839999999985</v>
      </c>
      <c r="FG99" s="13">
        <f t="shared" si="101"/>
        <v>72.101940178903959</v>
      </c>
      <c r="FH99" s="20">
        <f t="shared" si="76"/>
        <v>655.77292581159065</v>
      </c>
      <c r="FI99" s="59">
        <f t="shared" si="77"/>
        <v>949.10625914492402</v>
      </c>
      <c r="FJ99" s="59">
        <f ca="1">AVERAGE(OFFSET($FI$3,0,0,'Données projet'!$E$16+1,1))-AVERAGE(OFFSET($H$3,0,0,'Données projet'!$E$16+1,1))</f>
        <v>393.41577134252316</v>
      </c>
      <c r="FK99" s="59">
        <f t="shared" si="102"/>
        <v>255.54039659391475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77.935844578230416</v>
      </c>
      <c r="FR99" s="21">
        <f>EXP(-LN(2)/25)*FR98+(1-EXP(-LN(2)/25))/(LN(2)/25)*Calculateur!FM99*Calculateur!FO99*VLOOKUP('Données projet'!$B$16,Paramètres!$A$1:$I$89,3,0)*0.475*44/12</f>
        <v>4.2867000391488013</v>
      </c>
      <c r="FS99" s="21">
        <f>EXP(-LN(2)/2)*FS98+(1-EXP(-LN(2)/2))/(LN(2)/2)*FM99*FP99*VLOOKUP('Données projet'!$B$16,Paramètres!$A$1:$I$89,3,0)*0.475*44/12</f>
        <v>4.2409606013579815E-11</v>
      </c>
      <c r="FT99" s="22">
        <f t="shared" si="78"/>
        <v>82.222544617421619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853.00000000000011</v>
      </c>
      <c r="GA99" s="17">
        <f>FZ99*VLOOKUP('Données projet'!$B$17,Paramètres!$A$1:$I$89,3,0)*VLOOKUP('Données projet'!$B$17,Paramètres!$A$1:$I$89,5,0)</f>
        <v>399.20400000000006</v>
      </c>
      <c r="GB99" s="13">
        <f t="shared" si="103"/>
        <v>91.615269732888521</v>
      </c>
      <c r="GC99" s="20">
        <f t="shared" si="79"/>
        <v>854.8435614514475</v>
      </c>
      <c r="GD99" s="59">
        <f t="shared" si="80"/>
        <v>1148.1768947847809</v>
      </c>
      <c r="GE99" s="59">
        <f ca="1">AVERAGE(OFFSET($GD$3,0,0,'Données projet'!$E$17+1,1))-AVERAGE(OFFSET($H$3,0,0,'Données projet'!$E$17+1,1))</f>
        <v>488.67934252295686</v>
      </c>
      <c r="GF99" s="59">
        <f t="shared" si="104"/>
        <v>424.50324471331095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100.95459960328438</v>
      </c>
      <c r="GM99" s="21">
        <f>EXP(-LN(2)/25)*GM98+(1-EXP(-LN(2)/25))/(LN(2)/25)*Calculateur!GH99*Calculateur!GJ99*VLOOKUP('Données projet'!$B$17,Paramètres!$A$1:$I$89,3,0)*0.475*44/12</f>
        <v>7.8589500717728047</v>
      </c>
      <c r="GN99" s="21">
        <f>EXP(-LN(2)/2)*GN98+(1-EXP(-LN(2)/2))/(LN(2)/2)*GH99*GK99*VLOOKUP('Données projet'!$B$17,Paramètres!$A$1:$I$89,3,0)*0.475*44/12</f>
        <v>9.4457758848427743E-11</v>
      </c>
      <c r="GO99" s="21">
        <f t="shared" si="81"/>
        <v>108.81354967515165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789</v>
      </c>
      <c r="GV99" s="17">
        <f>GU99*VLOOKUP('Données projet'!$B$18,Paramètres!$A$1:$I$89,3,0)*VLOOKUP('Données projet'!$B$18,Paramètres!$A$1:$I$89,5,0)</f>
        <v>379.50900000000001</v>
      </c>
      <c r="GW99" s="13">
        <f t="shared" si="105"/>
        <v>87.609801106074272</v>
      </c>
      <c r="GX99" s="20">
        <f t="shared" si="82"/>
        <v>813.56524525974601</v>
      </c>
      <c r="GY99" s="59">
        <f t="shared" si="83"/>
        <v>1106.8985785930793</v>
      </c>
      <c r="GZ99" s="59">
        <f ca="1">AVERAGE(OFFSET($GY$3,0,0,'Données projet'!$E$18+1,1))-AVERAGE(OFFSET($H$3,0,0,'Données projet'!$E$18+1,1))</f>
        <v>458.80976193248841</v>
      </c>
      <c r="HA99" s="59">
        <f t="shared" si="106"/>
        <v>396.07405370178759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102.22439184456803</v>
      </c>
      <c r="HH99" s="21">
        <f>EXP(-LN(2)/25)*HH98+(1-EXP(-LN(2)/25))/(LN(2)/25)*Calculateur!HC99*Calculateur!HE99*VLOOKUP('Données projet'!$B$18,Paramètres!$A$1:$I$89,3,0)*0.475*44/12</f>
        <v>7.3429584003937896</v>
      </c>
      <c r="HI99" s="21">
        <f>EXP(-LN(2)/2)*HI98+(1-EXP(-LN(2)/2))/(LN(2)/2)*HC99*HF99*VLOOKUP('Données projet'!$B$18,Paramètres!$A$1:$I$89,3,0)*0.475*44/12</f>
        <v>4.3587650625068176E-11</v>
      </c>
      <c r="HJ99" s="22">
        <f t="shared" si="84"/>
        <v>109.5673502450054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242.12447999999986</v>
      </c>
      <c r="P100" s="13">
        <f t="shared" si="87"/>
        <v>58.896387987806008</v>
      </c>
      <c r="Q100" s="20">
        <f t="shared" si="107"/>
        <v>524.27801174542856</v>
      </c>
      <c r="R100" s="59">
        <f t="shared" si="55"/>
        <v>817.61134507876181</v>
      </c>
      <c r="S100" s="59">
        <f ca="1">AVERAGE(OFFSET($R$3,0,0,'Données projet'!$E$9+1,1))-AVERAGE(OFFSET($H$3,0,0,'Données projet'!$E$9+1,1))</f>
        <v>364.3481978218424</v>
      </c>
      <c r="T100" s="59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66.666581547851067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66.666581547851067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636.99999999999977</v>
      </c>
      <c r="AJ100" s="13">
        <f>AI100*VLOOKUP('Données projet'!$B$10,Paramètres!$A$1:$I$89,3,0)*VLOOKUP('Données projet'!$B$10,Paramètres!$A$1:$I$89,5,0)</f>
        <v>356.08299999999991</v>
      </c>
      <c r="AK100" s="13">
        <f t="shared" si="89"/>
        <v>82.813805255716545</v>
      </c>
      <c r="AL100" s="20">
        <f t="shared" si="58"/>
        <v>764.41193582037283</v>
      </c>
      <c r="AM100" s="59">
        <f t="shared" si="59"/>
        <v>1057.7452691537062</v>
      </c>
      <c r="AN100" s="59">
        <f ca="1">AVERAGE(OFFSET($AM$3,0,0,'Données projet'!$E$10+1,1))-AVERAGE(OFFSET($H$3,0,0,'Données projet'!$E$10+1,1))</f>
        <v>443.34220761968419</v>
      </c>
      <c r="AO100" s="59">
        <f t="shared" si="90"/>
        <v>546.58234447298014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46.967662563363284</v>
      </c>
      <c r="AV100" s="21">
        <f>EXP(-LN(2)/25)*AV99+(1-EXP(-LN(2)/25))/(LN(2)/25)*Calculateur!AQ100*Calculateur!AS100*VLOOKUP('Données projet'!$B$10,Paramètres!$A$1:$I$89,3,0)*0.475*44/12</f>
        <v>3.4231258579205814</v>
      </c>
      <c r="AW100" s="21">
        <f>EXP(-LN(2)/2)*AW99+(1-EXP(-LN(2)/2))/(LN(2)/2)*AQ100*AT100*VLOOKUP('Données projet'!$B$10,Paramètres!$A$1:$I$89,3,0)*0.475*44/12</f>
        <v>4.9734901597743611E-10</v>
      </c>
      <c r="AX100" s="21">
        <f t="shared" si="60"/>
        <v>50.390788421781217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7.2</v>
      </c>
      <c r="BD100" s="12">
        <f>IF('Données projet'!$A$88&gt;35,BD99+BC100-BL99,IF(A100&lt;'Données projet'!$A$88,$BA$205^A100,IF(A100='Données projet'!$A$88,'Données projet'!$B$88,BD99+BC100-BL99)))</f>
        <v>378.39999999999992</v>
      </c>
      <c r="BE100" s="13">
        <f>BD100*VLOOKUP('Données projet'!$B$11,Paramètres!$A$1:$I$89,3,0)*VLOOKUP('Données projet'!$B$11,Paramètres!$A$1:$I$89,5,0)</f>
        <v>324.66719999999998</v>
      </c>
      <c r="BF100" s="13">
        <f t="shared" si="91"/>
        <v>76.323635512638404</v>
      </c>
      <c r="BG100" s="20">
        <f t="shared" si="61"/>
        <v>698.39237185117838</v>
      </c>
      <c r="BH100" s="59">
        <f t="shared" si="62"/>
        <v>991.72570518451175</v>
      </c>
      <c r="BI100" s="59">
        <f ca="1">AVERAGE(OFFSET($BH$3,0,0,'Données projet'!$E$11+1,1))-AVERAGE(OFFSET($H$3,0,0,'Données projet'!$E$11+1,1))</f>
        <v>447.15627913956871</v>
      </c>
      <c r="BJ100" s="59">
        <f t="shared" si="92"/>
        <v>256.77417912163997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101.17249461126035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101.17249461126035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4.5999999999999996</v>
      </c>
      <c r="BY100" s="12">
        <f>IF('Données projet'!$A$114&gt;35,BY99+BX100-CG99,IF(A100&lt;'Données projet'!$A$114,$BV$205^A100,IF(A100='Données projet'!$A$114,'Données projet'!$B$114,BY99+BX100-CG99)))</f>
        <v>253.19999999999996</v>
      </c>
      <c r="BZ100" s="13">
        <f>BY100*VLOOKUP('Données projet'!$B$12,Paramètres!$A$1:$I$89,3,0)*VLOOKUP('Données projet'!$B$12,Paramètres!$A$1:$I$89,5,0)</f>
        <v>240.94511999999997</v>
      </c>
      <c r="CA100" s="13">
        <f t="shared" si="93"/>
        <v>58.642831116957332</v>
      </c>
      <c r="CB100" s="20">
        <f t="shared" si="64"/>
        <v>521.78234819536726</v>
      </c>
      <c r="CC100" s="59">
        <f t="shared" si="65"/>
        <v>815.11568152870063</v>
      </c>
      <c r="CD100" s="59">
        <f ca="1">AVERAGE(OFFSET($CC$3,0,0,'Données projet'!$E$12+1,1))-AVERAGE(OFFSET($H$3,0,0,'Données projet'!$E$12+1,1))</f>
        <v>448.94764480536713</v>
      </c>
      <c r="CE100" s="59">
        <f t="shared" si="94"/>
        <v>469.26760321719695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89.684747812694795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89.684747812694795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187.80389738728508</v>
      </c>
      <c r="CZ100" s="59">
        <f t="shared" si="96"/>
        <v>439.28159165815265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32.76756870965071</v>
      </c>
      <c r="DG100" s="21">
        <f>EXP(-LN(2)/25)*DG99+(1-EXP(-LN(2)/25))/(LN(2)/25)*Calculateur!DB100*Calculateur!DD100*VLOOKUP('Données projet'!$B$13,Paramètres!$A$1:$I$89,3,0)*0.475*44/12</f>
        <v>2.2434543477733309</v>
      </c>
      <c r="DH100" s="21">
        <f>EXP(-LN(2)/2)*DH99+(1-EXP(-LN(2)/2))/(LN(2)/2)*DB100*DE100*VLOOKUP('Données projet'!$B$13,Paramètres!$A$1:$I$89,3,0)*0.475*44/12</f>
        <v>3.7011852651085726E-12</v>
      </c>
      <c r="DI100" s="22">
        <f t="shared" si="69"/>
        <v>35.011023057427742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255.00000000000006</v>
      </c>
      <c r="DP100" s="17">
        <f>DO100*VLOOKUP('Données projet'!$B$14,Paramètres!$A$1:$I$89,3,0)*VLOOKUP('Données projet'!$B$14,Paramètres!$A$1:$I$89,5,0)</f>
        <v>186.96600000000004</v>
      </c>
      <c r="DQ100" s="13">
        <f t="shared" si="97"/>
        <v>46.868551400324648</v>
      </c>
      <c r="DR100" s="20">
        <f t="shared" si="70"/>
        <v>407.26184368889881</v>
      </c>
      <c r="DS100" s="59">
        <f t="shared" si="71"/>
        <v>700.59517702223206</v>
      </c>
      <c r="DT100" s="59">
        <f ca="1">AVERAGE(OFFSET($DS$3,0,0,'Données projet'!$E$14+1,1))-AVERAGE(OFFSET($H$3,0,0,'Données projet'!$E$14+1,1))</f>
        <v>239.25212250019609</v>
      </c>
      <c r="DU100" s="59">
        <f t="shared" si="98"/>
        <v>213.58492101729695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689</v>
      </c>
      <c r="EK100" s="17">
        <f>EJ100*VLOOKUP('Données projet'!$B$15,Paramètres!$A$1:$I$89,3,0)*VLOOKUP('Données projet'!$B$15,Paramètres!$A$1:$I$89,5,0)</f>
        <v>412.02199999999999</v>
      </c>
      <c r="EL100" s="13">
        <f t="shared" si="99"/>
        <v>94.209724877926391</v>
      </c>
      <c r="EM100" s="20">
        <f t="shared" si="73"/>
        <v>881.686920829055</v>
      </c>
      <c r="EN100" s="59">
        <f t="shared" si="74"/>
        <v>1175.0202541623883</v>
      </c>
      <c r="EO100" s="59">
        <f ca="1">AVERAGE(OFFSET($EN$3,0,0,'Données projet'!$E$15+1,1))-AVERAGE(OFFSET($H$3,0,0,'Données projet'!$E$15+1,1))</f>
        <v>504.81063008331739</v>
      </c>
      <c r="EP100" s="59">
        <f t="shared" si="100"/>
        <v>441.82647565372287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69.894216501290259</v>
      </c>
      <c r="EW100" s="21">
        <f>EXP(-LN(2)/25)*EW99+(1-EXP(-LN(2)/25))/(LN(2)/25)*Calculateur!ER100*Calculateur!ET100*VLOOKUP('Données projet'!$B$15,Paramètres!$A$1:$I$89,3,0)*0.475*44/12</f>
        <v>9.1875936173692025</v>
      </c>
      <c r="EX100" s="21">
        <f>EXP(-LN(2)/2)*EX99+(1-EXP(-LN(2)/2))/(LN(2)/2)*ER100*EU100*VLOOKUP('Données projet'!$B$15,Paramètres!$A$1:$I$89,3,0)*0.475*44/12</f>
        <v>4.3105723284004765E-12</v>
      </c>
      <c r="EY100" s="22">
        <f t="shared" si="75"/>
        <v>79.081810118663768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6.2</v>
      </c>
      <c r="FE100" s="12">
        <f>IF('Données projet'!$A$218&gt;35,FE99+FD100-FM99,IF(A100&lt;'Données projet'!$A$218,$FB$205^A100,IF(A100='Données projet'!$A$218,'Données projet'!$B$218,FE99+FD100-FM99)))</f>
        <v>538.39999999999975</v>
      </c>
      <c r="FF100" s="17">
        <f>FE100*VLOOKUP('Données projet'!$B$16,Paramètres!$A$1:$I$89,3,0)*VLOOKUP('Données projet'!$B$16,Paramètres!$A$1:$I$89,5,0)</f>
        <v>307.96479999999985</v>
      </c>
      <c r="FG100" s="13">
        <f t="shared" si="101"/>
        <v>72.843636609422802</v>
      </c>
      <c r="FH100" s="20">
        <f t="shared" si="76"/>
        <v>663.24136042807777</v>
      </c>
      <c r="FI100" s="59">
        <f t="shared" si="77"/>
        <v>956.57469376141103</v>
      </c>
      <c r="FJ100" s="59">
        <f ca="1">AVERAGE(OFFSET($FI$3,0,0,'Données projet'!$E$16+1,1))-AVERAGE(OFFSET($H$3,0,0,'Données projet'!$E$16+1,1))</f>
        <v>393.41577134252316</v>
      </c>
      <c r="FK100" s="59">
        <f t="shared" si="102"/>
        <v>255.54039659391475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76.407570202222701</v>
      </c>
      <c r="FR100" s="21">
        <f>EXP(-LN(2)/25)*FR99+(1-EXP(-LN(2)/25))/(LN(2)/25)*Calculateur!FM100*Calculateur!FO100*VLOOKUP('Données projet'!$B$16,Paramètres!$A$1:$I$89,3,0)*0.475*44/12</f>
        <v>4.1694800011505198</v>
      </c>
      <c r="FS100" s="21">
        <f>EXP(-LN(2)/2)*FS99+(1-EXP(-LN(2)/2))/(LN(2)/2)*FM100*FP100*VLOOKUP('Données projet'!$B$16,Paramètres!$A$1:$I$89,3,0)*0.475*44/12</f>
        <v>2.9988119999652072E-11</v>
      </c>
      <c r="FT100" s="22">
        <f t="shared" si="78"/>
        <v>80.577050203403203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853.00000000000011</v>
      </c>
      <c r="GA100" s="17">
        <f>FZ100*VLOOKUP('Données projet'!$B$17,Paramètres!$A$1:$I$89,3,0)*VLOOKUP('Données projet'!$B$17,Paramètres!$A$1:$I$89,5,0)</f>
        <v>399.20400000000006</v>
      </c>
      <c r="GB100" s="13">
        <f t="shared" si="103"/>
        <v>91.615269732888521</v>
      </c>
      <c r="GC100" s="20">
        <f t="shared" si="79"/>
        <v>854.8435614514475</v>
      </c>
      <c r="GD100" s="59">
        <f t="shared" si="80"/>
        <v>1148.1768947847809</v>
      </c>
      <c r="GE100" s="59">
        <f ca="1">AVERAGE(OFFSET($GD$3,0,0,'Données projet'!$E$17+1,1))-AVERAGE(OFFSET($H$3,0,0,'Données projet'!$E$17+1,1))</f>
        <v>488.67934252295686</v>
      </c>
      <c r="GF100" s="59">
        <f t="shared" si="104"/>
        <v>424.50324471331095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98.974941481289576</v>
      </c>
      <c r="GM100" s="21">
        <f>EXP(-LN(2)/25)*GM99+(1-EXP(-LN(2)/25))/(LN(2)/25)*Calculateur!GH100*Calculateur!GJ100*VLOOKUP('Données projet'!$B$17,Paramètres!$A$1:$I$89,3,0)*0.475*44/12</f>
        <v>7.644046668775955</v>
      </c>
      <c r="GN100" s="21">
        <f>EXP(-LN(2)/2)*GN99+(1-EXP(-LN(2)/2))/(LN(2)/2)*GH100*GK100*VLOOKUP('Données projet'!$B$17,Paramètres!$A$1:$I$89,3,0)*0.475*44/12</f>
        <v>6.6791721817406867E-11</v>
      </c>
      <c r="GO100" s="21">
        <f t="shared" si="81"/>
        <v>106.61898815013232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789</v>
      </c>
      <c r="GV100" s="17">
        <f>GU100*VLOOKUP('Données projet'!$B$18,Paramètres!$A$1:$I$89,3,0)*VLOOKUP('Données projet'!$B$18,Paramètres!$A$1:$I$89,5,0)</f>
        <v>379.50900000000001</v>
      </c>
      <c r="GW100" s="13">
        <f t="shared" si="105"/>
        <v>87.609801106074272</v>
      </c>
      <c r="GX100" s="20">
        <f t="shared" si="82"/>
        <v>813.56524525974601</v>
      </c>
      <c r="GY100" s="59">
        <f t="shared" si="83"/>
        <v>1106.8985785930793</v>
      </c>
      <c r="GZ100" s="59">
        <f ca="1">AVERAGE(OFFSET($GY$3,0,0,'Données projet'!$E$18+1,1))-AVERAGE(OFFSET($H$3,0,0,'Données projet'!$E$18+1,1))</f>
        <v>458.80976193248841</v>
      </c>
      <c r="HA100" s="59">
        <f t="shared" si="106"/>
        <v>396.07405370178759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100.21983387121846</v>
      </c>
      <c r="HH100" s="21">
        <f>EXP(-LN(2)/25)*HH99+(1-EXP(-LN(2)/25))/(LN(2)/25)*Calculateur!HC100*Calculateur!HE100*VLOOKUP('Données projet'!$B$18,Paramètres!$A$1:$I$89,3,0)*0.475*44/12</f>
        <v>7.1421648167856215</v>
      </c>
      <c r="HI100" s="21">
        <f>EXP(-LN(2)/2)*HI99+(1-EXP(-LN(2)/2))/(LN(2)/2)*HC100*HF100*VLOOKUP('Données projet'!$B$18,Paramètres!$A$1:$I$89,3,0)*0.475*44/12</f>
        <v>3.0821123332975764E-11</v>
      </c>
      <c r="HJ100" s="22">
        <f t="shared" si="84"/>
        <v>107.3619986880349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246.46751999999987</v>
      </c>
      <c r="P101" s="13">
        <f t="shared" si="87"/>
        <v>59.828888074216977</v>
      </c>
      <c r="Q101" s="20">
        <f t="shared" si="107"/>
        <v>533.46624406259423</v>
      </c>
      <c r="R101" s="59">
        <f t="shared" si="55"/>
        <v>826.7995773959276</v>
      </c>
      <c r="S101" s="59">
        <f ca="1">AVERAGE(OFFSET($R$3,0,0,'Données projet'!$E$9+1,1))-AVERAGE(OFFSET($H$3,0,0,'Données projet'!$E$9+1,1))</f>
        <v>364.3481978218424</v>
      </c>
      <c r="T101" s="59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65.359290546297359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65.359290546297359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636.99999999999977</v>
      </c>
      <c r="AJ101" s="13">
        <f>AI101*VLOOKUP('Données projet'!$B$10,Paramètres!$A$1:$I$89,3,0)*VLOOKUP('Données projet'!$B$10,Paramètres!$A$1:$I$89,5,0)</f>
        <v>356.08299999999991</v>
      </c>
      <c r="AK101" s="13">
        <f t="shared" si="89"/>
        <v>82.813805255716545</v>
      </c>
      <c r="AL101" s="20">
        <f t="shared" si="58"/>
        <v>764.41193582037283</v>
      </c>
      <c r="AM101" s="59">
        <f t="shared" si="59"/>
        <v>1057.7452691537062</v>
      </c>
      <c r="AN101" s="59">
        <f ca="1">AVERAGE(OFFSET($AM$3,0,0,'Données projet'!$E$10+1,1))-AVERAGE(OFFSET($H$3,0,0,'Données projet'!$E$10+1,1))</f>
        <v>443.34220761968419</v>
      </c>
      <c r="AO101" s="59">
        <f t="shared" si="90"/>
        <v>546.58234447298014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46.04665534794119</v>
      </c>
      <c r="AV101" s="21">
        <f>EXP(-LN(2)/25)*AV100+(1-EXP(-LN(2)/25))/(LN(2)/25)*Calculateur!AQ101*Calculateur!AS101*VLOOKUP('Données projet'!$B$10,Paramètres!$A$1:$I$89,3,0)*0.475*44/12</f>
        <v>3.3295203013213781</v>
      </c>
      <c r="AW101" s="21">
        <f>EXP(-LN(2)/2)*AW100+(1-EXP(-LN(2)/2))/(LN(2)/2)*AQ101*AT101*VLOOKUP('Données projet'!$B$10,Paramètres!$A$1:$I$89,3,0)*0.475*44/12</f>
        <v>3.5167886181410165E-10</v>
      </c>
      <c r="AX101" s="21">
        <f t="shared" si="60"/>
        <v>49.376175649614247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7.2</v>
      </c>
      <c r="BD101" s="12">
        <f>IF('Données projet'!$A$88&gt;35,BD100+BC101-BL100,IF(A101&lt;'Données projet'!$A$88,$BA$205^A101,IF(A101='Données projet'!$A$88,'Données projet'!$B$88,BD100+BC101-BL100)))</f>
        <v>385.59999999999991</v>
      </c>
      <c r="BE101" s="13">
        <f>BD101*VLOOKUP('Données projet'!$B$11,Paramètres!$A$1:$I$89,3,0)*VLOOKUP('Données projet'!$B$11,Paramètres!$A$1:$I$89,5,0)</f>
        <v>330.84479999999996</v>
      </c>
      <c r="BF101" s="13">
        <f t="shared" si="91"/>
        <v>77.605429694617001</v>
      </c>
      <c r="BG101" s="20">
        <f t="shared" si="61"/>
        <v>711.38415005145782</v>
      </c>
      <c r="BH101" s="59">
        <f t="shared" si="62"/>
        <v>1004.7174833847912</v>
      </c>
      <c r="BI101" s="59">
        <f ca="1">AVERAGE(OFFSET($BH$3,0,0,'Données projet'!$E$11+1,1))-AVERAGE(OFFSET($H$3,0,0,'Données projet'!$E$11+1,1))</f>
        <v>447.15627913956871</v>
      </c>
      <c r="BJ101" s="59">
        <f t="shared" si="92"/>
        <v>256.77417912163997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99.18856370106198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99.18856370106198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4.5999999999999996</v>
      </c>
      <c r="BY101" s="12">
        <f>IF('Données projet'!$A$114&gt;35,BY100+BX101-CG100,IF(A101&lt;'Données projet'!$A$114,$BV$205^A101,IF(A101='Données projet'!$A$114,'Données projet'!$B$114,BY100+BX101-CG100)))</f>
        <v>257.79999999999995</v>
      </c>
      <c r="BZ101" s="13">
        <f>BY101*VLOOKUP('Données projet'!$B$12,Paramètres!$A$1:$I$89,3,0)*VLOOKUP('Données projet'!$B$12,Paramètres!$A$1:$I$89,5,0)</f>
        <v>245.32247999999998</v>
      </c>
      <c r="CA101" s="13">
        <f t="shared" si="93"/>
        <v>59.583221982635983</v>
      </c>
      <c r="CB101" s="20">
        <f t="shared" si="64"/>
        <v>531.04409761975751</v>
      </c>
      <c r="CC101" s="59">
        <f t="shared" si="65"/>
        <v>824.37743095309088</v>
      </c>
      <c r="CD101" s="59">
        <f ca="1">AVERAGE(OFFSET($CC$3,0,0,'Données projet'!$E$12+1,1))-AVERAGE(OFFSET($H$3,0,0,'Données projet'!$E$12+1,1))</f>
        <v>448.94764480536713</v>
      </c>
      <c r="CE101" s="59">
        <f t="shared" si="94"/>
        <v>469.26760321719695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87.926084610382617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87.926084610382617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187.80389738728508</v>
      </c>
      <c r="CZ101" s="59">
        <f t="shared" si="96"/>
        <v>439.28159165815265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32.125016673497896</v>
      </c>
      <c r="DG101" s="21">
        <f>EXP(-LN(2)/25)*DG100+(1-EXP(-LN(2)/25))/(LN(2)/25)*Calculateur!DB101*Calculateur!DD101*VLOOKUP('Données projet'!$B$13,Paramètres!$A$1:$I$89,3,0)*0.475*44/12</f>
        <v>2.1821069706553327</v>
      </c>
      <c r="DH101" s="21">
        <f>EXP(-LN(2)/2)*DH100+(1-EXP(-LN(2)/2))/(LN(2)/2)*DB101*DE101*VLOOKUP('Données projet'!$B$13,Paramètres!$A$1:$I$89,3,0)*0.475*44/12</f>
        <v>2.6171331993860014E-12</v>
      </c>
      <c r="DI101" s="22">
        <f t="shared" si="69"/>
        <v>34.307123644155844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255.00000000000006</v>
      </c>
      <c r="DP101" s="17">
        <f>DO101*VLOOKUP('Données projet'!$B$14,Paramètres!$A$1:$I$89,3,0)*VLOOKUP('Données projet'!$B$14,Paramètres!$A$1:$I$89,5,0)</f>
        <v>186.96600000000004</v>
      </c>
      <c r="DQ101" s="13">
        <f t="shared" si="97"/>
        <v>46.868551400324648</v>
      </c>
      <c r="DR101" s="20">
        <f t="shared" si="70"/>
        <v>407.26184368889881</v>
      </c>
      <c r="DS101" s="59">
        <f t="shared" si="71"/>
        <v>700.59517702223206</v>
      </c>
      <c r="DT101" s="59">
        <f ca="1">AVERAGE(OFFSET($DS$3,0,0,'Données projet'!$E$14+1,1))-AVERAGE(OFFSET($H$3,0,0,'Données projet'!$E$14+1,1))</f>
        <v>239.25212250019609</v>
      </c>
      <c r="DU101" s="59">
        <f t="shared" si="98"/>
        <v>213.58492101729695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689</v>
      </c>
      <c r="EK101" s="17">
        <f>EJ101*VLOOKUP('Données projet'!$B$15,Paramètres!$A$1:$I$89,3,0)*VLOOKUP('Données projet'!$B$15,Paramètres!$A$1:$I$89,5,0)</f>
        <v>412.02199999999999</v>
      </c>
      <c r="EL101" s="13">
        <f t="shared" si="99"/>
        <v>94.209724877926391</v>
      </c>
      <c r="EM101" s="20">
        <f t="shared" si="73"/>
        <v>881.686920829055</v>
      </c>
      <c r="EN101" s="59">
        <f t="shared" si="74"/>
        <v>1175.0202541623883</v>
      </c>
      <c r="EO101" s="59">
        <f ca="1">AVERAGE(OFFSET($EN$3,0,0,'Données projet'!$E$15+1,1))-AVERAGE(OFFSET($H$3,0,0,'Données projet'!$E$15+1,1))</f>
        <v>504.81063008331739</v>
      </c>
      <c r="EP101" s="59">
        <f t="shared" si="100"/>
        <v>441.82647565372287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68.523633546962529</v>
      </c>
      <c r="EW101" s="21">
        <f>EXP(-LN(2)/25)*EW100+(1-EXP(-LN(2)/25))/(LN(2)/25)*Calculateur!ER101*Calculateur!ET101*VLOOKUP('Données projet'!$B$15,Paramètres!$A$1:$I$89,3,0)*0.475*44/12</f>
        <v>8.9363583867476919</v>
      </c>
      <c r="EX101" s="21">
        <f>EXP(-LN(2)/2)*EX100+(1-EXP(-LN(2)/2))/(LN(2)/2)*ER101*EU101*VLOOKUP('Données projet'!$B$15,Paramètres!$A$1:$I$89,3,0)*0.475*44/12</f>
        <v>3.0480349242070625E-12</v>
      </c>
      <c r="EY101" s="22">
        <f t="shared" si="75"/>
        <v>77.459991933713269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6.2</v>
      </c>
      <c r="FE101" s="12">
        <f>IF('Données projet'!$A$218&gt;35,FE100+FD101-FM100,IF(A101&lt;'Données projet'!$A$218,$FB$205^A101,IF(A101='Données projet'!$A$218,'Données projet'!$B$218,FE100+FD101-FM100)))</f>
        <v>544.5999999999998</v>
      </c>
      <c r="FF101" s="17">
        <f>FE101*VLOOKUP('Données projet'!$B$16,Paramètres!$A$1:$I$89,3,0)*VLOOKUP('Données projet'!$B$16,Paramètres!$A$1:$I$89,5,0)</f>
        <v>311.51119999999992</v>
      </c>
      <c r="FG101" s="13">
        <f t="shared" si="101"/>
        <v>73.584339500932884</v>
      </c>
      <c r="FH101" s="20">
        <f t="shared" si="76"/>
        <v>670.70806463079123</v>
      </c>
      <c r="FI101" s="59">
        <f t="shared" si="77"/>
        <v>964.0413979641246</v>
      </c>
      <c r="FJ101" s="59">
        <f ca="1">AVERAGE(OFFSET($FI$3,0,0,'Données projet'!$E$16+1,1))-AVERAGE(OFFSET($H$3,0,0,'Données projet'!$E$16+1,1))</f>
        <v>393.41577134252316</v>
      </c>
      <c r="FK101" s="59">
        <f t="shared" si="102"/>
        <v>255.54039659391475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74.909264354573168</v>
      </c>
      <c r="FR101" s="21">
        <f>EXP(-LN(2)/25)*FR100+(1-EXP(-LN(2)/25))/(LN(2)/25)*Calculateur!FM101*Calculateur!FO101*VLOOKUP('Données projet'!$B$16,Paramètres!$A$1:$I$89,3,0)*0.475*44/12</f>
        <v>4.0554653512556351</v>
      </c>
      <c r="FS101" s="21">
        <f>EXP(-LN(2)/2)*FS100+(1-EXP(-LN(2)/2))/(LN(2)/2)*FM101*FP101*VLOOKUP('Données projet'!$B$16,Paramètres!$A$1:$I$89,3,0)*0.475*44/12</f>
        <v>2.1204803006789908E-11</v>
      </c>
      <c r="FT101" s="22">
        <f t="shared" si="78"/>
        <v>78.964729705850004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853.00000000000011</v>
      </c>
      <c r="GA101" s="17">
        <f>FZ101*VLOOKUP('Données projet'!$B$17,Paramètres!$A$1:$I$89,3,0)*VLOOKUP('Données projet'!$B$17,Paramètres!$A$1:$I$89,5,0)</f>
        <v>399.20400000000006</v>
      </c>
      <c r="GB101" s="13">
        <f t="shared" si="103"/>
        <v>91.615269732888521</v>
      </c>
      <c r="GC101" s="20">
        <f t="shared" si="79"/>
        <v>854.8435614514475</v>
      </c>
      <c r="GD101" s="59">
        <f t="shared" si="80"/>
        <v>1148.1768947847809</v>
      </c>
      <c r="GE101" s="59">
        <f ca="1">AVERAGE(OFFSET($GD$3,0,0,'Données projet'!$E$17+1,1))-AVERAGE(OFFSET($H$3,0,0,'Données projet'!$E$17+1,1))</f>
        <v>488.67934252295686</v>
      </c>
      <c r="GF101" s="59">
        <f t="shared" si="104"/>
        <v>424.50324471331095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97.034103247594871</v>
      </c>
      <c r="GM101" s="21">
        <f>EXP(-LN(2)/25)*GM100+(1-EXP(-LN(2)/25))/(LN(2)/25)*Calculateur!GH101*Calculateur!GJ101*VLOOKUP('Données projet'!$B$17,Paramètres!$A$1:$I$89,3,0)*0.475*44/12</f>
        <v>7.4350198106353327</v>
      </c>
      <c r="GN101" s="21">
        <f>EXP(-LN(2)/2)*GN100+(1-EXP(-LN(2)/2))/(LN(2)/2)*GH101*GK101*VLOOKUP('Données projet'!$B$17,Paramètres!$A$1:$I$89,3,0)*0.475*44/12</f>
        <v>4.7228879424213871E-11</v>
      </c>
      <c r="GO101" s="21">
        <f t="shared" si="81"/>
        <v>104.46912305827743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789</v>
      </c>
      <c r="GV101" s="17">
        <f>GU101*VLOOKUP('Données projet'!$B$18,Paramètres!$A$1:$I$89,3,0)*VLOOKUP('Données projet'!$B$18,Paramètres!$A$1:$I$89,5,0)</f>
        <v>379.50900000000001</v>
      </c>
      <c r="GW101" s="13">
        <f t="shared" si="105"/>
        <v>87.609801106074272</v>
      </c>
      <c r="GX101" s="20">
        <f t="shared" si="82"/>
        <v>813.56524525974601</v>
      </c>
      <c r="GY101" s="59">
        <f t="shared" si="83"/>
        <v>1106.8985785930793</v>
      </c>
      <c r="GZ101" s="59">
        <f ca="1">AVERAGE(OFFSET($GY$3,0,0,'Données projet'!$E$18+1,1))-AVERAGE(OFFSET($H$3,0,0,'Données projet'!$E$18+1,1))</f>
        <v>458.80976193248841</v>
      </c>
      <c r="HA101" s="59">
        <f t="shared" si="106"/>
        <v>396.07405370178759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98.254584057066623</v>
      </c>
      <c r="HH101" s="21">
        <f>EXP(-LN(2)/25)*HH100+(1-EXP(-LN(2)/25))/(LN(2)/25)*Calculateur!HC101*Calculateur!HE101*VLOOKUP('Données projet'!$B$18,Paramètres!$A$1:$I$89,3,0)*0.475*44/12</f>
        <v>6.9468619442804949</v>
      </c>
      <c r="HI101" s="21">
        <f>EXP(-LN(2)/2)*HI100+(1-EXP(-LN(2)/2))/(LN(2)/2)*HC101*HF101*VLOOKUP('Données projet'!$B$18,Paramètres!$A$1:$I$89,3,0)*0.475*44/12</f>
        <v>2.1793825312534088E-11</v>
      </c>
      <c r="HJ101" s="22">
        <f t="shared" si="84"/>
        <v>105.20144600136892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250.8105599999999</v>
      </c>
      <c r="P102" s="13">
        <f t="shared" si="87"/>
        <v>60.75947736410869</v>
      </c>
      <c r="Q102" s="20">
        <f t="shared" si="107"/>
        <v>542.65114840915578</v>
      </c>
      <c r="R102" s="59">
        <f t="shared" si="55"/>
        <v>835.98448174248915</v>
      </c>
      <c r="S102" s="59">
        <f ca="1">AVERAGE(OFFSET($R$3,0,0,'Données projet'!$E$9+1,1))-AVERAGE(OFFSET($H$3,0,0,'Données projet'!$E$9+1,1))</f>
        <v>364.3481978218424</v>
      </c>
      <c r="T102" s="59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64.077634723915338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64.077634723915338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636.99999999999977</v>
      </c>
      <c r="AJ102" s="13">
        <f>AI102*VLOOKUP('Données projet'!$B$10,Paramètres!$A$1:$I$89,3,0)*VLOOKUP('Données projet'!$B$10,Paramètres!$A$1:$I$89,5,0)</f>
        <v>356.08299999999991</v>
      </c>
      <c r="AK102" s="13">
        <f t="shared" si="89"/>
        <v>82.813805255716545</v>
      </c>
      <c r="AL102" s="20">
        <f t="shared" si="58"/>
        <v>764.41193582037283</v>
      </c>
      <c r="AM102" s="59">
        <f t="shared" si="59"/>
        <v>1057.7452691537062</v>
      </c>
      <c r="AN102" s="59">
        <f ca="1">AVERAGE(OFFSET($AM$3,0,0,'Données projet'!$E$10+1,1))-AVERAGE(OFFSET($H$3,0,0,'Données projet'!$E$10+1,1))</f>
        <v>443.34220761968419</v>
      </c>
      <c r="AO102" s="59">
        <f t="shared" si="90"/>
        <v>546.58234447298014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45.143708522254592</v>
      </c>
      <c r="AV102" s="21">
        <f>EXP(-LN(2)/25)*AV101+(1-EXP(-LN(2)/25))/(LN(2)/25)*Calculateur!AQ102*Calculateur!AS102*VLOOKUP('Données projet'!$B$10,Paramètres!$A$1:$I$89,3,0)*0.475*44/12</f>
        <v>3.2384743935898821</v>
      </c>
      <c r="AW102" s="21">
        <f>EXP(-LN(2)/2)*AW101+(1-EXP(-LN(2)/2))/(LN(2)/2)*AQ102*AT102*VLOOKUP('Données projet'!$B$10,Paramètres!$A$1:$I$89,3,0)*0.475*44/12</f>
        <v>2.4867450798871805E-10</v>
      </c>
      <c r="AX102" s="21">
        <f t="shared" si="60"/>
        <v>48.38218291609315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7.2</v>
      </c>
      <c r="BD102" s="12">
        <f>IF('Données projet'!$A$88&gt;35,BD101+BC102-BL101,IF(A102&lt;'Données projet'!$A$88,$BA$205^A102,IF(A102='Données projet'!$A$88,'Données projet'!$B$88,BD101+BC102-BL101)))</f>
        <v>392.7999999999999</v>
      </c>
      <c r="BE102" s="13">
        <f>BD102*VLOOKUP('Données projet'!$B$11,Paramètres!$A$1:$I$89,3,0)*VLOOKUP('Données projet'!$B$11,Paramètres!$A$1:$I$89,5,0)</f>
        <v>337.02239999999995</v>
      </c>
      <c r="BF102" s="13">
        <f t="shared" si="91"/>
        <v>78.884440823098231</v>
      </c>
      <c r="BG102" s="20">
        <f t="shared" si="61"/>
        <v>724.37108110022928</v>
      </c>
      <c r="BH102" s="59">
        <f t="shared" si="62"/>
        <v>1017.7044144335625</v>
      </c>
      <c r="BI102" s="59">
        <f ca="1">AVERAGE(OFFSET($BH$3,0,0,'Données projet'!$E$11+1,1))-AVERAGE(OFFSET($H$3,0,0,'Données projet'!$E$11+1,1))</f>
        <v>447.15627913956871</v>
      </c>
      <c r="BJ102" s="59">
        <f t="shared" si="92"/>
        <v>256.77417912163997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97.243536465934227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97.243536465934227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4.5999999999999996</v>
      </c>
      <c r="BY102" s="12">
        <f>IF('Données projet'!$A$114&gt;35,BY101+BX102-CG101,IF(A102&lt;'Données projet'!$A$114,$BV$205^A102,IF(A102='Données projet'!$A$114,'Données projet'!$B$114,BY101+BX102-CG101)))</f>
        <v>262.39999999999998</v>
      </c>
      <c r="BZ102" s="13">
        <f>BY102*VLOOKUP('Données projet'!$B$12,Paramètres!$A$1:$I$89,3,0)*VLOOKUP('Données projet'!$B$12,Paramètres!$A$1:$I$89,5,0)</f>
        <v>249.69983999999999</v>
      </c>
      <c r="CA102" s="13">
        <f t="shared" si="93"/>
        <v>60.521661612597903</v>
      </c>
      <c r="CB102" s="20">
        <f t="shared" si="64"/>
        <v>540.30244864194128</v>
      </c>
      <c r="CC102" s="59">
        <f t="shared" si="65"/>
        <v>833.63578197527454</v>
      </c>
      <c r="CD102" s="59">
        <f ca="1">AVERAGE(OFFSET($CC$3,0,0,'Données projet'!$E$12+1,1))-AVERAGE(OFFSET($H$3,0,0,'Données projet'!$E$12+1,1))</f>
        <v>448.94764480536713</v>
      </c>
      <c r="CE102" s="59">
        <f t="shared" si="94"/>
        <v>469.26760321719695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86.201907720789137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86.201907720789137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187.80389738728508</v>
      </c>
      <c r="CZ102" s="59">
        <f t="shared" si="96"/>
        <v>439.28159165815265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31.495064690855994</v>
      </c>
      <c r="DG102" s="21">
        <f>EXP(-LN(2)/25)*DG101+(1-EXP(-LN(2)/25))/(LN(2)/25)*Calculateur!DB102*Calculateur!DD102*VLOOKUP('Données projet'!$B$13,Paramètres!$A$1:$I$89,3,0)*0.475*44/12</f>
        <v>2.1224371407907441</v>
      </c>
      <c r="DH102" s="21">
        <f>EXP(-LN(2)/2)*DH101+(1-EXP(-LN(2)/2))/(LN(2)/2)*DB102*DE102*VLOOKUP('Données projet'!$B$13,Paramètres!$A$1:$I$89,3,0)*0.475*44/12</f>
        <v>1.8505926325542863E-12</v>
      </c>
      <c r="DI102" s="22">
        <f t="shared" si="69"/>
        <v>33.617501831648582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255.00000000000006</v>
      </c>
      <c r="DP102" s="17">
        <f>DO102*VLOOKUP('Données projet'!$B$14,Paramètres!$A$1:$I$89,3,0)*VLOOKUP('Données projet'!$B$14,Paramètres!$A$1:$I$89,5,0)</f>
        <v>186.96600000000004</v>
      </c>
      <c r="DQ102" s="13">
        <f t="shared" si="97"/>
        <v>46.868551400324648</v>
      </c>
      <c r="DR102" s="20">
        <f t="shared" si="70"/>
        <v>407.26184368889881</v>
      </c>
      <c r="DS102" s="59">
        <f t="shared" si="71"/>
        <v>700.59517702223206</v>
      </c>
      <c r="DT102" s="59">
        <f ca="1">AVERAGE(OFFSET($DS$3,0,0,'Données projet'!$E$14+1,1))-AVERAGE(OFFSET($H$3,0,0,'Données projet'!$E$14+1,1))</f>
        <v>239.25212250019609</v>
      </c>
      <c r="DU102" s="59">
        <f t="shared" si="98"/>
        <v>213.58492101729695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689</v>
      </c>
      <c r="EK102" s="17">
        <f>EJ102*VLOOKUP('Données projet'!$B$15,Paramètres!$A$1:$I$89,3,0)*VLOOKUP('Données projet'!$B$15,Paramètres!$A$1:$I$89,5,0)</f>
        <v>412.02199999999999</v>
      </c>
      <c r="EL102" s="13">
        <f t="shared" si="99"/>
        <v>94.209724877926391</v>
      </c>
      <c r="EM102" s="20">
        <f t="shared" si="73"/>
        <v>881.686920829055</v>
      </c>
      <c r="EN102" s="59">
        <f t="shared" si="74"/>
        <v>1175.0202541623883</v>
      </c>
      <c r="EO102" s="59">
        <f ca="1">AVERAGE(OFFSET($EN$3,0,0,'Données projet'!$E$15+1,1))-AVERAGE(OFFSET($H$3,0,0,'Données projet'!$E$15+1,1))</f>
        <v>504.81063008331739</v>
      </c>
      <c r="EP102" s="59">
        <f t="shared" si="100"/>
        <v>441.82647565372287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67.17992688839611</v>
      </c>
      <c r="EW102" s="21">
        <f>EXP(-LN(2)/25)*EW101+(1-EXP(-LN(2)/25))/(LN(2)/25)*Calculateur!ER102*Calculateur!ET102*VLOOKUP('Données projet'!$B$15,Paramètres!$A$1:$I$89,3,0)*0.475*44/12</f>
        <v>8.6919931967194124</v>
      </c>
      <c r="EX102" s="21">
        <f>EXP(-LN(2)/2)*EX101+(1-EXP(-LN(2)/2))/(LN(2)/2)*ER102*EU102*VLOOKUP('Données projet'!$B$15,Paramètres!$A$1:$I$89,3,0)*0.475*44/12</f>
        <v>2.1552861642002382E-12</v>
      </c>
      <c r="EY102" s="22">
        <f t="shared" si="75"/>
        <v>75.871920085117679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6.2</v>
      </c>
      <c r="FE102" s="12">
        <f>IF('Données projet'!$A$218&gt;35,FE101+FD102-FM101,IF(A102&lt;'Données projet'!$A$218,$FB$205^A102,IF(A102='Données projet'!$A$218,'Données projet'!$B$218,FE101+FD102-FM101)))</f>
        <v>550.79999999999984</v>
      </c>
      <c r="FF102" s="17">
        <f>FE102*VLOOKUP('Données projet'!$B$16,Paramètres!$A$1:$I$89,3,0)*VLOOKUP('Données projet'!$B$16,Paramètres!$A$1:$I$89,5,0)</f>
        <v>315.05759999999992</v>
      </c>
      <c r="FG102" s="13">
        <f t="shared" si="101"/>
        <v>74.324061473160583</v>
      </c>
      <c r="FH102" s="20">
        <f t="shared" si="76"/>
        <v>678.17306039908783</v>
      </c>
      <c r="FI102" s="59">
        <f t="shared" si="77"/>
        <v>971.5063937324212</v>
      </c>
      <c r="FJ102" s="59">
        <f ca="1">AVERAGE(OFFSET($FI$3,0,0,'Données projet'!$E$16+1,1))-AVERAGE(OFFSET($H$3,0,0,'Données projet'!$E$16+1,1))</f>
        <v>393.41577134252316</v>
      </c>
      <c r="FK102" s="59">
        <f t="shared" si="102"/>
        <v>255.54039659391475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73.440339370719713</v>
      </c>
      <c r="FR102" s="21">
        <f>EXP(-LN(2)/25)*FR101+(1-EXP(-LN(2)/25))/(LN(2)/25)*Calculateur!FM102*Calculateur!FO102*VLOOKUP('Données projet'!$B$16,Paramètres!$A$1:$I$89,3,0)*0.475*44/12</f>
        <v>3.944568437957896</v>
      </c>
      <c r="FS102" s="21">
        <f>EXP(-LN(2)/2)*FS101+(1-EXP(-LN(2)/2))/(LN(2)/2)*FM102*FP102*VLOOKUP('Données projet'!$B$16,Paramètres!$A$1:$I$89,3,0)*0.475*44/12</f>
        <v>1.4994059999826036E-11</v>
      </c>
      <c r="FT102" s="22">
        <f t="shared" si="78"/>
        <v>77.384907808692603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853.00000000000011</v>
      </c>
      <c r="GA102" s="17">
        <f>FZ102*VLOOKUP('Données projet'!$B$17,Paramètres!$A$1:$I$89,3,0)*VLOOKUP('Données projet'!$B$17,Paramètres!$A$1:$I$89,5,0)</f>
        <v>399.20400000000006</v>
      </c>
      <c r="GB102" s="13">
        <f t="shared" si="103"/>
        <v>91.615269732888521</v>
      </c>
      <c r="GC102" s="20">
        <f t="shared" si="79"/>
        <v>854.8435614514475</v>
      </c>
      <c r="GD102" s="59">
        <f t="shared" si="80"/>
        <v>1148.1768947847809</v>
      </c>
      <c r="GE102" s="59">
        <f ca="1">AVERAGE(OFFSET($GD$3,0,0,'Données projet'!$E$17+1,1))-AVERAGE(OFFSET($H$3,0,0,'Données projet'!$E$17+1,1))</f>
        <v>488.67934252295686</v>
      </c>
      <c r="GF102" s="59">
        <f t="shared" si="104"/>
        <v>424.50324471331095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95.131323667868486</v>
      </c>
      <c r="GM102" s="21">
        <f>EXP(-LN(2)/25)*GM101+(1-EXP(-LN(2)/25))/(LN(2)/25)*Calculateur!GH102*Calculateur!GJ102*VLOOKUP('Données projet'!$B$17,Paramètres!$A$1:$I$89,3,0)*0.475*44/12</f>
        <v>7.2317088029228103</v>
      </c>
      <c r="GN102" s="21">
        <f>EXP(-LN(2)/2)*GN101+(1-EXP(-LN(2)/2))/(LN(2)/2)*GH102*GK102*VLOOKUP('Données projet'!$B$17,Paramètres!$A$1:$I$89,3,0)*0.475*44/12</f>
        <v>3.3395860908703434E-11</v>
      </c>
      <c r="GO102" s="21">
        <f t="shared" si="81"/>
        <v>102.36303247082469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789</v>
      </c>
      <c r="GV102" s="17">
        <f>GU102*VLOOKUP('Données projet'!$B$18,Paramètres!$A$1:$I$89,3,0)*VLOOKUP('Données projet'!$B$18,Paramètres!$A$1:$I$89,5,0)</f>
        <v>379.50900000000001</v>
      </c>
      <c r="GW102" s="13">
        <f t="shared" si="105"/>
        <v>87.609801106074272</v>
      </c>
      <c r="GX102" s="20">
        <f t="shared" si="82"/>
        <v>813.56524525974601</v>
      </c>
      <c r="GY102" s="59">
        <f t="shared" si="83"/>
        <v>1106.8985785930793</v>
      </c>
      <c r="GZ102" s="59">
        <f ca="1">AVERAGE(OFFSET($GY$3,0,0,'Données projet'!$E$18+1,1))-AVERAGE(OFFSET($H$3,0,0,'Données projet'!$E$18+1,1))</f>
        <v>458.80976193248841</v>
      </c>
      <c r="HA102" s="59">
        <f t="shared" si="106"/>
        <v>396.07405370178759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96.327871593086286</v>
      </c>
      <c r="HH102" s="21">
        <f>EXP(-LN(2)/25)*HH101+(1-EXP(-LN(2)/25))/(LN(2)/25)*Calculateur!HC102*Calculateur!HE102*VLOOKUP('Données projet'!$B$18,Paramètres!$A$1:$I$89,3,0)*0.475*44/12</f>
        <v>6.7568996390945522</v>
      </c>
      <c r="HI102" s="21">
        <f>EXP(-LN(2)/2)*HI101+(1-EXP(-LN(2)/2))/(LN(2)/2)*HC102*HF102*VLOOKUP('Données projet'!$B$18,Paramètres!$A$1:$I$89,3,0)*0.475*44/12</f>
        <v>1.5410561666487882E-11</v>
      </c>
      <c r="HJ102" s="22">
        <f t="shared" si="84"/>
        <v>103.08477123219625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255.15359999999987</v>
      </c>
      <c r="P103" s="13">
        <f t="shared" si="87"/>
        <v>61.688192762754376</v>
      </c>
      <c r="Q103" s="20">
        <f t="shared" si="107"/>
        <v>551.83278906179692</v>
      </c>
      <c r="R103" s="59">
        <f t="shared" si="55"/>
        <v>845.16612239513029</v>
      </c>
      <c r="S103" s="59">
        <f ca="1">AVERAGE(OFFSET($R$3,0,0,'Données projet'!$E$9+1,1))-AVERAGE(OFFSET($H$3,0,0,'Données projet'!$E$9+1,1))</f>
        <v>364.3481978218424</v>
      </c>
      <c r="T103" s="59">
        <f t="shared" si="88"/>
        <v>231.36959598460686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71.853184673072121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71.853184673072121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636.99999999999977</v>
      </c>
      <c r="AJ103" s="13">
        <f>AI103*VLOOKUP('Données projet'!$B$10,Paramètres!$A$1:$I$89,3,0)*VLOOKUP('Données projet'!$B$10,Paramètres!$A$1:$I$89,5,0)</f>
        <v>356.08299999999991</v>
      </c>
      <c r="AK103" s="13">
        <f t="shared" si="89"/>
        <v>82.813805255716545</v>
      </c>
      <c r="AL103" s="20">
        <f t="shared" si="58"/>
        <v>764.41193582037283</v>
      </c>
      <c r="AM103" s="59">
        <f t="shared" si="59"/>
        <v>1057.7452691537062</v>
      </c>
      <c r="AN103" s="59">
        <f ca="1">AVERAGE(OFFSET($AM$3,0,0,'Données projet'!$E$10+1,1))-AVERAGE(OFFSET($H$3,0,0,'Données projet'!$E$10+1,1))</f>
        <v>443.34220761968419</v>
      </c>
      <c r="AO103" s="59">
        <f t="shared" si="90"/>
        <v>546.58234447298014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44.258467933076531</v>
      </c>
      <c r="AV103" s="21">
        <f>EXP(-LN(2)/25)*AV102+(1-EXP(-LN(2)/25))/(LN(2)/25)*Calculateur!AQ103*Calculateur!AS103*VLOOKUP('Données projet'!$B$10,Paramètres!$A$1:$I$89,3,0)*0.475*44/12</f>
        <v>3.1499181409932002</v>
      </c>
      <c r="AW103" s="21">
        <f>EXP(-LN(2)/2)*AW102+(1-EXP(-LN(2)/2))/(LN(2)/2)*AQ103*AT103*VLOOKUP('Données projet'!$B$10,Paramètres!$A$1:$I$89,3,0)*0.475*44/12</f>
        <v>1.7583943090705082E-10</v>
      </c>
      <c r="AX103" s="21">
        <f t="shared" si="60"/>
        <v>47.40838607424557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400</v>
      </c>
      <c r="BB103" s="12">
        <f>VLOOKUP(A103,'Données projet'!$A$87:$I$107,9,0)</f>
        <v>7.2</v>
      </c>
      <c r="BC103" s="12">
        <f t="array" ref="BC103">INDEX(BB:BB,MIN(IF(ISNUMBER(BB103:BB299),ROW(BB103:BB299),"")))</f>
        <v>7.2</v>
      </c>
      <c r="BD103" s="12">
        <f>IF('Données projet'!$A$88&gt;35,BD102+BC103-BL102,IF(A103&lt;'Données projet'!$A$88,$BA$205^A103,IF(A103='Données projet'!$A$88,'Données projet'!$B$88,BD102+BC103-BL102)))</f>
        <v>399.99999999999989</v>
      </c>
      <c r="BE103" s="13">
        <f>BD103*VLOOKUP('Données projet'!$B$11,Paramètres!$A$1:$I$89,3,0)*VLOOKUP('Données projet'!$B$11,Paramètres!$A$1:$I$89,5,0)</f>
        <v>343.19999999999993</v>
      </c>
      <c r="BF103" s="13">
        <f t="shared" si="91"/>
        <v>80.160725794932105</v>
      </c>
      <c r="BG103" s="20">
        <f t="shared" si="61"/>
        <v>737.35326409283982</v>
      </c>
      <c r="BH103" s="59">
        <f t="shared" si="62"/>
        <v>1030.6865974261732</v>
      </c>
      <c r="BI103" s="59">
        <f ca="1">AVERAGE(OFFSET($BH$3,0,0,'Données projet'!$E$11+1,1))-AVERAGE(OFFSET($H$3,0,0,'Données projet'!$E$11+1,1))</f>
        <v>447.15627913956871</v>
      </c>
      <c r="BJ103" s="59">
        <f t="shared" si="92"/>
        <v>256.77417912163997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24</v>
      </c>
      <c r="BM103" s="16">
        <f>IF(ISNA(VLOOKUP(A103,'Données projet'!$A$87:$I$107,5,0)),0%,VLOOKUP(A103,'Données projet'!$A$87:$I$107,5,0)*VLOOKUP('Données projet'!$B$11,Paramètres!$A$1:$I$89,7,0))</f>
        <v>0.53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107.40148843786939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107.40148843786939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267</v>
      </c>
      <c r="BW103" s="12">
        <f>VLOOKUP(A103,'Données projet'!$A$113:$I$133,9,0)</f>
        <v>4.5999999999999996</v>
      </c>
      <c r="BX103" s="12">
        <f t="array" ref="BX103">INDEX(BW:BW,MIN(IF(ISNUMBER(BW103:BW299),ROW(BW103:BW299),"")))</f>
        <v>4.5999999999999996</v>
      </c>
      <c r="BY103" s="12">
        <f>IF('Données projet'!$A$114&gt;35,BY102+BX103-CG102,IF(A103&lt;'Données projet'!$A$114,$BV$205^A103,IF(A103='Données projet'!$A$114,'Données projet'!$B$114,BY102+BX103-CG102)))</f>
        <v>267</v>
      </c>
      <c r="BZ103" s="13">
        <f>BY103*VLOOKUP('Données projet'!$B$12,Paramètres!$A$1:$I$89,3,0)*VLOOKUP('Données projet'!$B$12,Paramètres!$A$1:$I$89,5,0)</f>
        <v>254.0772</v>
      </c>
      <c r="CA103" s="13">
        <f t="shared" si="93"/>
        <v>61.458188159552755</v>
      </c>
      <c r="CB103" s="20">
        <f t="shared" si="64"/>
        <v>549.55746771122097</v>
      </c>
      <c r="CC103" s="59">
        <f t="shared" si="65"/>
        <v>842.89080104455434</v>
      </c>
      <c r="CD103" s="59">
        <f ca="1">AVERAGE(OFFSET($CC$3,0,0,'Données projet'!$E$12+1,1))-AVERAGE(OFFSET($H$3,0,0,'Données projet'!$E$12+1,1))</f>
        <v>448.94764480536713</v>
      </c>
      <c r="CE103" s="59">
        <f t="shared" si="94"/>
        <v>469.26760321719695</v>
      </c>
      <c r="CF103" s="15">
        <f>IF(ISNA(VLOOKUP(A103,'Données projet'!$A$113:$I$133,3,0)),0,VLOOKUP(A103,'Données projet'!$A$113:$I$133,3,0))</f>
        <v>19</v>
      </c>
      <c r="CG103" s="15">
        <f>IF(ISNA(VLOOKUP(A103,'Données projet'!$A$113:$I$133,4,0)),0,VLOOKUP(A103,'Données projet'!$A$113:$I$133,4,0))</f>
        <v>22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94.463135588883773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94.463135588883773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187.80389738728508</v>
      </c>
      <c r="CZ103" s="59">
        <f t="shared" si="96"/>
        <v>439.28159165815265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30.877465682360931</v>
      </c>
      <c r="DG103" s="21">
        <f>EXP(-LN(2)/25)*DG102+(1-EXP(-LN(2)/25))/(LN(2)/25)*Calculateur!DB103*Calculateur!DD103*VLOOKUP('Données projet'!$B$13,Paramètres!$A$1:$I$89,3,0)*0.475*44/12</f>
        <v>2.0643989855617026</v>
      </c>
      <c r="DH103" s="21">
        <f>EXP(-LN(2)/2)*DH102+(1-EXP(-LN(2)/2))/(LN(2)/2)*DB103*DE103*VLOOKUP('Données projet'!$B$13,Paramètres!$A$1:$I$89,3,0)*0.475*44/12</f>
        <v>1.3085665996930007E-12</v>
      </c>
      <c r="DI103" s="22">
        <f t="shared" si="69"/>
        <v>32.941864667923944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255.00000000000006</v>
      </c>
      <c r="DP103" s="17">
        <f>DO103*VLOOKUP('Données projet'!$B$14,Paramètres!$A$1:$I$89,3,0)*VLOOKUP('Données projet'!$B$14,Paramètres!$A$1:$I$89,5,0)</f>
        <v>186.96600000000004</v>
      </c>
      <c r="DQ103" s="13">
        <f t="shared" si="97"/>
        <v>46.868551400324648</v>
      </c>
      <c r="DR103" s="20">
        <f t="shared" si="70"/>
        <v>407.26184368889881</v>
      </c>
      <c r="DS103" s="59">
        <f t="shared" si="71"/>
        <v>700.59517702223206</v>
      </c>
      <c r="DT103" s="59">
        <f ca="1">AVERAGE(OFFSET($DS$3,0,0,'Données projet'!$E$14+1,1))-AVERAGE(OFFSET($H$3,0,0,'Données projet'!$E$14+1,1))</f>
        <v>239.25212250019609</v>
      </c>
      <c r="DU103" s="59">
        <f t="shared" si="98"/>
        <v>213.58492101729695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689</v>
      </c>
      <c r="EK103" s="17">
        <f>EJ103*VLOOKUP('Données projet'!$B$15,Paramètres!$A$1:$I$89,3,0)*VLOOKUP('Données projet'!$B$15,Paramètres!$A$1:$I$89,5,0)</f>
        <v>412.02199999999999</v>
      </c>
      <c r="EL103" s="13">
        <f t="shared" si="99"/>
        <v>94.209724877926391</v>
      </c>
      <c r="EM103" s="20">
        <f t="shared" si="73"/>
        <v>881.686920829055</v>
      </c>
      <c r="EN103" s="59">
        <f t="shared" si="74"/>
        <v>1175.0202541623883</v>
      </c>
      <c r="EO103" s="59">
        <f ca="1">AVERAGE(OFFSET($EN$3,0,0,'Données projet'!$E$15+1,1))-AVERAGE(OFFSET($H$3,0,0,'Données projet'!$E$15+1,1))</f>
        <v>504.81063008331739</v>
      </c>
      <c r="EP103" s="59">
        <f t="shared" si="100"/>
        <v>441.82647565372287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65.862569497824055</v>
      </c>
      <c r="EW103" s="21">
        <f>EXP(-LN(2)/25)*EW102+(1-EXP(-LN(2)/25))/(LN(2)/25)*Calculateur!ER103*Calculateur!ET103*VLOOKUP('Données projet'!$B$15,Paramètres!$A$1:$I$89,3,0)*0.475*44/12</f>
        <v>8.4543101856630631</v>
      </c>
      <c r="EX103" s="21">
        <f>EXP(-LN(2)/2)*EX102+(1-EXP(-LN(2)/2))/(LN(2)/2)*ER103*EU103*VLOOKUP('Données projet'!$B$15,Paramètres!$A$1:$I$89,3,0)*0.475*44/12</f>
        <v>1.5240174621035312E-12</v>
      </c>
      <c r="EY103" s="22">
        <f t="shared" si="75"/>
        <v>74.316879683488636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557</v>
      </c>
      <c r="FC103" s="12">
        <f>VLOOKUP(A103,'Données projet'!$A$217:$I$237,9,0)</f>
        <v>6.2</v>
      </c>
      <c r="FD103" s="12">
        <f t="array" ref="FD103">INDEX(FC:FC,MIN(IF(ISNUMBER(FC103:FC299),ROW(FC103:FC299),"")))</f>
        <v>6.2</v>
      </c>
      <c r="FE103" s="12">
        <f>IF('Données projet'!$A$218&gt;35,FE102+FD103-FM102,IF(A103&lt;'Données projet'!$A$218,$FB$205^A103,IF(A103='Données projet'!$A$218,'Données projet'!$B$218,FE102+FD103-FM102)))</f>
        <v>556.99999999999989</v>
      </c>
      <c r="FF103" s="17">
        <f>FE103*VLOOKUP('Données projet'!$B$16,Paramètres!$A$1:$I$89,3,0)*VLOOKUP('Données projet'!$B$16,Paramètres!$A$1:$I$89,5,0)</f>
        <v>318.60399999999993</v>
      </c>
      <c r="FG103" s="13">
        <f t="shared" si="101"/>
        <v>75.062814845371335</v>
      </c>
      <c r="FH103" s="20">
        <f t="shared" si="76"/>
        <v>685.63636918902159</v>
      </c>
      <c r="FI103" s="59">
        <f t="shared" si="77"/>
        <v>978.96970252235496</v>
      </c>
      <c r="FJ103" s="59">
        <f ca="1">AVERAGE(OFFSET($FI$3,0,0,'Données projet'!$E$16+1,1))-AVERAGE(OFFSET($H$3,0,0,'Données projet'!$E$16+1,1))</f>
        <v>393.41577134252316</v>
      </c>
      <c r="FK103" s="59">
        <f t="shared" si="102"/>
        <v>255.54039659391475</v>
      </c>
      <c r="FL103" s="15">
        <f>IF(ISNA(VLOOKUP(A103,'Données projet'!$A$217:$I$237,3,0)),0,VLOOKUP(A103,'Données projet'!$A$217:$I$237,3,0))</f>
        <v>17</v>
      </c>
      <c r="FM103" s="15">
        <f>IF(ISNA(VLOOKUP(A103,'Données projet'!$A$217:$I$237,4,0)),0,VLOOKUP(A103,'Données projet'!$A$217:$I$237,4,0))</f>
        <v>15</v>
      </c>
      <c r="FN103" s="16">
        <f>IF(ISNA(VLOOKUP(A103,'Données projet'!$A$217:$I$237,5,0)),0%,VLOOKUP(A103,'Données projet'!$A$217:$I$237,5,0)*VLOOKUP('Données projet'!$B$16,Paramètres!$A$1:$I$89,7,0))</f>
        <v>0.45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77.122084472295924</v>
      </c>
      <c r="FR103" s="21">
        <f>EXP(-LN(2)/25)*FR102+(1-EXP(-LN(2)/25))/(LN(2)/25)*Calculateur!FM103*Calculateur!FO103*VLOOKUP('Données projet'!$B$16,Paramètres!$A$1:$I$89,3,0)*0.475*44/12</f>
        <v>3.8367040065860984</v>
      </c>
      <c r="FS103" s="21">
        <f>EXP(-LN(2)/2)*FS102+(1-EXP(-LN(2)/2))/(LN(2)/2)*FM103*FP103*VLOOKUP('Données projet'!$B$16,Paramètres!$A$1:$I$89,3,0)*0.475*44/12</f>
        <v>1.0602401503394954E-11</v>
      </c>
      <c r="FT103" s="22">
        <f t="shared" si="78"/>
        <v>80.958788478892629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853.00000000000011</v>
      </c>
      <c r="GA103" s="17">
        <f>FZ103*VLOOKUP('Données projet'!$B$17,Paramètres!$A$1:$I$89,3,0)*VLOOKUP('Données projet'!$B$17,Paramètres!$A$1:$I$89,5,0)</f>
        <v>399.20400000000006</v>
      </c>
      <c r="GB103" s="13">
        <f t="shared" si="103"/>
        <v>91.615269732888521</v>
      </c>
      <c r="GC103" s="20">
        <f t="shared" si="79"/>
        <v>854.8435614514475</v>
      </c>
      <c r="GD103" s="59">
        <f t="shared" si="80"/>
        <v>1148.1768947847809</v>
      </c>
      <c r="GE103" s="59">
        <f ca="1">AVERAGE(OFFSET($GD$3,0,0,'Données projet'!$E$17+1,1))-AVERAGE(OFFSET($H$3,0,0,'Données projet'!$E$17+1,1))</f>
        <v>488.67934252295686</v>
      </c>
      <c r="GF103" s="59">
        <f t="shared" si="104"/>
        <v>424.50324471331095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93.265856435119588</v>
      </c>
      <c r="GM103" s="21">
        <f>EXP(-LN(2)/25)*GM102+(1-EXP(-LN(2)/25))/(LN(2)/25)*Calculateur!GH103*Calculateur!GJ103*VLOOKUP('Données projet'!$B$17,Paramètres!$A$1:$I$89,3,0)*0.475*44/12</f>
        <v>7.0339573454078481</v>
      </c>
      <c r="GN103" s="21">
        <f>EXP(-LN(2)/2)*GN102+(1-EXP(-LN(2)/2))/(LN(2)/2)*GH103*GK103*VLOOKUP('Données projet'!$B$17,Paramètres!$A$1:$I$89,3,0)*0.475*44/12</f>
        <v>2.3614439712106936E-11</v>
      </c>
      <c r="GO103" s="21">
        <f t="shared" si="81"/>
        <v>100.29981378055105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789</v>
      </c>
      <c r="GV103" s="17">
        <f>GU103*VLOOKUP('Données projet'!$B$18,Paramètres!$A$1:$I$89,3,0)*VLOOKUP('Données projet'!$B$18,Paramètres!$A$1:$I$89,5,0)</f>
        <v>379.50900000000001</v>
      </c>
      <c r="GW103" s="13">
        <f t="shared" si="105"/>
        <v>87.609801106074272</v>
      </c>
      <c r="GX103" s="20">
        <f t="shared" si="82"/>
        <v>813.56524525974601</v>
      </c>
      <c r="GY103" s="59">
        <f t="shared" si="83"/>
        <v>1106.8985785930793</v>
      </c>
      <c r="GZ103" s="59">
        <f ca="1">AVERAGE(OFFSET($GY$3,0,0,'Données projet'!$E$18+1,1))-AVERAGE(OFFSET($H$3,0,0,'Données projet'!$E$18+1,1))</f>
        <v>458.80976193248841</v>
      </c>
      <c r="HA103" s="59">
        <f t="shared" si="106"/>
        <v>396.07405370178759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94.438940785346034</v>
      </c>
      <c r="HH103" s="21">
        <f>EXP(-LN(2)/25)*HH102+(1-EXP(-LN(2)/25))/(LN(2)/25)*Calculateur!HC103*Calculateur!HE103*VLOOKUP('Données projet'!$B$18,Paramètres!$A$1:$I$89,3,0)*0.475*44/12</f>
        <v>6.5721318631336025</v>
      </c>
      <c r="HI103" s="21">
        <f>EXP(-LN(2)/2)*HI102+(1-EXP(-LN(2)/2))/(LN(2)/2)*HC103*HF103*VLOOKUP('Données projet'!$B$18,Paramètres!$A$1:$I$89,3,0)*0.475*44/12</f>
        <v>1.0896912656267044E-11</v>
      </c>
      <c r="HJ103" s="22">
        <f t="shared" si="84"/>
        <v>101.01107264849054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4.5999999999999996</v>
      </c>
      <c r="N104" s="13">
        <f>IF('Données projet'!$A$36&gt;35,N103+M104-V103,IF(A104&lt;'Données projet'!$A$36,$K$205^A104,IF(A104='Données projet'!$A$36,'Données projet'!$B$36,N103+M104-V103)))</f>
        <v>265.59999999999991</v>
      </c>
      <c r="O104" s="13">
        <f>N104*VLOOKUP('Données projet'!$B$9,Paramètres!$A$1:$I$89,3,0)*VLOOKUP('Données projet'!$B$9,Paramètres!$A$1:$I$89,5,0)</f>
        <v>240.31487999999993</v>
      </c>
      <c r="P104" s="13">
        <f t="shared" si="87"/>
        <v>58.50727327751612</v>
      </c>
      <c r="Q104" s="20">
        <f t="shared" si="107"/>
        <v>520.44858362500713</v>
      </c>
      <c r="R104" s="59">
        <f t="shared" si="55"/>
        <v>813.78191695834039</v>
      </c>
      <c r="S104" s="59">
        <f ca="1">AVERAGE(OFFSET($R$3,0,0,'Données projet'!$E$9+1,1))-AVERAGE(OFFSET($H$3,0,0,'Données projet'!$E$9+1,1))</f>
        <v>364.3481978218424</v>
      </c>
      <c r="T104" s="59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70.444187547748356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70.444187547748356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636.99999999999977</v>
      </c>
      <c r="AJ104" s="13">
        <f>AI104*VLOOKUP('Données projet'!$B$10,Paramètres!$A$1:$I$89,3,0)*VLOOKUP('Données projet'!$B$10,Paramètres!$A$1:$I$89,5,0)</f>
        <v>356.08299999999991</v>
      </c>
      <c r="AK104" s="13">
        <f t="shared" si="89"/>
        <v>82.813805255716545</v>
      </c>
      <c r="AL104" s="20">
        <f t="shared" si="58"/>
        <v>764.41193582037283</v>
      </c>
      <c r="AM104" s="59">
        <f t="shared" si="59"/>
        <v>1057.7452691537062</v>
      </c>
      <c r="AN104" s="59">
        <f ca="1">AVERAGE(OFFSET($AM$3,0,0,'Données projet'!$E$10+1,1))-AVERAGE(OFFSET($H$3,0,0,'Données projet'!$E$10+1,1))</f>
        <v>443.34220761968419</v>
      </c>
      <c r="AO104" s="59">
        <f t="shared" si="90"/>
        <v>546.58234447298014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43.390586371908803</v>
      </c>
      <c r="AV104" s="21">
        <f>EXP(-LN(2)/25)*AV103+(1-EXP(-LN(2)/25))/(LN(2)/25)*Calculateur!AQ104*Calculateur!AS104*VLOOKUP('Données projet'!$B$10,Paramètres!$A$1:$I$89,3,0)*0.475*44/12</f>
        <v>3.0637834637807453</v>
      </c>
      <c r="AW104" s="21">
        <f>EXP(-LN(2)/2)*AW103+(1-EXP(-LN(2)/2))/(LN(2)/2)*AQ104*AT104*VLOOKUP('Données projet'!$B$10,Paramètres!$A$1:$I$89,3,0)*0.475*44/12</f>
        <v>1.2433725399435903E-10</v>
      </c>
      <c r="AX104" s="21">
        <f t="shared" si="60"/>
        <v>46.454369835813885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6.6</v>
      </c>
      <c r="BD104" s="12">
        <f>IF('Données projet'!$A$88&gt;35,BD103+BC104-BL103,IF(A104&lt;'Données projet'!$A$88,$BA$205^A104,IF(A104='Données projet'!$A$88,'Données projet'!$B$88,BD103+BC104-BL103)))</f>
        <v>382.59999999999991</v>
      </c>
      <c r="BE104" s="13">
        <f>BD104*VLOOKUP('Données projet'!$B$11,Paramètres!$A$1:$I$89,3,0)*VLOOKUP('Données projet'!$B$11,Paramètres!$A$1:$I$89,5,0)</f>
        <v>328.27079999999995</v>
      </c>
      <c r="BF104" s="13">
        <f t="shared" si="91"/>
        <v>77.071690347038668</v>
      </c>
      <c r="BG104" s="20">
        <f t="shared" si="61"/>
        <v>705.97150402109219</v>
      </c>
      <c r="BH104" s="59">
        <f t="shared" si="62"/>
        <v>999.30483735442544</v>
      </c>
      <c r="BI104" s="59">
        <f ca="1">AVERAGE(OFFSET($BH$3,0,0,'Données projet'!$E$11+1,1))-AVERAGE(OFFSET($H$3,0,0,'Données projet'!$E$11+1,1))</f>
        <v>447.15627913956871</v>
      </c>
      <c r="BJ104" s="59">
        <f t="shared" si="92"/>
        <v>256.77417912163997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105.29541075804229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105.29541075804229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249.39999999999998</v>
      </c>
      <c r="BZ104" s="13">
        <f>BY104*VLOOKUP('Données projet'!$B$12,Paramètres!$A$1:$I$89,3,0)*VLOOKUP('Données projet'!$B$12,Paramètres!$A$1:$I$89,5,0)</f>
        <v>237.32903999999999</v>
      </c>
      <c r="CA104" s="13">
        <f t="shared" si="93"/>
        <v>57.864486657972002</v>
      </c>
      <c r="CB104" s="20">
        <f t="shared" si="64"/>
        <v>514.12872559596781</v>
      </c>
      <c r="CC104" s="59">
        <f t="shared" si="65"/>
        <v>807.46205892930107</v>
      </c>
      <c r="CD104" s="59">
        <f ca="1">AVERAGE(OFFSET($CC$3,0,0,'Données projet'!$E$12+1,1))-AVERAGE(OFFSET($H$3,0,0,'Données projet'!$E$12+1,1))</f>
        <v>448.94764480536713</v>
      </c>
      <c r="CE104" s="59">
        <f t="shared" si="94"/>
        <v>469.26760321719695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92.610771116809289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92.610771116809289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187.80389738728508</v>
      </c>
      <c r="CZ104" s="59">
        <f t="shared" si="96"/>
        <v>439.28159165815265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30.271977413724258</v>
      </c>
      <c r="DG104" s="21">
        <f>EXP(-LN(2)/25)*DG103+(1-EXP(-LN(2)/25))/(LN(2)/25)*Calculateur!DB104*Calculateur!DD104*VLOOKUP('Données projet'!$B$13,Paramètres!$A$1:$I$89,3,0)*0.475*44/12</f>
        <v>2.0079478867394935</v>
      </c>
      <c r="DH104" s="21">
        <f>EXP(-LN(2)/2)*DH103+(1-EXP(-LN(2)/2))/(LN(2)/2)*DB104*DE104*VLOOKUP('Données projet'!$B$13,Paramètres!$A$1:$I$89,3,0)*0.475*44/12</f>
        <v>9.2529631627714316E-13</v>
      </c>
      <c r="DI104" s="22">
        <f t="shared" si="69"/>
        <v>32.279925300464676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255.00000000000006</v>
      </c>
      <c r="DP104" s="17">
        <f>DO104*VLOOKUP('Données projet'!$B$14,Paramètres!$A$1:$I$89,3,0)*VLOOKUP('Données projet'!$B$14,Paramètres!$A$1:$I$89,5,0)</f>
        <v>186.96600000000004</v>
      </c>
      <c r="DQ104" s="13">
        <f t="shared" si="97"/>
        <v>46.868551400324648</v>
      </c>
      <c r="DR104" s="20">
        <f t="shared" si="70"/>
        <v>407.26184368889881</v>
      </c>
      <c r="DS104" s="59">
        <f t="shared" si="71"/>
        <v>700.59517702223206</v>
      </c>
      <c r="DT104" s="59">
        <f ca="1">AVERAGE(OFFSET($DS$3,0,0,'Données projet'!$E$14+1,1))-AVERAGE(OFFSET($H$3,0,0,'Données projet'!$E$14+1,1))</f>
        <v>239.25212250019609</v>
      </c>
      <c r="DU104" s="59">
        <f t="shared" si="98"/>
        <v>213.58492101729695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689</v>
      </c>
      <c r="EK104" s="17">
        <f>EJ104*VLOOKUP('Données projet'!$B$15,Paramètres!$A$1:$I$89,3,0)*VLOOKUP('Données projet'!$B$15,Paramètres!$A$1:$I$89,5,0)</f>
        <v>412.02199999999999</v>
      </c>
      <c r="EL104" s="13">
        <f t="shared" si="99"/>
        <v>94.209724877926391</v>
      </c>
      <c r="EM104" s="20">
        <f t="shared" si="73"/>
        <v>881.686920829055</v>
      </c>
      <c r="EN104" s="59">
        <f t="shared" si="74"/>
        <v>1175.0202541623883</v>
      </c>
      <c r="EO104" s="59">
        <f ca="1">AVERAGE(OFFSET($EN$3,0,0,'Données projet'!$E$15+1,1))-AVERAGE(OFFSET($H$3,0,0,'Données projet'!$E$15+1,1))</f>
        <v>504.81063008331739</v>
      </c>
      <c r="EP104" s="59">
        <f t="shared" si="100"/>
        <v>441.82647565372287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64.571044682172442</v>
      </c>
      <c r="EW104" s="21">
        <f>EXP(-LN(2)/25)*EW103+(1-EXP(-LN(2)/25))/(LN(2)/25)*Calculateur!ER104*Calculateur!ET104*VLOOKUP('Données projet'!$B$15,Paramètres!$A$1:$I$89,3,0)*0.475*44/12</f>
        <v>8.2231266290432572</v>
      </c>
      <c r="EX104" s="21">
        <f>EXP(-LN(2)/2)*EX103+(1-EXP(-LN(2)/2))/(LN(2)/2)*ER104*EU104*VLOOKUP('Données projet'!$B$15,Paramètres!$A$1:$I$89,3,0)*0.475*44/12</f>
        <v>1.0776430821001191E-12</v>
      </c>
      <c r="EY104" s="22">
        <f t="shared" si="75"/>
        <v>72.794171311216786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541.99999999999989</v>
      </c>
      <c r="FF104" s="17">
        <f>FE104*VLOOKUP('Données projet'!$B$16,Paramètres!$A$1:$I$89,3,0)*VLOOKUP('Données projet'!$B$16,Paramètres!$A$1:$I$89,5,0)</f>
        <v>310.02399999999994</v>
      </c>
      <c r="FG104" s="13">
        <f t="shared" si="101"/>
        <v>73.27384230442388</v>
      </c>
      <c r="FH104" s="20">
        <f t="shared" si="76"/>
        <v>667.57707534687154</v>
      </c>
      <c r="FI104" s="59">
        <f t="shared" si="77"/>
        <v>960.91040868020491</v>
      </c>
      <c r="FJ104" s="59">
        <f ca="1">AVERAGE(OFFSET($FI$3,0,0,'Données projet'!$E$16+1,1))-AVERAGE(OFFSET($H$3,0,0,'Données projet'!$E$16+1,1))</f>
        <v>393.41577134252316</v>
      </c>
      <c r="FK104" s="59">
        <f t="shared" si="102"/>
        <v>255.54039659391475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75.609767435620938</v>
      </c>
      <c r="FR104" s="21">
        <f>EXP(-LN(2)/25)*FR103+(1-EXP(-LN(2)/25))/(LN(2)/25)*Calculateur!FM104*Calculateur!FO104*VLOOKUP('Données projet'!$B$16,Paramètres!$A$1:$I$89,3,0)*0.475*44/12</f>
        <v>3.7317891337625069</v>
      </c>
      <c r="FS104" s="21">
        <f>EXP(-LN(2)/2)*FS103+(1-EXP(-LN(2)/2))/(LN(2)/2)*FM104*FP104*VLOOKUP('Données projet'!$B$16,Paramètres!$A$1:$I$89,3,0)*0.475*44/12</f>
        <v>7.497029999913018E-12</v>
      </c>
      <c r="FT104" s="22">
        <f t="shared" si="78"/>
        <v>79.341556569390946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853.00000000000011</v>
      </c>
      <c r="GA104" s="17">
        <f>FZ104*VLOOKUP('Données projet'!$B$17,Paramètres!$A$1:$I$89,3,0)*VLOOKUP('Données projet'!$B$17,Paramètres!$A$1:$I$89,5,0)</f>
        <v>399.20400000000006</v>
      </c>
      <c r="GB104" s="13">
        <f t="shared" si="103"/>
        <v>91.615269732888521</v>
      </c>
      <c r="GC104" s="20">
        <f t="shared" si="79"/>
        <v>854.8435614514475</v>
      </c>
      <c r="GD104" s="59">
        <f t="shared" si="80"/>
        <v>1148.1768947847809</v>
      </c>
      <c r="GE104" s="59">
        <f ca="1">AVERAGE(OFFSET($GD$3,0,0,'Données projet'!$E$17+1,1))-AVERAGE(OFFSET($H$3,0,0,'Données projet'!$E$17+1,1))</f>
        <v>488.67934252295686</v>
      </c>
      <c r="GF104" s="59">
        <f t="shared" si="104"/>
        <v>424.50324471331095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91.436969876982232</v>
      </c>
      <c r="GM104" s="21">
        <f>EXP(-LN(2)/25)*GM103+(1-EXP(-LN(2)/25))/(LN(2)/25)*Calculateur!GH104*Calculateur!GJ104*VLOOKUP('Données projet'!$B$17,Paramètres!$A$1:$I$89,3,0)*0.475*44/12</f>
        <v>6.8416134118979297</v>
      </c>
      <c r="GN104" s="21">
        <f>EXP(-LN(2)/2)*GN103+(1-EXP(-LN(2)/2))/(LN(2)/2)*GH104*GK104*VLOOKUP('Données projet'!$B$17,Paramètres!$A$1:$I$89,3,0)*0.475*44/12</f>
        <v>1.6697930454351717E-11</v>
      </c>
      <c r="GO104" s="21">
        <f t="shared" si="81"/>
        <v>98.278583288896854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789</v>
      </c>
      <c r="GV104" s="17">
        <f>GU104*VLOOKUP('Données projet'!$B$18,Paramètres!$A$1:$I$89,3,0)*VLOOKUP('Données projet'!$B$18,Paramètres!$A$1:$I$89,5,0)</f>
        <v>379.50900000000001</v>
      </c>
      <c r="GW104" s="13">
        <f t="shared" si="105"/>
        <v>87.609801106074272</v>
      </c>
      <c r="GX104" s="20">
        <f t="shared" si="82"/>
        <v>813.56524525974601</v>
      </c>
      <c r="GY104" s="59">
        <f t="shared" si="83"/>
        <v>1106.8985785930793</v>
      </c>
      <c r="GZ104" s="59">
        <f ca="1">AVERAGE(OFFSET($GY$3,0,0,'Données projet'!$E$18+1,1))-AVERAGE(OFFSET($H$3,0,0,'Données projet'!$E$18+1,1))</f>
        <v>458.80976193248841</v>
      </c>
      <c r="HA104" s="59">
        <f t="shared" si="106"/>
        <v>396.07405370178759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92.587050758611539</v>
      </c>
      <c r="HH104" s="21">
        <f>EXP(-LN(2)/25)*HH103+(1-EXP(-LN(2)/25))/(LN(2)/25)*Calculateur!HC104*Calculateur!HE104*VLOOKUP('Données projet'!$B$18,Paramètres!$A$1:$I$89,3,0)*0.475*44/12</f>
        <v>6.3924165717228201</v>
      </c>
      <c r="HI104" s="21">
        <f>EXP(-LN(2)/2)*HI103+(1-EXP(-LN(2)/2))/(LN(2)/2)*HC104*HF104*VLOOKUP('Données projet'!$B$18,Paramètres!$A$1:$I$89,3,0)*0.475*44/12</f>
        <v>7.705280833243941E-12</v>
      </c>
      <c r="HJ104" s="22">
        <f t="shared" si="84"/>
        <v>98.979467330342061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4.5999999999999996</v>
      </c>
      <c r="N105" s="13">
        <f>IF('Données projet'!$A$36&gt;35,N104+M105-V104,IF(A105&lt;'Données projet'!$A$36,$K$205^A105,IF(A105='Données projet'!$A$36,'Données projet'!$B$36,N104+M105-V104)))</f>
        <v>270.19999999999993</v>
      </c>
      <c r="O105" s="13">
        <f>N105*VLOOKUP('Données projet'!$B$9,Paramètres!$A$1:$I$89,3,0)*VLOOKUP('Données projet'!$B$9,Paramètres!$A$1:$I$89,5,0)</f>
        <v>244.47695999999993</v>
      </c>
      <c r="P105" s="13">
        <f t="shared" si="87"/>
        <v>59.401731670234192</v>
      </c>
      <c r="Q105" s="20">
        <f t="shared" si="107"/>
        <v>529.25538799232447</v>
      </c>
      <c r="R105" s="59">
        <f t="shared" si="55"/>
        <v>822.58872132565784</v>
      </c>
      <c r="S105" s="59">
        <f ca="1">AVERAGE(OFFSET($R$3,0,0,'Données projet'!$E$9+1,1))-AVERAGE(OFFSET($H$3,0,0,'Données projet'!$E$9+1,1))</f>
        <v>364.3481978218424</v>
      </c>
      <c r="T105" s="59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69.062819996648798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69.062819996648798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636.99999999999977</v>
      </c>
      <c r="AJ105" s="13">
        <f>AI105*VLOOKUP('Données projet'!$B$10,Paramètres!$A$1:$I$89,3,0)*VLOOKUP('Données projet'!$B$10,Paramètres!$A$1:$I$89,5,0)</f>
        <v>356.08299999999991</v>
      </c>
      <c r="AK105" s="13">
        <f t="shared" si="89"/>
        <v>82.813805255716545</v>
      </c>
      <c r="AL105" s="20">
        <f t="shared" si="58"/>
        <v>764.41193582037283</v>
      </c>
      <c r="AM105" s="59">
        <f t="shared" si="59"/>
        <v>1057.7452691537062</v>
      </c>
      <c r="AN105" s="59">
        <f ca="1">AVERAGE(OFFSET($AM$3,0,0,'Données projet'!$E$10+1,1))-AVERAGE(OFFSET($H$3,0,0,'Données projet'!$E$10+1,1))</f>
        <v>443.34220761968419</v>
      </c>
      <c r="AO105" s="59">
        <f t="shared" si="90"/>
        <v>546.58234447298014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42.539723438800095</v>
      </c>
      <c r="AV105" s="21">
        <f>EXP(-LN(2)/25)*AV104+(1-EXP(-LN(2)/25))/(LN(2)/25)*Calculateur!AQ105*Calculateur!AS105*VLOOKUP('Données projet'!$B$10,Paramètres!$A$1:$I$89,3,0)*0.475*44/12</f>
        <v>2.980004143846291</v>
      </c>
      <c r="AW105" s="21">
        <f>EXP(-LN(2)/2)*AW104+(1-EXP(-LN(2)/2))/(LN(2)/2)*AQ105*AT105*VLOOKUP('Données projet'!$B$10,Paramètres!$A$1:$I$89,3,0)*0.475*44/12</f>
        <v>8.7919715453525412E-11</v>
      </c>
      <c r="AX105" s="21">
        <f t="shared" si="60"/>
        <v>45.519727582734312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6.6</v>
      </c>
      <c r="BD105" s="12">
        <f>IF('Données projet'!$A$88&gt;35,BD104+BC105-BL104,IF(A105&lt;'Données projet'!$A$88,$BA$205^A105,IF(A105='Données projet'!$A$88,'Données projet'!$B$88,BD104+BC105-BL104)))</f>
        <v>389.19999999999993</v>
      </c>
      <c r="BE105" s="13">
        <f>BD105*VLOOKUP('Données projet'!$B$11,Paramètres!$A$1:$I$89,3,0)*VLOOKUP('Données projet'!$B$11,Paramètres!$A$1:$I$89,5,0)</f>
        <v>333.93359999999996</v>
      </c>
      <c r="BF105" s="13">
        <f t="shared" si="91"/>
        <v>78.245279532276854</v>
      </c>
      <c r="BG105" s="20">
        <f t="shared" si="61"/>
        <v>717.87821518538203</v>
      </c>
      <c r="BH105" s="59">
        <f t="shared" si="62"/>
        <v>1011.2115485187153</v>
      </c>
      <c r="BI105" s="59">
        <f ca="1">AVERAGE(OFFSET($BH$3,0,0,'Données projet'!$E$11+1,1))-AVERAGE(OFFSET($H$3,0,0,'Données projet'!$E$11+1,1))</f>
        <v>447.15627913956871</v>
      </c>
      <c r="BJ105" s="59">
        <f t="shared" si="92"/>
        <v>256.77417912163997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103.23063197693607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103.23063197693607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253.79999999999998</v>
      </c>
      <c r="BZ105" s="13">
        <f>BY105*VLOOKUP('Données projet'!$B$12,Paramètres!$A$1:$I$89,3,0)*VLOOKUP('Données projet'!$B$12,Paramètres!$A$1:$I$89,5,0)</f>
        <v>241.51607999999999</v>
      </c>
      <c r="CA105" s="13">
        <f t="shared" si="93"/>
        <v>58.765602836317846</v>
      </c>
      <c r="CB105" s="20">
        <f t="shared" si="64"/>
        <v>522.9905976065869</v>
      </c>
      <c r="CC105" s="59">
        <f t="shared" si="65"/>
        <v>816.32393093992027</v>
      </c>
      <c r="CD105" s="59">
        <f ca="1">AVERAGE(OFFSET($CC$3,0,0,'Données projet'!$E$12+1,1))-AVERAGE(OFFSET($H$3,0,0,'Données projet'!$E$12+1,1))</f>
        <v>448.94764480536713</v>
      </c>
      <c r="CE105" s="59">
        <f t="shared" si="94"/>
        <v>469.26760321719695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90.794730382201408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90.794730382201408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187.80389738728508</v>
      </c>
      <c r="CZ105" s="59">
        <f t="shared" si="96"/>
        <v>439.28159165815265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29.678362400724172</v>
      </c>
      <c r="DG105" s="21">
        <f>EXP(-LN(2)/25)*DG104+(1-EXP(-LN(2)/25))/(LN(2)/25)*Calculateur!DB105*Calculateur!DD105*VLOOKUP('Données projet'!$B$13,Paramètres!$A$1:$I$89,3,0)*0.475*44/12</f>
        <v>1.953040446183212</v>
      </c>
      <c r="DH105" s="21">
        <f>EXP(-LN(2)/2)*DH104+(1-EXP(-LN(2)/2))/(LN(2)/2)*DB105*DE105*VLOOKUP('Données projet'!$B$13,Paramètres!$A$1:$I$89,3,0)*0.475*44/12</f>
        <v>6.5428329984650034E-13</v>
      </c>
      <c r="DI105" s="22">
        <f t="shared" si="69"/>
        <v>31.631402846908038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255.00000000000006</v>
      </c>
      <c r="DP105" s="17">
        <f>DO105*VLOOKUP('Données projet'!$B$14,Paramètres!$A$1:$I$89,3,0)*VLOOKUP('Données projet'!$B$14,Paramètres!$A$1:$I$89,5,0)</f>
        <v>186.96600000000004</v>
      </c>
      <c r="DQ105" s="13">
        <f t="shared" si="97"/>
        <v>46.868551400324648</v>
      </c>
      <c r="DR105" s="20">
        <f t="shared" si="70"/>
        <v>407.26184368889881</v>
      </c>
      <c r="DS105" s="59">
        <f t="shared" si="71"/>
        <v>700.59517702223206</v>
      </c>
      <c r="DT105" s="59">
        <f ca="1">AVERAGE(OFFSET($DS$3,0,0,'Données projet'!$E$14+1,1))-AVERAGE(OFFSET($H$3,0,0,'Données projet'!$E$14+1,1))</f>
        <v>239.25212250019609</v>
      </c>
      <c r="DU105" s="59">
        <f t="shared" si="98"/>
        <v>213.58492101729695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689</v>
      </c>
      <c r="EK105" s="17">
        <f>EJ105*VLOOKUP('Données projet'!$B$15,Paramètres!$A$1:$I$89,3,0)*VLOOKUP('Données projet'!$B$15,Paramètres!$A$1:$I$89,5,0)</f>
        <v>412.02199999999999</v>
      </c>
      <c r="EL105" s="13">
        <f t="shared" si="99"/>
        <v>94.209724877926391</v>
      </c>
      <c r="EM105" s="20">
        <f t="shared" si="73"/>
        <v>881.686920829055</v>
      </c>
      <c r="EN105" s="59">
        <f t="shared" si="74"/>
        <v>1175.0202541623883</v>
      </c>
      <c r="EO105" s="59">
        <f ca="1">AVERAGE(OFFSET($EN$3,0,0,'Données projet'!$E$15+1,1))-AVERAGE(OFFSET($H$3,0,0,'Données projet'!$E$15+1,1))</f>
        <v>504.81063008331739</v>
      </c>
      <c r="EP105" s="59">
        <f t="shared" si="100"/>
        <v>441.82647565372287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63.304845880403406</v>
      </c>
      <c r="EW105" s="21">
        <f>EXP(-LN(2)/25)*EW104+(1-EXP(-LN(2)/25))/(LN(2)/25)*Calculateur!ER105*Calculateur!ET105*VLOOKUP('Données projet'!$B$15,Paramètres!$A$1:$I$89,3,0)*0.475*44/12</f>
        <v>7.998264798936634</v>
      </c>
      <c r="EX105" s="21">
        <f>EXP(-LN(2)/2)*EX104+(1-EXP(-LN(2)/2))/(LN(2)/2)*ER105*EU105*VLOOKUP('Données projet'!$B$15,Paramètres!$A$1:$I$89,3,0)*0.475*44/12</f>
        <v>7.6200873105176562E-13</v>
      </c>
      <c r="EY105" s="22">
        <f t="shared" si="75"/>
        <v>71.303110679340804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541.99999999999989</v>
      </c>
      <c r="FF105" s="17">
        <f>FE105*VLOOKUP('Données projet'!$B$16,Paramètres!$A$1:$I$89,3,0)*VLOOKUP('Données projet'!$B$16,Paramètres!$A$1:$I$89,5,0)</f>
        <v>310.02399999999994</v>
      </c>
      <c r="FG105" s="13">
        <f t="shared" si="101"/>
        <v>73.27384230442388</v>
      </c>
      <c r="FH105" s="20">
        <f t="shared" si="76"/>
        <v>667.57707534687154</v>
      </c>
      <c r="FI105" s="59">
        <f t="shared" si="77"/>
        <v>960.91040868020491</v>
      </c>
      <c r="FJ105" s="59">
        <f ca="1">AVERAGE(OFFSET($FI$3,0,0,'Données projet'!$E$16+1,1))-AVERAGE(OFFSET($H$3,0,0,'Données projet'!$E$16+1,1))</f>
        <v>393.41577134252316</v>
      </c>
      <c r="FK105" s="59">
        <f t="shared" si="102"/>
        <v>255.54039659391475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74.127106013612831</v>
      </c>
      <c r="FR105" s="21">
        <f>EXP(-LN(2)/25)*FR104+(1-EXP(-LN(2)/25))/(LN(2)/25)*Calculateur!FM105*Calculateur!FO105*VLOOKUP('Données projet'!$B$16,Paramètres!$A$1:$I$89,3,0)*0.475*44/12</f>
        <v>3.6297431636535098</v>
      </c>
      <c r="FS105" s="21">
        <f>EXP(-LN(2)/2)*FS104+(1-EXP(-LN(2)/2))/(LN(2)/2)*FM105*FP105*VLOOKUP('Données projet'!$B$16,Paramètres!$A$1:$I$89,3,0)*0.475*44/12</f>
        <v>5.3012007516974769E-12</v>
      </c>
      <c r="FT105" s="22">
        <f t="shared" si="78"/>
        <v>77.756849177271647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853.00000000000011</v>
      </c>
      <c r="GA105" s="17">
        <f>FZ105*VLOOKUP('Données projet'!$B$17,Paramètres!$A$1:$I$89,3,0)*VLOOKUP('Données projet'!$B$17,Paramètres!$A$1:$I$89,5,0)</f>
        <v>399.20400000000006</v>
      </c>
      <c r="GB105" s="13">
        <f t="shared" si="103"/>
        <v>91.615269732888521</v>
      </c>
      <c r="GC105" s="20">
        <f t="shared" si="79"/>
        <v>854.8435614514475</v>
      </c>
      <c r="GD105" s="59">
        <f t="shared" si="80"/>
        <v>1148.1768947847809</v>
      </c>
      <c r="GE105" s="59">
        <f ca="1">AVERAGE(OFFSET($GD$3,0,0,'Données projet'!$E$17+1,1))-AVERAGE(OFFSET($H$3,0,0,'Données projet'!$E$17+1,1))</f>
        <v>488.67934252295686</v>
      </c>
      <c r="GF105" s="59">
        <f t="shared" si="104"/>
        <v>424.50324471331095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89.643946668739304</v>
      </c>
      <c r="GM105" s="21">
        <f>EXP(-LN(2)/25)*GM104+(1-EXP(-LN(2)/25))/(LN(2)/25)*Calculateur!GH105*Calculateur!GJ105*VLOOKUP('Données projet'!$B$17,Paramètres!$A$1:$I$89,3,0)*0.475*44/12</f>
        <v>6.6545291333647683</v>
      </c>
      <c r="GN105" s="21">
        <f>EXP(-LN(2)/2)*GN104+(1-EXP(-LN(2)/2))/(LN(2)/2)*GH105*GK105*VLOOKUP('Données projet'!$B$17,Paramètres!$A$1:$I$89,3,0)*0.475*44/12</f>
        <v>1.1807219856053468E-11</v>
      </c>
      <c r="GO105" s="21">
        <f t="shared" si="81"/>
        <v>96.298475802115874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789</v>
      </c>
      <c r="GV105" s="17">
        <f>GU105*VLOOKUP('Données projet'!$B$18,Paramètres!$A$1:$I$89,3,0)*VLOOKUP('Données projet'!$B$18,Paramètres!$A$1:$I$89,5,0)</f>
        <v>379.50900000000001</v>
      </c>
      <c r="GW105" s="13">
        <f t="shared" si="105"/>
        <v>87.609801106074272</v>
      </c>
      <c r="GX105" s="20">
        <f t="shared" si="82"/>
        <v>813.56524525974601</v>
      </c>
      <c r="GY105" s="59">
        <f t="shared" si="83"/>
        <v>1106.8985785930793</v>
      </c>
      <c r="GZ105" s="59">
        <f ca="1">AVERAGE(OFFSET($GY$3,0,0,'Données projet'!$E$18+1,1))-AVERAGE(OFFSET($H$3,0,0,'Données projet'!$E$18+1,1))</f>
        <v>458.80976193248841</v>
      </c>
      <c r="HA105" s="59">
        <f t="shared" si="106"/>
        <v>396.07405370178759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90.771475165759938</v>
      </c>
      <c r="HH105" s="21">
        <f>EXP(-LN(2)/25)*HH104+(1-EXP(-LN(2)/25))/(LN(2)/25)*Calculateur!HC105*Calculateur!HE105*VLOOKUP('Données projet'!$B$18,Paramètres!$A$1:$I$89,3,0)*0.475*44/12</f>
        <v>6.2176156044064825</v>
      </c>
      <c r="HI105" s="21">
        <f>EXP(-LN(2)/2)*HI104+(1-EXP(-LN(2)/2))/(LN(2)/2)*HC105*HF105*VLOOKUP('Données projet'!$B$18,Paramètres!$A$1:$I$89,3,0)*0.475*44/12</f>
        <v>5.448456328133522E-12</v>
      </c>
      <c r="HJ105" s="22">
        <f t="shared" si="84"/>
        <v>96.98909077017187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4.5999999999999996</v>
      </c>
      <c r="N106" s="13">
        <f>IF('Données projet'!$A$36&gt;35,N105+M106-V105,IF(A106&lt;'Données projet'!$A$36,$K$205^A106,IF(A106='Données projet'!$A$36,'Données projet'!$B$36,N105+M106-V105)))</f>
        <v>274.79999999999995</v>
      </c>
      <c r="O106" s="13">
        <f>N106*VLOOKUP('Données projet'!$B$9,Paramètres!$A$1:$I$89,3,0)*VLOOKUP('Données projet'!$B$9,Paramètres!$A$1:$I$89,5,0)</f>
        <v>248.63903999999994</v>
      </c>
      <c r="P106" s="13">
        <f t="shared" si="87"/>
        <v>60.294419230169922</v>
      </c>
      <c r="Q106" s="20">
        <f t="shared" si="107"/>
        <v>538.05910815921254</v>
      </c>
      <c r="R106" s="59">
        <f t="shared" si="55"/>
        <v>831.39244149254591</v>
      </c>
      <c r="S106" s="59">
        <f ca="1">AVERAGE(OFFSET($R$3,0,0,'Données projet'!$E$9+1,1))-AVERAGE(OFFSET($H$3,0,0,'Données projet'!$E$9+1,1))</f>
        <v>364.3481978218424</v>
      </c>
      <c r="T106" s="59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67.708540220675303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67.708540220675303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636.99999999999977</v>
      </c>
      <c r="AJ106" s="13">
        <f>AI106*VLOOKUP('Données projet'!$B$10,Paramètres!$A$1:$I$89,3,0)*VLOOKUP('Données projet'!$B$10,Paramètres!$A$1:$I$89,5,0)</f>
        <v>356.08299999999991</v>
      </c>
      <c r="AK106" s="13">
        <f t="shared" si="89"/>
        <v>82.813805255716545</v>
      </c>
      <c r="AL106" s="20">
        <f t="shared" si="58"/>
        <v>764.41193582037283</v>
      </c>
      <c r="AM106" s="59">
        <f t="shared" si="59"/>
        <v>1057.7452691537062</v>
      </c>
      <c r="AN106" s="59">
        <f ca="1">AVERAGE(OFFSET($AM$3,0,0,'Données projet'!$E$10+1,1))-AVERAGE(OFFSET($H$3,0,0,'Données projet'!$E$10+1,1))</f>
        <v>443.34220761968419</v>
      </c>
      <c r="AO106" s="59">
        <f t="shared" si="90"/>
        <v>546.58234447298014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41.705545408834503</v>
      </c>
      <c r="AV106" s="21">
        <f>EXP(-LN(2)/25)*AV105+(1-EXP(-LN(2)/25))/(LN(2)/25)*Calculateur!AQ106*Calculateur!AS106*VLOOKUP('Données projet'!$B$10,Paramètres!$A$1:$I$89,3,0)*0.475*44/12</f>
        <v>2.8985157738212073</v>
      </c>
      <c r="AW106" s="21">
        <f>EXP(-LN(2)/2)*AW105+(1-EXP(-LN(2)/2))/(LN(2)/2)*AQ106*AT106*VLOOKUP('Données projet'!$B$10,Paramètres!$A$1:$I$89,3,0)*0.475*44/12</f>
        <v>6.2168626997179514E-11</v>
      </c>
      <c r="AX106" s="21">
        <f t="shared" si="60"/>
        <v>44.604061182717878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6.6</v>
      </c>
      <c r="BD106" s="12">
        <f>IF('Données projet'!$A$88&gt;35,BD105+BC106-BL105,IF(A106&lt;'Données projet'!$A$88,$BA$205^A106,IF(A106='Données projet'!$A$88,'Données projet'!$B$88,BD105+BC106-BL105)))</f>
        <v>395.79999999999995</v>
      </c>
      <c r="BE106" s="13">
        <f>BD106*VLOOKUP('Données projet'!$B$11,Paramètres!$A$1:$I$89,3,0)*VLOOKUP('Données projet'!$B$11,Paramètres!$A$1:$I$89,5,0)</f>
        <v>339.59640000000002</v>
      </c>
      <c r="BF106" s="13">
        <f t="shared" si="91"/>
        <v>79.416554343021332</v>
      </c>
      <c r="BG106" s="20">
        <f t="shared" si="61"/>
        <v>729.7808954807623</v>
      </c>
      <c r="BH106" s="59">
        <f t="shared" si="62"/>
        <v>1023.1142288140957</v>
      </c>
      <c r="BI106" s="59">
        <f ca="1">AVERAGE(OFFSET($BH$3,0,0,'Données projet'!$E$11+1,1))-AVERAGE(OFFSET($H$3,0,0,'Données projet'!$E$11+1,1))</f>
        <v>447.15627913956871</v>
      </c>
      <c r="BJ106" s="59">
        <f t="shared" si="92"/>
        <v>256.77417912163997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101.20634224833663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101.20634224833663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258.2</v>
      </c>
      <c r="BZ106" s="13">
        <f>BY106*VLOOKUP('Données projet'!$B$12,Paramètres!$A$1:$I$89,3,0)*VLOOKUP('Données projet'!$B$12,Paramètres!$A$1:$I$89,5,0)</f>
        <v>245.70311999999998</v>
      </c>
      <c r="CA106" s="13">
        <f t="shared" si="93"/>
        <v>59.664902329356607</v>
      </c>
      <c r="CB106" s="20">
        <f t="shared" si="64"/>
        <v>531.84930555696269</v>
      </c>
      <c r="CC106" s="59">
        <f t="shared" si="65"/>
        <v>825.18263889029595</v>
      </c>
      <c r="CD106" s="59">
        <f ca="1">AVERAGE(OFFSET($CC$3,0,0,'Données projet'!$E$12+1,1))-AVERAGE(OFFSET($H$3,0,0,'Données projet'!$E$12+1,1))</f>
        <v>448.94764480536713</v>
      </c>
      <c r="CE106" s="59">
        <f t="shared" si="94"/>
        <v>469.26760321719695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89.01430109872372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89.01430109872372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187.80389738728508</v>
      </c>
      <c r="CZ106" s="59">
        <f t="shared" si="96"/>
        <v>439.28159165815265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29.096387816059611</v>
      </c>
      <c r="DG106" s="21">
        <f>EXP(-LN(2)/25)*DG105+(1-EXP(-LN(2)/25))/(LN(2)/25)*Calculateur!DB106*Calculateur!DD106*VLOOKUP('Données projet'!$B$13,Paramètres!$A$1:$I$89,3,0)*0.475*44/12</f>
        <v>1.8996344524763988</v>
      </c>
      <c r="DH106" s="21">
        <f>EXP(-LN(2)/2)*DH105+(1-EXP(-LN(2)/2))/(LN(2)/2)*DB106*DE106*VLOOKUP('Données projet'!$B$13,Paramètres!$A$1:$I$89,3,0)*0.475*44/12</f>
        <v>4.6264815813857158E-13</v>
      </c>
      <c r="DI106" s="22">
        <f t="shared" si="69"/>
        <v>30.996022268536471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255.00000000000006</v>
      </c>
      <c r="DP106" s="17">
        <f>DO106*VLOOKUP('Données projet'!$B$14,Paramètres!$A$1:$I$89,3,0)*VLOOKUP('Données projet'!$B$14,Paramètres!$A$1:$I$89,5,0)</f>
        <v>186.96600000000004</v>
      </c>
      <c r="DQ106" s="13">
        <f t="shared" si="97"/>
        <v>46.868551400324648</v>
      </c>
      <c r="DR106" s="20">
        <f t="shared" si="70"/>
        <v>407.26184368889881</v>
      </c>
      <c r="DS106" s="59">
        <f t="shared" si="71"/>
        <v>700.59517702223206</v>
      </c>
      <c r="DT106" s="59">
        <f ca="1">AVERAGE(OFFSET($DS$3,0,0,'Données projet'!$E$14+1,1))-AVERAGE(OFFSET($H$3,0,0,'Données projet'!$E$14+1,1))</f>
        <v>239.25212250019609</v>
      </c>
      <c r="DU106" s="59">
        <f t="shared" si="98"/>
        <v>213.58492101729695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689</v>
      </c>
      <c r="EK106" s="17">
        <f>EJ106*VLOOKUP('Données projet'!$B$15,Paramètres!$A$1:$I$89,3,0)*VLOOKUP('Données projet'!$B$15,Paramètres!$A$1:$I$89,5,0)</f>
        <v>412.02199999999999</v>
      </c>
      <c r="EL106" s="13">
        <f t="shared" si="99"/>
        <v>94.209724877926391</v>
      </c>
      <c r="EM106" s="20">
        <f t="shared" si="73"/>
        <v>881.686920829055</v>
      </c>
      <c r="EN106" s="59">
        <f t="shared" si="74"/>
        <v>1175.0202541623883</v>
      </c>
      <c r="EO106" s="59">
        <f ca="1">AVERAGE(OFFSET($EN$3,0,0,'Données projet'!$E$15+1,1))-AVERAGE(OFFSET($H$3,0,0,'Données projet'!$E$15+1,1))</f>
        <v>504.81063008331739</v>
      </c>
      <c r="EP106" s="59">
        <f t="shared" si="100"/>
        <v>441.82647565372287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62.06347646483205</v>
      </c>
      <c r="EW106" s="21">
        <f>EXP(-LN(2)/25)*EW105+(1-EXP(-LN(2)/25))/(LN(2)/25)*Calculateur!ER106*Calculateur!ET106*VLOOKUP('Données projet'!$B$15,Paramètres!$A$1:$I$89,3,0)*0.475*44/12</f>
        <v>7.7795518273992466</v>
      </c>
      <c r="EX106" s="21">
        <f>EXP(-LN(2)/2)*EX105+(1-EXP(-LN(2)/2))/(LN(2)/2)*ER106*EU106*VLOOKUP('Données projet'!$B$15,Paramètres!$A$1:$I$89,3,0)*0.475*44/12</f>
        <v>5.3882154105005956E-13</v>
      </c>
      <c r="EY106" s="22">
        <f t="shared" si="75"/>
        <v>69.843028292231836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541.99999999999989</v>
      </c>
      <c r="FF106" s="17">
        <f>FE106*VLOOKUP('Données projet'!$B$16,Paramètres!$A$1:$I$89,3,0)*VLOOKUP('Données projet'!$B$16,Paramètres!$A$1:$I$89,5,0)</f>
        <v>310.02399999999994</v>
      </c>
      <c r="FG106" s="13">
        <f t="shared" si="101"/>
        <v>73.27384230442388</v>
      </c>
      <c r="FH106" s="20">
        <f t="shared" si="76"/>
        <v>667.57707534687154</v>
      </c>
      <c r="FI106" s="59">
        <f t="shared" si="77"/>
        <v>960.91040868020491</v>
      </c>
      <c r="FJ106" s="59">
        <f ca="1">AVERAGE(OFFSET($FI$3,0,0,'Données projet'!$E$16+1,1))-AVERAGE(OFFSET($H$3,0,0,'Données projet'!$E$16+1,1))</f>
        <v>393.41577134252316</v>
      </c>
      <c r="FK106" s="59">
        <f t="shared" si="102"/>
        <v>255.54039659391475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72.673518677756135</v>
      </c>
      <c r="FR106" s="21">
        <f>EXP(-LN(2)/25)*FR105+(1-EXP(-LN(2)/25))/(LN(2)/25)*Calculateur!FM106*Calculateur!FO106*VLOOKUP('Données projet'!$B$16,Paramètres!$A$1:$I$89,3,0)*0.475*44/12</f>
        <v>3.5304876459635075</v>
      </c>
      <c r="FS106" s="21">
        <f>EXP(-LN(2)/2)*FS105+(1-EXP(-LN(2)/2))/(LN(2)/2)*FM106*FP106*VLOOKUP('Données projet'!$B$16,Paramètres!$A$1:$I$89,3,0)*0.475*44/12</f>
        <v>3.748514999956509E-12</v>
      </c>
      <c r="FT106" s="22">
        <f t="shared" si="78"/>
        <v>76.204006323723391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853.00000000000011</v>
      </c>
      <c r="GA106" s="17">
        <f>FZ106*VLOOKUP('Données projet'!$B$17,Paramètres!$A$1:$I$89,3,0)*VLOOKUP('Données projet'!$B$17,Paramètres!$A$1:$I$89,5,0)</f>
        <v>399.20400000000006</v>
      </c>
      <c r="GB106" s="13">
        <f t="shared" si="103"/>
        <v>91.615269732888521</v>
      </c>
      <c r="GC106" s="20">
        <f t="shared" si="79"/>
        <v>854.8435614514475</v>
      </c>
      <c r="GD106" s="59">
        <f t="shared" si="80"/>
        <v>1148.1768947847809</v>
      </c>
      <c r="GE106" s="59">
        <f ca="1">AVERAGE(OFFSET($GD$3,0,0,'Données projet'!$E$17+1,1))-AVERAGE(OFFSET($H$3,0,0,'Données projet'!$E$17+1,1))</f>
        <v>488.67934252295686</v>
      </c>
      <c r="GF106" s="59">
        <f t="shared" si="104"/>
        <v>424.50324471331095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87.886083551973854</v>
      </c>
      <c r="GM106" s="21">
        <f>EXP(-LN(2)/25)*GM105+(1-EXP(-LN(2)/25))/(LN(2)/25)*Calculateur!GH106*Calculateur!GJ106*VLOOKUP('Données projet'!$B$17,Paramètres!$A$1:$I$89,3,0)*0.475*44/12</f>
        <v>6.4725606842664307</v>
      </c>
      <c r="GN106" s="21">
        <f>EXP(-LN(2)/2)*GN105+(1-EXP(-LN(2)/2))/(LN(2)/2)*GH106*GK106*VLOOKUP('Données projet'!$B$17,Paramètres!$A$1:$I$89,3,0)*0.475*44/12</f>
        <v>8.3489652271758584E-12</v>
      </c>
      <c r="GO106" s="21">
        <f t="shared" si="81"/>
        <v>94.358644236248637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789</v>
      </c>
      <c r="GV106" s="17">
        <f>GU106*VLOOKUP('Données projet'!$B$18,Paramètres!$A$1:$I$89,3,0)*VLOOKUP('Données projet'!$B$18,Paramètres!$A$1:$I$89,5,0)</f>
        <v>379.50900000000001</v>
      </c>
      <c r="GW106" s="13">
        <f t="shared" si="105"/>
        <v>87.609801106074272</v>
      </c>
      <c r="GX106" s="20">
        <f t="shared" si="82"/>
        <v>813.56524525974601</v>
      </c>
      <c r="GY106" s="59">
        <f t="shared" si="83"/>
        <v>1106.8985785930793</v>
      </c>
      <c r="GZ106" s="59">
        <f ca="1">AVERAGE(OFFSET($GY$3,0,0,'Données projet'!$E$18+1,1))-AVERAGE(OFFSET($H$3,0,0,'Données projet'!$E$18+1,1))</f>
        <v>458.80976193248841</v>
      </c>
      <c r="HA106" s="59">
        <f t="shared" si="106"/>
        <v>396.07405370178759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88.991501902892381</v>
      </c>
      <c r="HH106" s="21">
        <f>EXP(-LN(2)/25)*HH105+(1-EXP(-LN(2)/25))/(LN(2)/25)*Calculateur!HC106*Calculateur!HE106*VLOOKUP('Données projet'!$B$18,Paramètres!$A$1:$I$89,3,0)*0.475*44/12</f>
        <v>6.0475945787337935</v>
      </c>
      <c r="HI106" s="21">
        <f>EXP(-LN(2)/2)*HI105+(1-EXP(-LN(2)/2))/(LN(2)/2)*HC106*HF106*VLOOKUP('Données projet'!$B$18,Paramètres!$A$1:$I$89,3,0)*0.475*44/12</f>
        <v>3.8526404166219705E-12</v>
      </c>
      <c r="HJ106" s="22">
        <f t="shared" si="84"/>
        <v>95.039096481630025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4.5999999999999996</v>
      </c>
      <c r="N107" s="13">
        <f>IF('Données projet'!$A$36&gt;35,N106+M107-V106,IF(A107&lt;'Données projet'!$A$36,$K$205^A107,IF(A107='Données projet'!$A$36,'Données projet'!$B$36,N106+M107-V106)))</f>
        <v>279.39999999999998</v>
      </c>
      <c r="O107" s="13">
        <f>N107*VLOOKUP('Données projet'!$B$9,Paramètres!$A$1:$I$89,3,0)*VLOOKUP('Données projet'!$B$9,Paramètres!$A$1:$I$89,5,0)</f>
        <v>252.80111999999994</v>
      </c>
      <c r="P107" s="13">
        <f t="shared" si="87"/>
        <v>61.185369021394209</v>
      </c>
      <c r="Q107" s="20">
        <f t="shared" si="107"/>
        <v>546.8598017122614</v>
      </c>
      <c r="R107" s="59">
        <f t="shared" si="55"/>
        <v>840.19313504559477</v>
      </c>
      <c r="S107" s="59">
        <f ca="1">AVERAGE(OFFSET($R$3,0,0,'Données projet'!$E$9+1,1))-AVERAGE(OFFSET($H$3,0,0,'Données projet'!$E$9+1,1))</f>
        <v>364.3481978218424</v>
      </c>
      <c r="T107" s="59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66.380817045079539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66.380817045079539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636.99999999999977</v>
      </c>
      <c r="AJ107" s="13">
        <f>AI107*VLOOKUP('Données projet'!$B$10,Paramètres!$A$1:$I$89,3,0)*VLOOKUP('Données projet'!$B$10,Paramètres!$A$1:$I$89,5,0)</f>
        <v>356.08299999999991</v>
      </c>
      <c r="AK107" s="13">
        <f t="shared" si="89"/>
        <v>82.813805255716545</v>
      </c>
      <c r="AL107" s="20">
        <f t="shared" si="58"/>
        <v>764.41193582037283</v>
      </c>
      <c r="AM107" s="59">
        <f t="shared" si="59"/>
        <v>1057.7452691537062</v>
      </c>
      <c r="AN107" s="59">
        <f ca="1">AVERAGE(OFFSET($AM$3,0,0,'Données projet'!$E$10+1,1))-AVERAGE(OFFSET($H$3,0,0,'Données projet'!$E$10+1,1))</f>
        <v>443.34220761968419</v>
      </c>
      <c r="AO107" s="59">
        <f t="shared" si="90"/>
        <v>546.58234447298014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40.887725101238175</v>
      </c>
      <c r="AV107" s="21">
        <f>EXP(-LN(2)/25)*AV106+(1-EXP(-LN(2)/25))/(LN(2)/25)*Calculateur!AQ107*Calculateur!AS107*VLOOKUP('Données projet'!$B$10,Paramètres!$A$1:$I$89,3,0)*0.475*44/12</f>
        <v>2.8192557075597464</v>
      </c>
      <c r="AW107" s="21">
        <f>EXP(-LN(2)/2)*AW106+(1-EXP(-LN(2)/2))/(LN(2)/2)*AQ107*AT107*VLOOKUP('Données projet'!$B$10,Paramètres!$A$1:$I$89,3,0)*0.475*44/12</f>
        <v>4.3959857726762706E-11</v>
      </c>
      <c r="AX107" s="21">
        <f t="shared" si="60"/>
        <v>43.706980808841884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6.6</v>
      </c>
      <c r="BD107" s="12">
        <f>IF('Données projet'!$A$88&gt;35,BD106+BC107-BL106,IF(A107&lt;'Données projet'!$A$88,$BA$205^A107,IF(A107='Données projet'!$A$88,'Données projet'!$B$88,BD106+BC107-BL106)))</f>
        <v>402.4</v>
      </c>
      <c r="BE107" s="13">
        <f>BD107*VLOOKUP('Données projet'!$B$11,Paramètres!$A$1:$I$89,3,0)*VLOOKUP('Données projet'!$B$11,Paramètres!$A$1:$I$89,5,0)</f>
        <v>345.25920000000002</v>
      </c>
      <c r="BF107" s="13">
        <f t="shared" si="91"/>
        <v>80.585557826060622</v>
      </c>
      <c r="BG107" s="20">
        <f t="shared" si="61"/>
        <v>741.67961988038894</v>
      </c>
      <c r="BH107" s="59">
        <f t="shared" si="62"/>
        <v>1035.0129532137223</v>
      </c>
      <c r="BI107" s="59">
        <f ca="1">AVERAGE(OFFSET($BH$3,0,0,'Données projet'!$E$11+1,1))-AVERAGE(OFFSET($H$3,0,0,'Données projet'!$E$11+1,1))</f>
        <v>447.15627913956871</v>
      </c>
      <c r="BJ107" s="59">
        <f t="shared" si="92"/>
        <v>256.77417912163997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99.221747606620212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99.221747606620212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262.59999999999997</v>
      </c>
      <c r="BZ107" s="13">
        <f>BY107*VLOOKUP('Données projet'!$B$12,Paramètres!$A$1:$I$89,3,0)*VLOOKUP('Données projet'!$B$12,Paramètres!$A$1:$I$89,5,0)</f>
        <v>249.89015999999998</v>
      </c>
      <c r="CA107" s="13">
        <f t="shared" si="93"/>
        <v>60.562419667970957</v>
      </c>
      <c r="CB107" s="20">
        <f t="shared" si="64"/>
        <v>540.70490958838275</v>
      </c>
      <c r="CC107" s="59">
        <f t="shared" si="65"/>
        <v>834.03824292171612</v>
      </c>
      <c r="CD107" s="59">
        <f ca="1">AVERAGE(OFFSET($CC$3,0,0,'Données projet'!$E$12+1,1))-AVERAGE(OFFSET($H$3,0,0,'Données projet'!$E$12+1,1))</f>
        <v>448.94764480536713</v>
      </c>
      <c r="CE107" s="59">
        <f t="shared" si="94"/>
        <v>469.26760321719695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87.268784947540397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87.268784947540397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187.80389738728508</v>
      </c>
      <c r="CZ107" s="59">
        <f t="shared" si="96"/>
        <v>439.28159165815265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28.525825398030875</v>
      </c>
      <c r="DG107" s="21">
        <f>EXP(-LN(2)/25)*DG106+(1-EXP(-LN(2)/25))/(LN(2)/25)*Calculateur!DB107*Calculateur!DD107*VLOOKUP('Données projet'!$B$13,Paramètres!$A$1:$I$89,3,0)*0.475*44/12</f>
        <v>1.8476888484759975</v>
      </c>
      <c r="DH107" s="21">
        <f>EXP(-LN(2)/2)*DH106+(1-EXP(-LN(2)/2))/(LN(2)/2)*DB107*DE107*VLOOKUP('Données projet'!$B$13,Paramètres!$A$1:$I$89,3,0)*0.475*44/12</f>
        <v>3.2714164992325017E-13</v>
      </c>
      <c r="DI107" s="22">
        <f t="shared" si="69"/>
        <v>30.373514246507199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255.00000000000006</v>
      </c>
      <c r="DP107" s="17">
        <f>DO107*VLOOKUP('Données projet'!$B$14,Paramètres!$A$1:$I$89,3,0)*VLOOKUP('Données projet'!$B$14,Paramètres!$A$1:$I$89,5,0)</f>
        <v>186.96600000000004</v>
      </c>
      <c r="DQ107" s="13">
        <f t="shared" si="97"/>
        <v>46.868551400324648</v>
      </c>
      <c r="DR107" s="20">
        <f t="shared" si="70"/>
        <v>407.26184368889881</v>
      </c>
      <c r="DS107" s="59">
        <f t="shared" si="71"/>
        <v>700.59517702223206</v>
      </c>
      <c r="DT107" s="59">
        <f ca="1">AVERAGE(OFFSET($DS$3,0,0,'Données projet'!$E$14+1,1))-AVERAGE(OFFSET($H$3,0,0,'Données projet'!$E$14+1,1))</f>
        <v>239.25212250019609</v>
      </c>
      <c r="DU107" s="59">
        <f t="shared" si="98"/>
        <v>213.58492101729695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689</v>
      </c>
      <c r="EK107" s="17">
        <f>EJ107*VLOOKUP('Données projet'!$B$15,Paramètres!$A$1:$I$89,3,0)*VLOOKUP('Données projet'!$B$15,Paramètres!$A$1:$I$89,5,0)</f>
        <v>412.02199999999999</v>
      </c>
      <c r="EL107" s="13">
        <f t="shared" si="99"/>
        <v>94.209724877926391</v>
      </c>
      <c r="EM107" s="20">
        <f t="shared" si="73"/>
        <v>881.686920829055</v>
      </c>
      <c r="EN107" s="59">
        <f t="shared" si="74"/>
        <v>1175.0202541623883</v>
      </c>
      <c r="EO107" s="59">
        <f ca="1">AVERAGE(OFFSET($EN$3,0,0,'Données projet'!$E$15+1,1))-AVERAGE(OFFSET($H$3,0,0,'Données projet'!$E$15+1,1))</f>
        <v>504.81063008331739</v>
      </c>
      <c r="EP107" s="59">
        <f t="shared" si="100"/>
        <v>441.82647565372287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60.846449546339471</v>
      </c>
      <c r="EW107" s="21">
        <f>EXP(-LN(2)/25)*EW106+(1-EXP(-LN(2)/25))/(LN(2)/25)*Calculateur!ER107*Calculateur!ET107*VLOOKUP('Données projet'!$B$15,Paramètres!$A$1:$I$89,3,0)*0.475*44/12</f>
        <v>7.5668195735701635</v>
      </c>
      <c r="EX107" s="21">
        <f>EXP(-LN(2)/2)*EX106+(1-EXP(-LN(2)/2))/(LN(2)/2)*ER107*EU107*VLOOKUP('Données projet'!$B$15,Paramètres!$A$1:$I$89,3,0)*0.475*44/12</f>
        <v>3.8100436552588281E-13</v>
      </c>
      <c r="EY107" s="22">
        <f t="shared" si="75"/>
        <v>68.413269119910012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541.99999999999989</v>
      </c>
      <c r="FF107" s="17">
        <f>FE107*VLOOKUP('Données projet'!$B$16,Paramètres!$A$1:$I$89,3,0)*VLOOKUP('Données projet'!$B$16,Paramètres!$A$1:$I$89,5,0)</f>
        <v>310.02399999999994</v>
      </c>
      <c r="FG107" s="13">
        <f t="shared" si="101"/>
        <v>73.27384230442388</v>
      </c>
      <c r="FH107" s="20">
        <f t="shared" si="76"/>
        <v>667.57707534687154</v>
      </c>
      <c r="FI107" s="59">
        <f t="shared" si="77"/>
        <v>960.91040868020491</v>
      </c>
      <c r="FJ107" s="59">
        <f ca="1">AVERAGE(OFFSET($FI$3,0,0,'Données projet'!$E$16+1,1))-AVERAGE(OFFSET($H$3,0,0,'Données projet'!$E$16+1,1))</f>
        <v>393.41577134252316</v>
      </c>
      <c r="FK107" s="59">
        <f t="shared" si="102"/>
        <v>255.54039659391475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71.24843530295486</v>
      </c>
      <c r="FR107" s="21">
        <f>EXP(-LN(2)/25)*FR106+(1-EXP(-LN(2)/25))/(LN(2)/25)*Calculateur!FM107*Calculateur!FO107*VLOOKUP('Données projet'!$B$16,Paramètres!$A$1:$I$89,3,0)*0.475*44/12</f>
        <v>3.4339462756243591</v>
      </c>
      <c r="FS107" s="21">
        <f>EXP(-LN(2)/2)*FS106+(1-EXP(-LN(2)/2))/(LN(2)/2)*FM107*FP107*VLOOKUP('Données projet'!$B$16,Paramètres!$A$1:$I$89,3,0)*0.475*44/12</f>
        <v>2.6506003758487385E-12</v>
      </c>
      <c r="FT107" s="22">
        <f t="shared" si="78"/>
        <v>74.682381578581882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853.00000000000011</v>
      </c>
      <c r="GA107" s="17">
        <f>FZ107*VLOOKUP('Données projet'!$B$17,Paramètres!$A$1:$I$89,3,0)*VLOOKUP('Données projet'!$B$17,Paramètres!$A$1:$I$89,5,0)</f>
        <v>399.20400000000006</v>
      </c>
      <c r="GB107" s="13">
        <f t="shared" si="103"/>
        <v>91.615269732888521</v>
      </c>
      <c r="GC107" s="20">
        <f t="shared" si="79"/>
        <v>854.8435614514475</v>
      </c>
      <c r="GD107" s="59">
        <f t="shared" si="80"/>
        <v>1148.1768947847809</v>
      </c>
      <c r="GE107" s="59">
        <f ca="1">AVERAGE(OFFSET($GD$3,0,0,'Données projet'!$E$17+1,1))-AVERAGE(OFFSET($H$3,0,0,'Données projet'!$E$17+1,1))</f>
        <v>488.67934252295686</v>
      </c>
      <c r="GF107" s="59">
        <f t="shared" si="104"/>
        <v>424.50324471331095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86.162691058737536</v>
      </c>
      <c r="GM107" s="21">
        <f>EXP(-LN(2)/25)*GM106+(1-EXP(-LN(2)/25))/(LN(2)/25)*Calculateur!GH107*Calculateur!GJ107*VLOOKUP('Données projet'!$B$17,Paramètres!$A$1:$I$89,3,0)*0.475*44/12</f>
        <v>6.2955681719779921</v>
      </c>
      <c r="GN107" s="21">
        <f>EXP(-LN(2)/2)*GN106+(1-EXP(-LN(2)/2))/(LN(2)/2)*GH107*GK107*VLOOKUP('Données projet'!$B$17,Paramètres!$A$1:$I$89,3,0)*0.475*44/12</f>
        <v>5.9036099280267339E-12</v>
      </c>
      <c r="GO107" s="21">
        <f t="shared" si="81"/>
        <v>92.458259230721424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789</v>
      </c>
      <c r="GV107" s="17">
        <f>GU107*VLOOKUP('Données projet'!$B$18,Paramètres!$A$1:$I$89,3,0)*VLOOKUP('Données projet'!$B$18,Paramètres!$A$1:$I$89,5,0)</f>
        <v>379.50900000000001</v>
      </c>
      <c r="GW107" s="13">
        <f t="shared" si="105"/>
        <v>87.609801106074272</v>
      </c>
      <c r="GX107" s="20">
        <f t="shared" si="82"/>
        <v>813.56524525974601</v>
      </c>
      <c r="GY107" s="59">
        <f t="shared" si="83"/>
        <v>1106.8985785930793</v>
      </c>
      <c r="GZ107" s="59">
        <f ca="1">AVERAGE(OFFSET($GY$3,0,0,'Données projet'!$E$18+1,1))-AVERAGE(OFFSET($H$3,0,0,'Données projet'!$E$18+1,1))</f>
        <v>458.80976193248841</v>
      </c>
      <c r="HA107" s="59">
        <f t="shared" si="106"/>
        <v>396.07405370178759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87.246432830033172</v>
      </c>
      <c r="HH107" s="21">
        <f>EXP(-LN(2)/25)*HH106+(1-EXP(-LN(2)/25))/(LN(2)/25)*Calculateur!HC107*Calculateur!HE107*VLOOKUP('Données projet'!$B$18,Paramètres!$A$1:$I$89,3,0)*0.475*44/12</f>
        <v>5.882222786949141</v>
      </c>
      <c r="HI107" s="21">
        <f>EXP(-LN(2)/2)*HI106+(1-EXP(-LN(2)/2))/(LN(2)/2)*HC107*HF107*VLOOKUP('Données projet'!$B$18,Paramètres!$A$1:$I$89,3,0)*0.475*44/12</f>
        <v>2.724228164066761E-12</v>
      </c>
      <c r="HJ107" s="22">
        <f t="shared" si="84"/>
        <v>93.128655616985043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284</v>
      </c>
      <c r="L108" s="12">
        <f>VLOOKUP(A108,'Données projet'!$A$35:$I$55,9,0)</f>
        <v>4.5999999999999996</v>
      </c>
      <c r="M108" s="12">
        <f t="array" ref="M108">INDEX(L:L,MIN(IF(ISNUMBER(L108:L304),ROW(L108:L304),"")))</f>
        <v>4.5999999999999996</v>
      </c>
      <c r="N108" s="13">
        <f>IF('Données projet'!$A$36&gt;35,N107+M108-V107,IF(A108&lt;'Données projet'!$A$36,$K$205^A108,IF(A108='Données projet'!$A$36,'Données projet'!$B$36,N107+M108-V107)))</f>
        <v>284</v>
      </c>
      <c r="O108" s="13">
        <f>N108*VLOOKUP('Données projet'!$B$9,Paramètres!$A$1:$I$89,3,0)*VLOOKUP('Données projet'!$B$9,Paramètres!$A$1:$I$89,5,0)</f>
        <v>256.96320000000003</v>
      </c>
      <c r="P108" s="13">
        <f t="shared" si="87"/>
        <v>62.074612956838024</v>
      </c>
      <c r="Q108" s="20">
        <f t="shared" si="107"/>
        <v>555.65752423315951</v>
      </c>
      <c r="R108" s="59">
        <f t="shared" si="55"/>
        <v>848.99085756649288</v>
      </c>
      <c r="S108" s="59">
        <f ca="1">AVERAGE(OFFSET($R$3,0,0,'Données projet'!$E$9+1,1))-AVERAGE(OFFSET($H$3,0,0,'Données projet'!$E$9+1,1))</f>
        <v>364.3481978218424</v>
      </c>
      <c r="T108" s="59">
        <f t="shared" si="88"/>
        <v>231.36959598460686</v>
      </c>
      <c r="U108" s="15">
        <f>IF(ISNA(VLOOKUP(A108,'Données projet'!$A$35:$I$55,3,0)),0,VLOOKUP(A108,'Données projet'!$A$35:$I$55,3,0))</f>
        <v>17</v>
      </c>
      <c r="V108" s="15">
        <f>IF(ISNA(VLOOKUP(A108,'Données projet'!$A$35:$I$55,4,0)),0,VLOOKUP(A108,'Données projet'!$A$35:$I$55,4,0))</f>
        <v>20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73.681104265978192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73.681104265978192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636.99999999999977</v>
      </c>
      <c r="AJ108" s="13">
        <f>AI108*VLOOKUP('Données projet'!$B$10,Paramètres!$A$1:$I$89,3,0)*VLOOKUP('Données projet'!$B$10,Paramètres!$A$1:$I$89,5,0)</f>
        <v>356.08299999999991</v>
      </c>
      <c r="AK108" s="13">
        <f t="shared" si="89"/>
        <v>82.813805255716545</v>
      </c>
      <c r="AL108" s="20">
        <f t="shared" si="58"/>
        <v>764.41193582037283</v>
      </c>
      <c r="AM108" s="59">
        <f t="shared" si="59"/>
        <v>1057.7452691537062</v>
      </c>
      <c r="AN108" s="59">
        <f ca="1">AVERAGE(OFFSET($AM$3,0,0,'Données projet'!$E$10+1,1))-AVERAGE(OFFSET($H$3,0,0,'Données projet'!$E$10+1,1))</f>
        <v>443.34220761968419</v>
      </c>
      <c r="AO108" s="59">
        <f t="shared" si="90"/>
        <v>546.58234447298014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40.08594175105268</v>
      </c>
      <c r="AV108" s="21">
        <f>EXP(-LN(2)/25)*AV107+(1-EXP(-LN(2)/25))/(LN(2)/25)*Calculateur!AQ108*Calculateur!AS108*VLOOKUP('Données projet'!$B$10,Paramètres!$A$1:$I$89,3,0)*0.475*44/12</f>
        <v>2.7421630119783109</v>
      </c>
      <c r="AW108" s="21">
        <f>EXP(-LN(2)/2)*AW107+(1-EXP(-LN(2)/2))/(LN(2)/2)*AQ108*AT108*VLOOKUP('Données projet'!$B$10,Paramètres!$A$1:$I$89,3,0)*0.475*44/12</f>
        <v>3.1084313498589757E-11</v>
      </c>
      <c r="AX108" s="21">
        <f t="shared" si="60"/>
        <v>42.828104763062079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409</v>
      </c>
      <c r="BB108" s="12">
        <f>VLOOKUP(A108,'Données projet'!$A$87:$I$107,9,0)</f>
        <v>6.6</v>
      </c>
      <c r="BC108" s="12">
        <f t="array" ref="BC108">INDEX(BB:BB,MIN(IF(ISNUMBER(BB108:BB304),ROW(BB108:BB304),"")))</f>
        <v>6.6</v>
      </c>
      <c r="BD108" s="12">
        <f>IF('Données projet'!$A$88&gt;35,BD107+BC108-BL107,IF(A108&lt;'Données projet'!$A$88,$BA$205^A108,IF(A108='Données projet'!$A$88,'Données projet'!$B$88,BD107+BC108-BL107)))</f>
        <v>409</v>
      </c>
      <c r="BE108" s="13">
        <f>BD108*VLOOKUP('Données projet'!$B$11,Paramètres!$A$1:$I$89,3,0)*VLOOKUP('Données projet'!$B$11,Paramètres!$A$1:$I$89,5,0)</f>
        <v>350.92200000000003</v>
      </c>
      <c r="BF108" s="13">
        <f t="shared" si="91"/>
        <v>81.752331535154511</v>
      </c>
      <c r="BG108" s="20">
        <f t="shared" si="61"/>
        <v>753.57446075706082</v>
      </c>
      <c r="BH108" s="59">
        <f t="shared" si="62"/>
        <v>1046.9077940903942</v>
      </c>
      <c r="BI108" s="59">
        <f ca="1">AVERAGE(OFFSET($BH$3,0,0,'Données projet'!$E$11+1,1))-AVERAGE(OFFSET($H$3,0,0,'Données projet'!$E$11+1,1))</f>
        <v>447.15627913956871</v>
      </c>
      <c r="BJ108" s="59">
        <f t="shared" si="92"/>
        <v>256.77417912163997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23</v>
      </c>
      <c r="BM108" s="16">
        <f>IF(ISNA(VLOOKUP(A108,'Données projet'!$A$87:$I$107,5,0)),0%,VLOOKUP(A108,'Données projet'!$A$87:$I$107,5,0)*VLOOKUP('Données projet'!$B$11,Paramètres!$A$1:$I$89,7,0))</f>
        <v>0.53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108.83820646428737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108.83820646428737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267</v>
      </c>
      <c r="BW108" s="12">
        <f>VLOOKUP(A108,'Données projet'!$A$113:$I$133,9,0)</f>
        <v>4.4000000000000004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266.99999999999994</v>
      </c>
      <c r="BZ108" s="13">
        <f>BY108*VLOOKUP('Données projet'!$B$12,Paramètres!$A$1:$I$89,3,0)*VLOOKUP('Données projet'!$B$12,Paramètres!$A$1:$I$89,5,0)</f>
        <v>254.07719999999992</v>
      </c>
      <c r="CA108" s="13">
        <f t="shared" si="93"/>
        <v>61.458188159552705</v>
      </c>
      <c r="CB108" s="20">
        <f t="shared" si="64"/>
        <v>549.55746771122074</v>
      </c>
      <c r="CC108" s="59">
        <f t="shared" si="65"/>
        <v>842.89080104455411</v>
      </c>
      <c r="CD108" s="59">
        <f ca="1">AVERAGE(OFFSET($CC$3,0,0,'Données projet'!$E$12+1,1))-AVERAGE(OFFSET($H$3,0,0,'Données projet'!$E$12+1,1))</f>
        <v>448.94764480536713</v>
      </c>
      <c r="CE108" s="59">
        <f t="shared" si="94"/>
        <v>469.26760321719695</v>
      </c>
      <c r="CF108" s="15">
        <f>IF(ISNA(VLOOKUP(A108,'Données projet'!$A$113:$I$133,3,0)),0,VLOOKUP(A108,'Données projet'!$A$113:$I$133,3,0))</f>
        <v>20</v>
      </c>
      <c r="CG108" s="15">
        <f>IF(ISNA(VLOOKUP(A108,'Données projet'!$A$113:$I$133,4,0)),0,VLOOKUP(A108,'Données projet'!$A$113:$I$133,4,0))</f>
        <v>21</v>
      </c>
      <c r="CH108" s="16">
        <f>IF(ISNA(VLOOKUP(A108,'Données projet'!$A$113:$I$133,5,0)),0%,VLOOKUP(A108,'Données projet'!$A$113:$I$133,5,0)*VLOOKUP('Données projet'!$B$12,Paramètres!$A$1:$I$89,7,0))</f>
        <v>0.43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95.056746790288955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95.056746790288955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187.80389738728508</v>
      </c>
      <c r="CZ108" s="59">
        <f t="shared" si="96"/>
        <v>439.28159165815265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27.966451361010972</v>
      </c>
      <c r="DG108" s="21">
        <f>EXP(-LN(2)/25)*DG107+(1-EXP(-LN(2)/25))/(LN(2)/25)*Calculateur!DB108*Calculateur!DD108*VLOOKUP('Données projet'!$B$13,Paramètres!$A$1:$I$89,3,0)*0.475*44/12</f>
        <v>1.7971636997486877</v>
      </c>
      <c r="DH108" s="21">
        <f>EXP(-LN(2)/2)*DH107+(1-EXP(-LN(2)/2))/(LN(2)/2)*DB108*DE108*VLOOKUP('Données projet'!$B$13,Paramètres!$A$1:$I$89,3,0)*0.475*44/12</f>
        <v>2.3132407906928579E-13</v>
      </c>
      <c r="DI108" s="22">
        <f t="shared" si="69"/>
        <v>29.763615060759889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255.00000000000006</v>
      </c>
      <c r="DP108" s="17">
        <f>DO108*VLOOKUP('Données projet'!$B$14,Paramètres!$A$1:$I$89,3,0)*VLOOKUP('Données projet'!$B$14,Paramètres!$A$1:$I$89,5,0)</f>
        <v>186.96600000000004</v>
      </c>
      <c r="DQ108" s="13">
        <f t="shared" si="97"/>
        <v>46.868551400324648</v>
      </c>
      <c r="DR108" s="20">
        <f t="shared" si="70"/>
        <v>407.26184368889881</v>
      </c>
      <c r="DS108" s="59">
        <f t="shared" si="71"/>
        <v>700.59517702223206</v>
      </c>
      <c r="DT108" s="59">
        <f ca="1">AVERAGE(OFFSET($DS$3,0,0,'Données projet'!$E$14+1,1))-AVERAGE(OFFSET($H$3,0,0,'Données projet'!$E$14+1,1))</f>
        <v>239.25212250019609</v>
      </c>
      <c r="DU108" s="59">
        <f t="shared" si="98"/>
        <v>213.58492101729695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689</v>
      </c>
      <c r="EK108" s="17">
        <f>EJ108*VLOOKUP('Données projet'!$B$15,Paramètres!$A$1:$I$89,3,0)*VLOOKUP('Données projet'!$B$15,Paramètres!$A$1:$I$89,5,0)</f>
        <v>412.02199999999999</v>
      </c>
      <c r="EL108" s="13">
        <f t="shared" si="99"/>
        <v>94.209724877926391</v>
      </c>
      <c r="EM108" s="20">
        <f t="shared" si="73"/>
        <v>881.686920829055</v>
      </c>
      <c r="EN108" s="59">
        <f t="shared" si="74"/>
        <v>1175.0202541623883</v>
      </c>
      <c r="EO108" s="59">
        <f ca="1">AVERAGE(OFFSET($EN$3,0,0,'Données projet'!$E$15+1,1))-AVERAGE(OFFSET($H$3,0,0,'Données projet'!$E$15+1,1))</f>
        <v>504.81063008331739</v>
      </c>
      <c r="EP108" s="59">
        <f t="shared" si="100"/>
        <v>441.82647565372287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59.653287783405403</v>
      </c>
      <c r="EW108" s="21">
        <f>EXP(-LN(2)/25)*EW107+(1-EXP(-LN(2)/25))/(LN(2)/25)*Calculateur!ER108*Calculateur!ET108*VLOOKUP('Données projet'!$B$15,Paramètres!$A$1:$I$89,3,0)*0.475*44/12</f>
        <v>7.3599044944091405</v>
      </c>
      <c r="EX108" s="21">
        <f>EXP(-LN(2)/2)*EX107+(1-EXP(-LN(2)/2))/(LN(2)/2)*ER108*EU108*VLOOKUP('Données projet'!$B$15,Paramètres!$A$1:$I$89,3,0)*0.475*44/12</f>
        <v>2.6941077052502978E-13</v>
      </c>
      <c r="EY108" s="22">
        <f t="shared" si="75"/>
        <v>67.013192277814809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541.99999999999989</v>
      </c>
      <c r="FF108" s="17">
        <f>FE108*VLOOKUP('Données projet'!$B$16,Paramètres!$A$1:$I$89,3,0)*VLOOKUP('Données projet'!$B$16,Paramètres!$A$1:$I$89,5,0)</f>
        <v>310.02399999999994</v>
      </c>
      <c r="FG108" s="13">
        <f t="shared" si="101"/>
        <v>73.27384230442388</v>
      </c>
      <c r="FH108" s="20">
        <f t="shared" si="76"/>
        <v>667.57707534687154</v>
      </c>
      <c r="FI108" s="59">
        <f t="shared" si="77"/>
        <v>960.91040868020491</v>
      </c>
      <c r="FJ108" s="59">
        <f ca="1">AVERAGE(OFFSET($FI$3,0,0,'Données projet'!$E$16+1,1))-AVERAGE(OFFSET($H$3,0,0,'Données projet'!$E$16+1,1))</f>
        <v>393.41577134252316</v>
      </c>
      <c r="FK108" s="59">
        <f t="shared" si="102"/>
        <v>255.54039659391475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69.851296943918399</v>
      </c>
      <c r="FR108" s="21">
        <f>EXP(-LN(2)/25)*FR107+(1-EXP(-LN(2)/25))/(LN(2)/25)*Calculateur!FM108*Calculateur!FO108*VLOOKUP('Données projet'!$B$16,Paramètres!$A$1:$I$89,3,0)*0.475*44/12</f>
        <v>3.3400448341340248</v>
      </c>
      <c r="FS108" s="21">
        <f>EXP(-LN(2)/2)*FS107+(1-EXP(-LN(2)/2))/(LN(2)/2)*FM108*FP108*VLOOKUP('Données projet'!$B$16,Paramètres!$A$1:$I$89,3,0)*0.475*44/12</f>
        <v>1.8742574999782545E-12</v>
      </c>
      <c r="FT108" s="22">
        <f t="shared" si="78"/>
        <v>73.191341778054294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853.00000000000011</v>
      </c>
      <c r="GA108" s="17">
        <f>FZ108*VLOOKUP('Données projet'!$B$17,Paramètres!$A$1:$I$89,3,0)*VLOOKUP('Données projet'!$B$17,Paramètres!$A$1:$I$89,5,0)</f>
        <v>399.20400000000006</v>
      </c>
      <c r="GB108" s="13">
        <f t="shared" si="103"/>
        <v>91.615269732888521</v>
      </c>
      <c r="GC108" s="20">
        <f t="shared" si="79"/>
        <v>854.8435614514475</v>
      </c>
      <c r="GD108" s="59">
        <f t="shared" si="80"/>
        <v>1148.1768947847809</v>
      </c>
      <c r="GE108" s="59">
        <f ca="1">AVERAGE(OFFSET($GD$3,0,0,'Données projet'!$E$17+1,1))-AVERAGE(OFFSET($H$3,0,0,'Données projet'!$E$17+1,1))</f>
        <v>488.67934252295686</v>
      </c>
      <c r="GF108" s="59">
        <f t="shared" si="104"/>
        <v>424.50324471331095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84.473093241127955</v>
      </c>
      <c r="GM108" s="21">
        <f>EXP(-LN(2)/25)*GM107+(1-EXP(-LN(2)/25))/(LN(2)/25)*Calculateur!GH108*Calculateur!GJ108*VLOOKUP('Données projet'!$B$17,Paramètres!$A$1:$I$89,3,0)*0.475*44/12</f>
        <v>6.1234155292457126</v>
      </c>
      <c r="GN108" s="21">
        <f>EXP(-LN(2)/2)*GN107+(1-EXP(-LN(2)/2))/(LN(2)/2)*GH108*GK108*VLOOKUP('Données projet'!$B$17,Paramètres!$A$1:$I$89,3,0)*0.475*44/12</f>
        <v>4.1744826135879292E-12</v>
      </c>
      <c r="GO108" s="21">
        <f t="shared" si="81"/>
        <v>90.596508770377852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789</v>
      </c>
      <c r="GV108" s="17">
        <f>GU108*VLOOKUP('Données projet'!$B$18,Paramètres!$A$1:$I$89,3,0)*VLOOKUP('Données projet'!$B$18,Paramètres!$A$1:$I$89,5,0)</f>
        <v>379.50900000000001</v>
      </c>
      <c r="GW108" s="13">
        <f t="shared" si="105"/>
        <v>87.609801106074272</v>
      </c>
      <c r="GX108" s="20">
        <f t="shared" si="82"/>
        <v>813.56524525974601</v>
      </c>
      <c r="GY108" s="59">
        <f t="shared" si="83"/>
        <v>1106.8985785930793</v>
      </c>
      <c r="GZ108" s="59">
        <f ca="1">AVERAGE(OFFSET($GY$3,0,0,'Données projet'!$E$18+1,1))-AVERAGE(OFFSET($H$3,0,0,'Données projet'!$E$18+1,1))</f>
        <v>458.80976193248841</v>
      </c>
      <c r="HA108" s="59">
        <f t="shared" si="106"/>
        <v>396.07405370178759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85.535583497305694</v>
      </c>
      <c r="HH108" s="21">
        <f>EXP(-LN(2)/25)*HH107+(1-EXP(-LN(2)/25))/(LN(2)/25)*Calculateur!HC108*Calculateur!HE108*VLOOKUP('Données projet'!$B$18,Paramètres!$A$1:$I$89,3,0)*0.475*44/12</f>
        <v>5.7213730955073645</v>
      </c>
      <c r="HI108" s="21">
        <f>EXP(-LN(2)/2)*HI107+(1-EXP(-LN(2)/2))/(LN(2)/2)*HC108*HF108*VLOOKUP('Données projet'!$B$18,Paramètres!$A$1:$I$89,3,0)*0.475*44/12</f>
        <v>1.9263202083109853E-12</v>
      </c>
      <c r="HJ108" s="22">
        <f t="shared" si="84"/>
        <v>91.256956592814987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4.2</v>
      </c>
      <c r="N109" s="13">
        <f>IF('Données projet'!$A$36&gt;35,N108+M109-V108,IF(A109&lt;'Données projet'!$A$36,$K$205^A109,IF(A109='Données projet'!$A$36,'Données projet'!$B$36,N108+M109-V108)))</f>
        <v>268.2</v>
      </c>
      <c r="O109" s="13">
        <f>N109*VLOOKUP('Données projet'!$B$9,Paramètres!$A$1:$I$89,3,0)*VLOOKUP('Données projet'!$B$9,Paramètres!$A$1:$I$89,5,0)</f>
        <v>242.66735999999997</v>
      </c>
      <c r="P109" s="13">
        <f t="shared" si="87"/>
        <v>59.013056290731797</v>
      </c>
      <c r="Q109" s="20">
        <f t="shared" si="107"/>
        <v>525.42672503969118</v>
      </c>
      <c r="R109" s="59">
        <f t="shared" si="55"/>
        <v>818.76005837302455</v>
      </c>
      <c r="S109" s="59">
        <f ca="1">AVERAGE(OFFSET($R$3,0,0,'Données projet'!$E$9+1,1))-AVERAGE(OFFSET($H$3,0,0,'Données projet'!$E$9+1,1))</f>
        <v>364.3481978218424</v>
      </c>
      <c r="T109" s="59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72.2362627523584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72.2362627523584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636.99999999999977</v>
      </c>
      <c r="AJ109" s="13">
        <f>AI109*VLOOKUP('Données projet'!$B$10,Paramètres!$A$1:$I$89,3,0)*VLOOKUP('Données projet'!$B$10,Paramètres!$A$1:$I$89,5,0)</f>
        <v>356.08299999999991</v>
      </c>
      <c r="AK109" s="13">
        <f t="shared" si="89"/>
        <v>82.813805255716545</v>
      </c>
      <c r="AL109" s="20">
        <f t="shared" si="58"/>
        <v>764.41193582037283</v>
      </c>
      <c r="AM109" s="59">
        <f t="shared" si="59"/>
        <v>1057.7452691537062</v>
      </c>
      <c r="AN109" s="59">
        <f ca="1">AVERAGE(OFFSET($AM$3,0,0,'Données projet'!$E$10+1,1))-AVERAGE(OFFSET($H$3,0,0,'Données projet'!$E$10+1,1))</f>
        <v>443.34220761968419</v>
      </c>
      <c r="AO109" s="59">
        <f t="shared" si="90"/>
        <v>546.58234447298014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39.299880883324768</v>
      </c>
      <c r="AV109" s="21">
        <f>EXP(-LN(2)/25)*AV108+(1-EXP(-LN(2)/25))/(LN(2)/25)*Calculateur!AQ109*Calculateur!AS109*VLOOKUP('Données projet'!$B$10,Paramètres!$A$1:$I$89,3,0)*0.475*44/12</f>
        <v>2.6671784202116786</v>
      </c>
      <c r="AW109" s="21">
        <f>EXP(-LN(2)/2)*AW108+(1-EXP(-LN(2)/2))/(LN(2)/2)*AQ109*AT109*VLOOKUP('Données projet'!$B$10,Paramètres!$A$1:$I$89,3,0)*0.475*44/12</f>
        <v>2.1979928863381353E-11</v>
      </c>
      <c r="AX109" s="21">
        <f t="shared" si="60"/>
        <v>41.967059303558422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6.4</v>
      </c>
      <c r="BD109" s="12">
        <f>IF('Données projet'!$A$88&gt;35,BD108+BC109-BL108,IF(A109&lt;'Données projet'!$A$88,$BA$205^A109,IF(A109='Données projet'!$A$88,'Données projet'!$B$88,BD108+BC109-BL108)))</f>
        <v>392.4</v>
      </c>
      <c r="BE109" s="13">
        <f>BD109*VLOOKUP('Données projet'!$B$11,Paramètres!$A$1:$I$89,3,0)*VLOOKUP('Données projet'!$B$11,Paramètres!$A$1:$I$89,5,0)</f>
        <v>336.67919999999998</v>
      </c>
      <c r="BF109" s="13">
        <f t="shared" si="91"/>
        <v>78.813456684086404</v>
      </c>
      <c r="BG109" s="20">
        <f t="shared" si="61"/>
        <v>723.64971039145041</v>
      </c>
      <c r="BH109" s="59">
        <f t="shared" si="62"/>
        <v>1016.9830437247838</v>
      </c>
      <c r="BI109" s="59">
        <f ca="1">AVERAGE(OFFSET($BH$3,0,0,'Données projet'!$E$11+1,1))-AVERAGE(OFFSET($H$3,0,0,'Données projet'!$E$11+1,1))</f>
        <v>447.15627913956871</v>
      </c>
      <c r="BJ109" s="59">
        <f t="shared" si="92"/>
        <v>256.77417912163997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106.70395562027369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106.70395562027369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245.99999999999994</v>
      </c>
      <c r="BZ109" s="13">
        <f>BY109*VLOOKUP('Données projet'!$B$12,Paramètres!$A$1:$I$89,3,0)*VLOOKUP('Données projet'!$B$12,Paramètres!$A$1:$I$89,5,0)</f>
        <v>234.09359999999998</v>
      </c>
      <c r="CA109" s="13">
        <f t="shared" si="93"/>
        <v>57.166902703920208</v>
      </c>
      <c r="CB109" s="20">
        <f t="shared" si="64"/>
        <v>507.27870887599425</v>
      </c>
      <c r="CC109" s="59">
        <f t="shared" si="65"/>
        <v>800.61204220932757</v>
      </c>
      <c r="CD109" s="59">
        <f ca="1">AVERAGE(OFFSET($CC$3,0,0,'Données projet'!$E$12+1,1))-AVERAGE(OFFSET($H$3,0,0,'Données projet'!$E$12+1,1))</f>
        <v>448.94764480536713</v>
      </c>
      <c r="CE109" s="59">
        <f t="shared" si="94"/>
        <v>469.26760321719695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93.192741964621987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93.192741964621987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187.80389738728508</v>
      </c>
      <c r="CZ109" s="59">
        <f t="shared" si="96"/>
        <v>439.28159165815265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27.418046307672554</v>
      </c>
      <c r="DG109" s="21">
        <f>EXP(-LN(2)/25)*DG108+(1-EXP(-LN(2)/25))/(LN(2)/25)*Calculateur!DB109*Calculateur!DD109*VLOOKUP('Données projet'!$B$13,Paramètres!$A$1:$I$89,3,0)*0.475*44/12</f>
        <v>1.7480201638703283</v>
      </c>
      <c r="DH109" s="21">
        <f>EXP(-LN(2)/2)*DH108+(1-EXP(-LN(2)/2))/(LN(2)/2)*DB109*DE109*VLOOKUP('Données projet'!$B$13,Paramètres!$A$1:$I$89,3,0)*0.475*44/12</f>
        <v>1.6357082496162509E-13</v>
      </c>
      <c r="DI109" s="22">
        <f t="shared" si="69"/>
        <v>29.166066471543047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255.00000000000006</v>
      </c>
      <c r="DP109" s="17">
        <f>DO109*VLOOKUP('Données projet'!$B$14,Paramètres!$A$1:$I$89,3,0)*VLOOKUP('Données projet'!$B$14,Paramètres!$A$1:$I$89,5,0)</f>
        <v>186.96600000000004</v>
      </c>
      <c r="DQ109" s="13">
        <f t="shared" si="97"/>
        <v>46.868551400324648</v>
      </c>
      <c r="DR109" s="20">
        <f t="shared" si="70"/>
        <v>407.26184368889881</v>
      </c>
      <c r="DS109" s="59">
        <f t="shared" si="71"/>
        <v>700.59517702223206</v>
      </c>
      <c r="DT109" s="59">
        <f ca="1">AVERAGE(OFFSET($DS$3,0,0,'Données projet'!$E$14+1,1))-AVERAGE(OFFSET($H$3,0,0,'Données projet'!$E$14+1,1))</f>
        <v>239.25212250019609</v>
      </c>
      <c r="DU109" s="59">
        <f t="shared" si="98"/>
        <v>213.58492101729695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689</v>
      </c>
      <c r="EK109" s="17">
        <f>EJ109*VLOOKUP('Données projet'!$B$15,Paramètres!$A$1:$I$89,3,0)*VLOOKUP('Données projet'!$B$15,Paramètres!$A$1:$I$89,5,0)</f>
        <v>412.02199999999999</v>
      </c>
      <c r="EL109" s="13">
        <f t="shared" si="99"/>
        <v>94.209724877926391</v>
      </c>
      <c r="EM109" s="20">
        <f t="shared" si="73"/>
        <v>881.686920829055</v>
      </c>
      <c r="EN109" s="59">
        <f t="shared" si="74"/>
        <v>1175.0202541623883</v>
      </c>
      <c r="EO109" s="59">
        <f ca="1">AVERAGE(OFFSET($EN$3,0,0,'Données projet'!$E$15+1,1))-AVERAGE(OFFSET($H$3,0,0,'Données projet'!$E$15+1,1))</f>
        <v>504.81063008331739</v>
      </c>
      <c r="EP109" s="59">
        <f t="shared" si="100"/>
        <v>441.82647565372287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58.483523194885663</v>
      </c>
      <c r="EW109" s="21">
        <f>EXP(-LN(2)/25)*EW108+(1-EXP(-LN(2)/25))/(LN(2)/25)*Calculateur!ER109*Calculateur!ET109*VLOOKUP('Données projet'!$B$15,Paramètres!$A$1:$I$89,3,0)*0.475*44/12</f>
        <v>7.1586475189689667</v>
      </c>
      <c r="EX109" s="21">
        <f>EXP(-LN(2)/2)*EX108+(1-EXP(-LN(2)/2))/(LN(2)/2)*ER109*EU109*VLOOKUP('Données projet'!$B$15,Paramètres!$A$1:$I$89,3,0)*0.475*44/12</f>
        <v>1.905021827629414E-13</v>
      </c>
      <c r="EY109" s="22">
        <f t="shared" si="75"/>
        <v>65.64217071385481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541.99999999999989</v>
      </c>
      <c r="FF109" s="17">
        <f>FE109*VLOOKUP('Données projet'!$B$16,Paramètres!$A$1:$I$89,3,0)*VLOOKUP('Données projet'!$B$16,Paramètres!$A$1:$I$89,5,0)</f>
        <v>310.02399999999994</v>
      </c>
      <c r="FG109" s="13">
        <f t="shared" si="101"/>
        <v>73.27384230442388</v>
      </c>
      <c r="FH109" s="20">
        <f t="shared" si="76"/>
        <v>667.57707534687154</v>
      </c>
      <c r="FI109" s="59">
        <f t="shared" si="77"/>
        <v>960.91040868020491</v>
      </c>
      <c r="FJ109" s="59">
        <f ca="1">AVERAGE(OFFSET($FI$3,0,0,'Données projet'!$E$16+1,1))-AVERAGE(OFFSET($H$3,0,0,'Données projet'!$E$16+1,1))</f>
        <v>393.41577134252316</v>
      </c>
      <c r="FK109" s="59">
        <f t="shared" si="102"/>
        <v>255.54039659391475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68.481555615932393</v>
      </c>
      <c r="FR109" s="21">
        <f>EXP(-LN(2)/25)*FR108+(1-EXP(-LN(2)/25))/(LN(2)/25)*Calculateur!FM109*Calculateur!FO109*VLOOKUP('Données projet'!$B$16,Paramètres!$A$1:$I$89,3,0)*0.475*44/12</f>
        <v>3.2487111324993059</v>
      </c>
      <c r="FS109" s="21">
        <f>EXP(-LN(2)/2)*FS108+(1-EXP(-LN(2)/2))/(LN(2)/2)*FM109*FP109*VLOOKUP('Données projet'!$B$16,Paramètres!$A$1:$I$89,3,0)*0.475*44/12</f>
        <v>1.3253001879243692E-12</v>
      </c>
      <c r="FT109" s="22">
        <f t="shared" si="78"/>
        <v>71.730266748433024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853.00000000000011</v>
      </c>
      <c r="GA109" s="17">
        <f>FZ109*VLOOKUP('Données projet'!$B$17,Paramètres!$A$1:$I$89,3,0)*VLOOKUP('Données projet'!$B$17,Paramètres!$A$1:$I$89,5,0)</f>
        <v>399.20400000000006</v>
      </c>
      <c r="GB109" s="13">
        <f t="shared" si="103"/>
        <v>91.615269732888521</v>
      </c>
      <c r="GC109" s="20">
        <f t="shared" si="79"/>
        <v>854.8435614514475</v>
      </c>
      <c r="GD109" s="59">
        <f t="shared" si="80"/>
        <v>1148.1768947847809</v>
      </c>
      <c r="GE109" s="59">
        <f ca="1">AVERAGE(OFFSET($GD$3,0,0,'Données projet'!$E$17+1,1))-AVERAGE(OFFSET($H$3,0,0,'Données projet'!$E$17+1,1))</f>
        <v>488.67934252295686</v>
      </c>
      <c r="GF109" s="59">
        <f t="shared" si="104"/>
        <v>424.50324471331095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82.816627406168791</v>
      </c>
      <c r="GM109" s="21">
        <f>EXP(-LN(2)/25)*GM108+(1-EXP(-LN(2)/25))/(LN(2)/25)*Calculateur!GH109*Calculateur!GJ109*VLOOKUP('Données projet'!$B$17,Paramètres!$A$1:$I$89,3,0)*0.475*44/12</f>
        <v>5.9559704095820614</v>
      </c>
      <c r="GN109" s="21">
        <f>EXP(-LN(2)/2)*GN108+(1-EXP(-LN(2)/2))/(LN(2)/2)*GH109*GK109*VLOOKUP('Données projet'!$B$17,Paramètres!$A$1:$I$89,3,0)*0.475*44/12</f>
        <v>2.951804964013367E-12</v>
      </c>
      <c r="GO109" s="21">
        <f t="shared" si="81"/>
        <v>88.772597815753812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789</v>
      </c>
      <c r="GV109" s="17">
        <f>GU109*VLOOKUP('Données projet'!$B$18,Paramètres!$A$1:$I$89,3,0)*VLOOKUP('Données projet'!$B$18,Paramètres!$A$1:$I$89,5,0)</f>
        <v>379.50900000000001</v>
      </c>
      <c r="GW109" s="13">
        <f t="shared" si="105"/>
        <v>87.609801106074272</v>
      </c>
      <c r="GX109" s="20">
        <f t="shared" si="82"/>
        <v>813.56524525974601</v>
      </c>
      <c r="GY109" s="59">
        <f t="shared" si="83"/>
        <v>1106.8985785930793</v>
      </c>
      <c r="GZ109" s="59">
        <f ca="1">AVERAGE(OFFSET($GY$3,0,0,'Données projet'!$E$18+1,1))-AVERAGE(OFFSET($H$3,0,0,'Données projet'!$E$18+1,1))</f>
        <v>458.80976193248841</v>
      </c>
      <c r="HA109" s="59">
        <f t="shared" si="106"/>
        <v>396.07405370178759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83.858282876477944</v>
      </c>
      <c r="HH109" s="21">
        <f>EXP(-LN(2)/25)*HH108+(1-EXP(-LN(2)/25))/(LN(2)/25)*Calculateur!HC109*Calculateur!HE109*VLOOKUP('Données projet'!$B$18,Paramètres!$A$1:$I$89,3,0)*0.475*44/12</f>
        <v>5.5649218473367812</v>
      </c>
      <c r="HI109" s="21">
        <f>EXP(-LN(2)/2)*HI108+(1-EXP(-LN(2)/2))/(LN(2)/2)*HC109*HF109*VLOOKUP('Données projet'!$B$18,Paramètres!$A$1:$I$89,3,0)*0.475*44/12</f>
        <v>1.3621140820333805E-12</v>
      </c>
      <c r="HJ109" s="22">
        <f t="shared" si="84"/>
        <v>89.423204723816085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4.2</v>
      </c>
      <c r="N110" s="13">
        <f>IF('Données projet'!$A$36&gt;35,N109+M110-V109,IF(A110&lt;'Données projet'!$A$36,$K$205^A110,IF(A110='Données projet'!$A$36,'Données projet'!$B$36,N109+M110-V109)))</f>
        <v>272.39999999999998</v>
      </c>
      <c r="O110" s="13">
        <f>N110*VLOOKUP('Données projet'!$B$9,Paramètres!$A$1:$I$89,3,0)*VLOOKUP('Données projet'!$B$9,Paramètres!$A$1:$I$89,5,0)</f>
        <v>246.46751999999995</v>
      </c>
      <c r="P110" s="13">
        <f t="shared" si="87"/>
        <v>59.828888074216977</v>
      </c>
      <c r="Q110" s="20">
        <f t="shared" si="107"/>
        <v>533.46624406259446</v>
      </c>
      <c r="R110" s="59">
        <f t="shared" si="55"/>
        <v>826.79957739592783</v>
      </c>
      <c r="S110" s="59">
        <f ca="1">AVERAGE(OFFSET($R$3,0,0,'Données projet'!$E$9+1,1))-AVERAGE(OFFSET($H$3,0,0,'Données projet'!$E$9+1,1))</f>
        <v>364.3481978218424</v>
      </c>
      <c r="T110" s="59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70.819753699554383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70.819753699554383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636.99999999999977</v>
      </c>
      <c r="AJ110" s="13">
        <f>AI110*VLOOKUP('Données projet'!$B$10,Paramètres!$A$1:$I$89,3,0)*VLOOKUP('Données projet'!$B$10,Paramètres!$A$1:$I$89,5,0)</f>
        <v>356.08299999999991</v>
      </c>
      <c r="AK110" s="13">
        <f t="shared" si="89"/>
        <v>82.813805255716545</v>
      </c>
      <c r="AL110" s="20">
        <f t="shared" si="58"/>
        <v>764.41193582037283</v>
      </c>
      <c r="AM110" s="59">
        <f t="shared" si="59"/>
        <v>1057.7452691537062</v>
      </c>
      <c r="AN110" s="59">
        <f ca="1">AVERAGE(OFFSET($AM$3,0,0,'Données projet'!$E$10+1,1))-AVERAGE(OFFSET($H$3,0,0,'Données projet'!$E$10+1,1))</f>
        <v>443.34220761968419</v>
      </c>
      <c r="AO110" s="59">
        <f t="shared" si="90"/>
        <v>546.58234447298014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38.529234189763208</v>
      </c>
      <c r="AV110" s="21">
        <f>EXP(-LN(2)/25)*AV109+(1-EXP(-LN(2)/25))/(LN(2)/25)*Calculateur!AQ110*Calculateur!AS110*VLOOKUP('Données projet'!$B$10,Paramètres!$A$1:$I$89,3,0)*0.475*44/12</f>
        <v>2.5942442860501731</v>
      </c>
      <c r="AW110" s="21">
        <f>EXP(-LN(2)/2)*AW109+(1-EXP(-LN(2)/2))/(LN(2)/2)*AQ110*AT110*VLOOKUP('Données projet'!$B$10,Paramètres!$A$1:$I$89,3,0)*0.475*44/12</f>
        <v>1.5542156749294878E-11</v>
      </c>
      <c r="AX110" s="21">
        <f t="shared" si="60"/>
        <v>41.123478475828918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6.4</v>
      </c>
      <c r="BD110" s="12">
        <f>IF('Données projet'!$A$88&gt;35,BD109+BC110-BL109,IF(A110&lt;'Données projet'!$A$88,$BA$205^A110,IF(A110='Données projet'!$A$88,'Données projet'!$B$88,BD109+BC110-BL109)))</f>
        <v>398.79999999999995</v>
      </c>
      <c r="BE110" s="13">
        <f>BD110*VLOOKUP('Données projet'!$B$11,Paramètres!$A$1:$I$89,3,0)*VLOOKUP('Données projet'!$B$11,Paramètres!$A$1:$I$89,5,0)</f>
        <v>342.17040000000003</v>
      </c>
      <c r="BF110" s="13">
        <f t="shared" si="91"/>
        <v>79.948198600746707</v>
      </c>
      <c r="BG110" s="20">
        <f t="shared" si="61"/>
        <v>735.1898925629672</v>
      </c>
      <c r="BH110" s="59">
        <f t="shared" si="62"/>
        <v>1028.5232258963006</v>
      </c>
      <c r="BI110" s="59">
        <f ca="1">AVERAGE(OFFSET($BH$3,0,0,'Données projet'!$E$11+1,1))-AVERAGE(OFFSET($H$3,0,0,'Données projet'!$E$11+1,1))</f>
        <v>447.15627913956871</v>
      </c>
      <c r="BJ110" s="59">
        <f t="shared" si="92"/>
        <v>256.77417912163997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104.61155613354664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104.61155613354664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245.99999999999994</v>
      </c>
      <c r="BZ110" s="13">
        <f>BY110*VLOOKUP('Données projet'!$B$12,Paramètres!$A$1:$I$89,3,0)*VLOOKUP('Données projet'!$B$12,Paramètres!$A$1:$I$89,5,0)</f>
        <v>234.09359999999998</v>
      </c>
      <c r="CA110" s="13">
        <f t="shared" si="93"/>
        <v>57.166902703920208</v>
      </c>
      <c r="CB110" s="20">
        <f t="shared" si="64"/>
        <v>507.27870887599425</v>
      </c>
      <c r="CC110" s="59">
        <f t="shared" si="65"/>
        <v>800.61204220932757</v>
      </c>
      <c r="CD110" s="59">
        <f ca="1">AVERAGE(OFFSET($CC$3,0,0,'Données projet'!$E$12+1,1))-AVERAGE(OFFSET($H$3,0,0,'Données projet'!$E$12+1,1))</f>
        <v>448.94764480536713</v>
      </c>
      <c r="CE110" s="59">
        <f t="shared" si="94"/>
        <v>469.26760321719695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91.365289136655676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91.365289136655676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187.80389738728508</v>
      </c>
      <c r="CZ110" s="59">
        <f t="shared" si="96"/>
        <v>439.28159165815265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26.880395142936049</v>
      </c>
      <c r="DG110" s="21">
        <f>EXP(-LN(2)/25)*DG109+(1-EXP(-LN(2)/25))/(LN(2)/25)*Calculateur!DB110*Calculateur!DD110*VLOOKUP('Données projet'!$B$13,Paramètres!$A$1:$I$89,3,0)*0.475*44/12</f>
        <v>1.7002204605649089</v>
      </c>
      <c r="DH110" s="21">
        <f>EXP(-LN(2)/2)*DH109+(1-EXP(-LN(2)/2))/(LN(2)/2)*DB110*DE110*VLOOKUP('Données projet'!$B$13,Paramètres!$A$1:$I$89,3,0)*0.475*44/12</f>
        <v>1.1566203953464289E-13</v>
      </c>
      <c r="DI110" s="22">
        <f t="shared" si="69"/>
        <v>28.580615603501077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255.00000000000006</v>
      </c>
      <c r="DP110" s="17">
        <f>DO110*VLOOKUP('Données projet'!$B$14,Paramètres!$A$1:$I$89,3,0)*VLOOKUP('Données projet'!$B$14,Paramètres!$A$1:$I$89,5,0)</f>
        <v>186.96600000000004</v>
      </c>
      <c r="DQ110" s="13">
        <f t="shared" si="97"/>
        <v>46.868551400324648</v>
      </c>
      <c r="DR110" s="20">
        <f t="shared" si="70"/>
        <v>407.26184368889881</v>
      </c>
      <c r="DS110" s="59">
        <f t="shared" si="71"/>
        <v>700.59517702223206</v>
      </c>
      <c r="DT110" s="59">
        <f ca="1">AVERAGE(OFFSET($DS$3,0,0,'Données projet'!$E$14+1,1))-AVERAGE(OFFSET($H$3,0,0,'Données projet'!$E$14+1,1))</f>
        <v>239.25212250019609</v>
      </c>
      <c r="DU110" s="59">
        <f t="shared" si="98"/>
        <v>213.58492101729695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689</v>
      </c>
      <c r="EK110" s="17">
        <f>EJ110*VLOOKUP('Données projet'!$B$15,Paramètres!$A$1:$I$89,3,0)*VLOOKUP('Données projet'!$B$15,Paramètres!$A$1:$I$89,5,0)</f>
        <v>412.02199999999999</v>
      </c>
      <c r="EL110" s="13">
        <f t="shared" si="99"/>
        <v>94.209724877926391</v>
      </c>
      <c r="EM110" s="20">
        <f t="shared" si="73"/>
        <v>881.686920829055</v>
      </c>
      <c r="EN110" s="59">
        <f t="shared" si="74"/>
        <v>1175.0202541623883</v>
      </c>
      <c r="EO110" s="59">
        <f ca="1">AVERAGE(OFFSET($EN$3,0,0,'Données projet'!$E$15+1,1))-AVERAGE(OFFSET($H$3,0,0,'Données projet'!$E$15+1,1))</f>
        <v>504.81063008331739</v>
      </c>
      <c r="EP110" s="59">
        <f t="shared" si="100"/>
        <v>441.82647565372287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57.336696976460843</v>
      </c>
      <c r="EW110" s="21">
        <f>EXP(-LN(2)/25)*EW109+(1-EXP(-LN(2)/25))/(LN(2)/25)*Calculateur!ER110*Calculateur!ET110*VLOOKUP('Données projet'!$B$15,Paramètres!$A$1:$I$89,3,0)*0.475*44/12</f>
        <v>6.9628939261058482</v>
      </c>
      <c r="EX110" s="21">
        <f>EXP(-LN(2)/2)*EX109+(1-EXP(-LN(2)/2))/(LN(2)/2)*ER110*EU110*VLOOKUP('Données projet'!$B$15,Paramètres!$A$1:$I$89,3,0)*0.475*44/12</f>
        <v>1.3470538526251489E-13</v>
      </c>
      <c r="EY110" s="22">
        <f t="shared" si="75"/>
        <v>64.29959090256682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541.99999999999989</v>
      </c>
      <c r="FF110" s="17">
        <f>FE110*VLOOKUP('Données projet'!$B$16,Paramètres!$A$1:$I$89,3,0)*VLOOKUP('Données projet'!$B$16,Paramètres!$A$1:$I$89,5,0)</f>
        <v>310.02399999999994</v>
      </c>
      <c r="FG110" s="13">
        <f t="shared" si="101"/>
        <v>73.27384230442388</v>
      </c>
      <c r="FH110" s="20">
        <f t="shared" si="76"/>
        <v>667.57707534687154</v>
      </c>
      <c r="FI110" s="59">
        <f t="shared" si="77"/>
        <v>960.91040868020491</v>
      </c>
      <c r="FJ110" s="59">
        <f ca="1">AVERAGE(OFFSET($FI$3,0,0,'Données projet'!$E$16+1,1))-AVERAGE(OFFSET($H$3,0,0,'Données projet'!$E$16+1,1))</f>
        <v>393.41577134252316</v>
      </c>
      <c r="FK110" s="59">
        <f t="shared" si="102"/>
        <v>255.54039659391475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67.138674079928478</v>
      </c>
      <c r="FR110" s="21">
        <f>EXP(-LN(2)/25)*FR109+(1-EXP(-LN(2)/25))/(LN(2)/25)*Calculateur!FM110*Calculateur!FO110*VLOOKUP('Données projet'!$B$16,Paramètres!$A$1:$I$89,3,0)*0.475*44/12</f>
        <v>3.159874955738819</v>
      </c>
      <c r="FS110" s="21">
        <f>EXP(-LN(2)/2)*FS109+(1-EXP(-LN(2)/2))/(LN(2)/2)*FM110*FP110*VLOOKUP('Données projet'!$B$16,Paramètres!$A$1:$I$89,3,0)*0.475*44/12</f>
        <v>9.3712874998912725E-13</v>
      </c>
      <c r="FT110" s="22">
        <f t="shared" si="78"/>
        <v>70.298549035668231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853.00000000000011</v>
      </c>
      <c r="GA110" s="17">
        <f>FZ110*VLOOKUP('Données projet'!$B$17,Paramètres!$A$1:$I$89,3,0)*VLOOKUP('Données projet'!$B$17,Paramètres!$A$1:$I$89,5,0)</f>
        <v>399.20400000000006</v>
      </c>
      <c r="GB110" s="13">
        <f t="shared" si="103"/>
        <v>91.615269732888521</v>
      </c>
      <c r="GC110" s="20">
        <f t="shared" si="79"/>
        <v>854.8435614514475</v>
      </c>
      <c r="GD110" s="59">
        <f t="shared" si="80"/>
        <v>1148.1768947847809</v>
      </c>
      <c r="GE110" s="59">
        <f ca="1">AVERAGE(OFFSET($GD$3,0,0,'Données projet'!$E$17+1,1))-AVERAGE(OFFSET($H$3,0,0,'Données projet'!$E$17+1,1))</f>
        <v>488.67934252295686</v>
      </c>
      <c r="GF110" s="59">
        <f t="shared" si="104"/>
        <v>424.50324471331095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81.192643855888775</v>
      </c>
      <c r="GM110" s="21">
        <f>EXP(-LN(2)/25)*GM109+(1-EXP(-LN(2)/25))/(LN(2)/25)*Calculateur!GH110*Calculateur!GJ110*VLOOKUP('Données projet'!$B$17,Paramètres!$A$1:$I$89,3,0)*0.475*44/12</f>
        <v>5.7931040855211684</v>
      </c>
      <c r="GN110" s="21">
        <f>EXP(-LN(2)/2)*GN109+(1-EXP(-LN(2)/2))/(LN(2)/2)*GH110*GK110*VLOOKUP('Données projet'!$B$17,Paramètres!$A$1:$I$89,3,0)*0.475*44/12</f>
        <v>2.0872413067939646E-12</v>
      </c>
      <c r="GO110" s="21">
        <f t="shared" si="81"/>
        <v>86.985747941412029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789</v>
      </c>
      <c r="GV110" s="17">
        <f>GU110*VLOOKUP('Données projet'!$B$18,Paramètres!$A$1:$I$89,3,0)*VLOOKUP('Données projet'!$B$18,Paramètres!$A$1:$I$89,5,0)</f>
        <v>379.50900000000001</v>
      </c>
      <c r="GW110" s="13">
        <f t="shared" si="105"/>
        <v>87.609801106074272</v>
      </c>
      <c r="GX110" s="20">
        <f t="shared" si="82"/>
        <v>813.56524525974601</v>
      </c>
      <c r="GY110" s="59">
        <f t="shared" si="83"/>
        <v>1106.8985785930793</v>
      </c>
      <c r="GZ110" s="59">
        <f ca="1">AVERAGE(OFFSET($GY$3,0,0,'Données projet'!$E$18+1,1))-AVERAGE(OFFSET($H$3,0,0,'Données projet'!$E$18+1,1))</f>
        <v>458.80976193248841</v>
      </c>
      <c r="HA110" s="59">
        <f t="shared" si="106"/>
        <v>396.07405370178759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82.213873097772264</v>
      </c>
      <c r="HH110" s="21">
        <f>EXP(-LN(2)/25)*HH109+(1-EXP(-LN(2)/25))/(LN(2)/25)*Calculateur!HC110*Calculateur!HE110*VLOOKUP('Données projet'!$B$18,Paramètres!$A$1:$I$89,3,0)*0.475*44/12</f>
        <v>5.4127487667748362</v>
      </c>
      <c r="HI110" s="21">
        <f>EXP(-LN(2)/2)*HI109+(1-EXP(-LN(2)/2))/(LN(2)/2)*HC110*HF110*VLOOKUP('Données projet'!$B$18,Paramètres!$A$1:$I$89,3,0)*0.475*44/12</f>
        <v>9.6316010415549263E-13</v>
      </c>
      <c r="HJ110" s="22">
        <f t="shared" si="84"/>
        <v>87.626621864548071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4.2</v>
      </c>
      <c r="N111" s="13">
        <f>IF('Données projet'!$A$36&gt;35,N110+M111-V110,IF(A111&lt;'Données projet'!$A$36,$K$205^A111,IF(A111='Données projet'!$A$36,'Données projet'!$B$36,N110+M111-V110)))</f>
        <v>276.59999999999997</v>
      </c>
      <c r="O111" s="13">
        <f>N111*VLOOKUP('Données projet'!$B$9,Paramètres!$A$1:$I$89,3,0)*VLOOKUP('Données projet'!$B$9,Paramètres!$A$1:$I$89,5,0)</f>
        <v>250.26767999999996</v>
      </c>
      <c r="P111" s="13">
        <f t="shared" si="87"/>
        <v>60.643256925083442</v>
      </c>
      <c r="Q111" s="20">
        <f t="shared" si="107"/>
        <v>541.50321514452014</v>
      </c>
      <c r="R111" s="59">
        <f t="shared" si="55"/>
        <v>834.83654847785351</v>
      </c>
      <c r="S111" s="59">
        <f ca="1">AVERAGE(OFFSET($R$3,0,0,'Données projet'!$E$9+1,1))-AVERAGE(OFFSET($H$3,0,0,'Données projet'!$E$9+1,1))</f>
        <v>364.3481978218424</v>
      </c>
      <c r="T111" s="59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69.431021525290646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69.431021525290646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636.99999999999977</v>
      </c>
      <c r="AJ111" s="13">
        <f>AI111*VLOOKUP('Données projet'!$B$10,Paramètres!$A$1:$I$89,3,0)*VLOOKUP('Données projet'!$B$10,Paramètres!$A$1:$I$89,5,0)</f>
        <v>356.08299999999991</v>
      </c>
      <c r="AK111" s="13">
        <f t="shared" si="89"/>
        <v>82.813805255716545</v>
      </c>
      <c r="AL111" s="20">
        <f t="shared" si="58"/>
        <v>764.41193582037283</v>
      </c>
      <c r="AM111" s="59">
        <f t="shared" si="59"/>
        <v>1057.7452691537062</v>
      </c>
      <c r="AN111" s="59">
        <f ca="1">AVERAGE(OFFSET($AM$3,0,0,'Données projet'!$E$10+1,1))-AVERAGE(OFFSET($H$3,0,0,'Données projet'!$E$10+1,1))</f>
        <v>443.34220761968419</v>
      </c>
      <c r="AO111" s="59">
        <f t="shared" si="90"/>
        <v>546.58234447298014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37.773699407814327</v>
      </c>
      <c r="AV111" s="21">
        <f>EXP(-LN(2)/25)*AV110+(1-EXP(-LN(2)/25))/(LN(2)/25)*Calculateur!AQ111*Calculateur!AS111*VLOOKUP('Données projet'!$B$10,Paramètres!$A$1:$I$89,3,0)*0.475*44/12</f>
        <v>2.5233045396227531</v>
      </c>
      <c r="AW111" s="21">
        <f>EXP(-LN(2)/2)*AW110+(1-EXP(-LN(2)/2))/(LN(2)/2)*AQ111*AT111*VLOOKUP('Données projet'!$B$10,Paramètres!$A$1:$I$89,3,0)*0.475*44/12</f>
        <v>1.0989964431690677E-11</v>
      </c>
      <c r="AX111" s="21">
        <f t="shared" si="60"/>
        <v>40.297003947448069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6.4</v>
      </c>
      <c r="BD111" s="12">
        <f>IF('Données projet'!$A$88&gt;35,BD110+BC111-BL110,IF(A111&lt;'Données projet'!$A$88,$BA$205^A111,IF(A111='Données projet'!$A$88,'Données projet'!$B$88,BD110+BC111-BL110)))</f>
        <v>405.19999999999993</v>
      </c>
      <c r="BE111" s="13">
        <f>BD111*VLOOKUP('Données projet'!$B$11,Paramètres!$A$1:$I$89,3,0)*VLOOKUP('Données projet'!$B$11,Paramètres!$A$1:$I$89,5,0)</f>
        <v>347.66159999999996</v>
      </c>
      <c r="BF111" s="13">
        <f t="shared" si="91"/>
        <v>81.080822697416465</v>
      </c>
      <c r="BG111" s="20">
        <f t="shared" si="61"/>
        <v>746.72638619800034</v>
      </c>
      <c r="BH111" s="59">
        <f t="shared" si="62"/>
        <v>1040.0597195313337</v>
      </c>
      <c r="BI111" s="59">
        <f ca="1">AVERAGE(OFFSET($BH$3,0,0,'Données projet'!$E$11+1,1))-AVERAGE(OFFSET($H$3,0,0,'Données projet'!$E$11+1,1))</f>
        <v>447.15627913956871</v>
      </c>
      <c r="BJ111" s="59">
        <f t="shared" si="92"/>
        <v>256.77417912163997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102.56018732451665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102.56018732451665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245.99999999999994</v>
      </c>
      <c r="BZ111" s="13">
        <f>BY111*VLOOKUP('Données projet'!$B$12,Paramètres!$A$1:$I$89,3,0)*VLOOKUP('Données projet'!$B$12,Paramètres!$A$1:$I$89,5,0)</f>
        <v>234.09359999999998</v>
      </c>
      <c r="CA111" s="13">
        <f t="shared" si="93"/>
        <v>57.166902703920208</v>
      </c>
      <c r="CB111" s="20">
        <f t="shared" si="64"/>
        <v>507.27870887599425</v>
      </c>
      <c r="CC111" s="59">
        <f t="shared" si="65"/>
        <v>800.61204220932757</v>
      </c>
      <c r="CD111" s="59">
        <f ca="1">AVERAGE(OFFSET($CC$3,0,0,'Données projet'!$E$12+1,1))-AVERAGE(OFFSET($H$3,0,0,'Données projet'!$E$12+1,1))</f>
        <v>448.94764480536713</v>
      </c>
      <c r="CE111" s="59">
        <f t="shared" si="94"/>
        <v>469.26760321719695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89.573671544009613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89.573671544009613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187.80389738728508</v>
      </c>
      <c r="CZ111" s="59">
        <f t="shared" si="96"/>
        <v>439.28159165815265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26.353286989605195</v>
      </c>
      <c r="DG111" s="21">
        <f>EXP(-LN(2)/25)*DG110+(1-EXP(-LN(2)/25))/(LN(2)/25)*Calculateur!DB111*Calculateur!DD111*VLOOKUP('Données projet'!$B$13,Paramètres!$A$1:$I$89,3,0)*0.475*44/12</f>
        <v>1.6537278426600535</v>
      </c>
      <c r="DH111" s="21">
        <f>EXP(-LN(2)/2)*DH110+(1-EXP(-LN(2)/2))/(LN(2)/2)*DB111*DE111*VLOOKUP('Données projet'!$B$13,Paramètres!$A$1:$I$89,3,0)*0.475*44/12</f>
        <v>8.1785412480812543E-14</v>
      </c>
      <c r="DI111" s="22">
        <f t="shared" si="69"/>
        <v>28.00701483226533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255.00000000000006</v>
      </c>
      <c r="DP111" s="17">
        <f>DO111*VLOOKUP('Données projet'!$B$14,Paramètres!$A$1:$I$89,3,0)*VLOOKUP('Données projet'!$B$14,Paramètres!$A$1:$I$89,5,0)</f>
        <v>186.96600000000004</v>
      </c>
      <c r="DQ111" s="13">
        <f t="shared" si="97"/>
        <v>46.868551400324648</v>
      </c>
      <c r="DR111" s="20">
        <f t="shared" si="70"/>
        <v>407.26184368889881</v>
      </c>
      <c r="DS111" s="59">
        <f t="shared" si="71"/>
        <v>700.59517702223206</v>
      </c>
      <c r="DT111" s="59">
        <f ca="1">AVERAGE(OFFSET($DS$3,0,0,'Données projet'!$E$14+1,1))-AVERAGE(OFFSET($H$3,0,0,'Données projet'!$E$14+1,1))</f>
        <v>239.25212250019609</v>
      </c>
      <c r="DU111" s="59">
        <f t="shared" si="98"/>
        <v>213.58492101729695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689</v>
      </c>
      <c r="EK111" s="17">
        <f>EJ111*VLOOKUP('Données projet'!$B$15,Paramètres!$A$1:$I$89,3,0)*VLOOKUP('Données projet'!$B$15,Paramètres!$A$1:$I$89,5,0)</f>
        <v>412.02199999999999</v>
      </c>
      <c r="EL111" s="13">
        <f t="shared" si="99"/>
        <v>94.209724877926391</v>
      </c>
      <c r="EM111" s="20">
        <f t="shared" si="73"/>
        <v>881.686920829055</v>
      </c>
      <c r="EN111" s="59">
        <f t="shared" si="74"/>
        <v>1175.0202541623883</v>
      </c>
      <c r="EO111" s="59">
        <f ca="1">AVERAGE(OFFSET($EN$3,0,0,'Données projet'!$E$15+1,1))-AVERAGE(OFFSET($H$3,0,0,'Données projet'!$E$15+1,1))</f>
        <v>504.81063008331739</v>
      </c>
      <c r="EP111" s="59">
        <f t="shared" si="100"/>
        <v>441.82647565372287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56.212359320684406</v>
      </c>
      <c r="EW111" s="21">
        <f>EXP(-LN(2)/25)*EW110+(1-EXP(-LN(2)/25))/(LN(2)/25)*Calculateur!ER111*Calculateur!ET111*VLOOKUP('Données projet'!$B$15,Paramètres!$A$1:$I$89,3,0)*0.475*44/12</f>
        <v>6.7724932255338057</v>
      </c>
      <c r="EX111" s="21">
        <f>EXP(-LN(2)/2)*EX110+(1-EXP(-LN(2)/2))/(LN(2)/2)*ER111*EU111*VLOOKUP('Données projet'!$B$15,Paramètres!$A$1:$I$89,3,0)*0.475*44/12</f>
        <v>9.5251091381470702E-14</v>
      </c>
      <c r="EY111" s="22">
        <f t="shared" si="75"/>
        <v>62.984852546218306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541.99999999999989</v>
      </c>
      <c r="FF111" s="17">
        <f>FE111*VLOOKUP('Données projet'!$B$16,Paramètres!$A$1:$I$89,3,0)*VLOOKUP('Données projet'!$B$16,Paramètres!$A$1:$I$89,5,0)</f>
        <v>310.02399999999994</v>
      </c>
      <c r="FG111" s="13">
        <f t="shared" si="101"/>
        <v>73.27384230442388</v>
      </c>
      <c r="FH111" s="20">
        <f t="shared" si="76"/>
        <v>667.57707534687154</v>
      </c>
      <c r="FI111" s="59">
        <f t="shared" si="77"/>
        <v>960.91040868020491</v>
      </c>
      <c r="FJ111" s="59">
        <f ca="1">AVERAGE(OFFSET($FI$3,0,0,'Données projet'!$E$16+1,1))-AVERAGE(OFFSET($H$3,0,0,'Données projet'!$E$16+1,1))</f>
        <v>393.41577134252316</v>
      </c>
      <c r="FK111" s="59">
        <f t="shared" si="102"/>
        <v>255.54039659391475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65.822125631768742</v>
      </c>
      <c r="FR111" s="21">
        <f>EXP(-LN(2)/25)*FR110+(1-EXP(-LN(2)/25))/(LN(2)/25)*Calculateur!FM111*Calculateur!FO111*VLOOKUP('Données projet'!$B$16,Paramètres!$A$1:$I$89,3,0)*0.475*44/12</f>
        <v>3.0734680089035393</v>
      </c>
      <c r="FS111" s="21">
        <f>EXP(-LN(2)/2)*FS110+(1-EXP(-LN(2)/2))/(LN(2)/2)*FM111*FP111*VLOOKUP('Données projet'!$B$16,Paramètres!$A$1:$I$89,3,0)*0.475*44/12</f>
        <v>6.6265009396218461E-13</v>
      </c>
      <c r="FT111" s="22">
        <f t="shared" si="78"/>
        <v>68.895593640672942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853.00000000000011</v>
      </c>
      <c r="GA111" s="17">
        <f>FZ111*VLOOKUP('Données projet'!$B$17,Paramètres!$A$1:$I$89,3,0)*VLOOKUP('Données projet'!$B$17,Paramètres!$A$1:$I$89,5,0)</f>
        <v>399.20400000000006</v>
      </c>
      <c r="GB111" s="13">
        <f t="shared" si="103"/>
        <v>91.615269732888521</v>
      </c>
      <c r="GC111" s="20">
        <f t="shared" si="79"/>
        <v>854.8435614514475</v>
      </c>
      <c r="GD111" s="59">
        <f t="shared" si="80"/>
        <v>1148.1768947847809</v>
      </c>
      <c r="GE111" s="59">
        <f ca="1">AVERAGE(OFFSET($GD$3,0,0,'Données projet'!$E$17+1,1))-AVERAGE(OFFSET($H$3,0,0,'Données projet'!$E$17+1,1))</f>
        <v>488.67934252295686</v>
      </c>
      <c r="GF111" s="59">
        <f t="shared" si="104"/>
        <v>424.50324471331095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79.600505632497601</v>
      </c>
      <c r="GM111" s="21">
        <f>EXP(-LN(2)/25)*GM110+(1-EXP(-LN(2)/25))/(LN(2)/25)*Calculateur!GH111*Calculateur!GJ111*VLOOKUP('Données projet'!$B$17,Paramètres!$A$1:$I$89,3,0)*0.475*44/12</f>
        <v>5.6346913496564888</v>
      </c>
      <c r="GN111" s="21">
        <f>EXP(-LN(2)/2)*GN110+(1-EXP(-LN(2)/2))/(LN(2)/2)*GH111*GK111*VLOOKUP('Données projet'!$B$17,Paramètres!$A$1:$I$89,3,0)*0.475*44/12</f>
        <v>1.4759024820066835E-12</v>
      </c>
      <c r="GO111" s="21">
        <f t="shared" si="81"/>
        <v>85.235196982155571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789</v>
      </c>
      <c r="GV111" s="17">
        <f>GU111*VLOOKUP('Données projet'!$B$18,Paramètres!$A$1:$I$89,3,0)*VLOOKUP('Données projet'!$B$18,Paramètres!$A$1:$I$89,5,0)</f>
        <v>379.50900000000001</v>
      </c>
      <c r="GW111" s="13">
        <f t="shared" si="105"/>
        <v>87.609801106074272</v>
      </c>
      <c r="GX111" s="20">
        <f t="shared" si="82"/>
        <v>813.56524525974601</v>
      </c>
      <c r="GY111" s="59">
        <f t="shared" si="83"/>
        <v>1106.8985785930793</v>
      </c>
      <c r="GZ111" s="59">
        <f ca="1">AVERAGE(OFFSET($GY$3,0,0,'Données projet'!$E$18+1,1))-AVERAGE(OFFSET($H$3,0,0,'Données projet'!$E$18+1,1))</f>
        <v>458.80976193248841</v>
      </c>
      <c r="HA111" s="59">
        <f t="shared" si="106"/>
        <v>396.07405370178759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80.601709191836079</v>
      </c>
      <c r="HH111" s="21">
        <f>EXP(-LN(2)/25)*HH110+(1-EXP(-LN(2)/25))/(LN(2)/25)*Calculateur!HC111*Calculateur!HE111*VLOOKUP('Données projet'!$B$18,Paramètres!$A$1:$I$89,3,0)*0.475*44/12</f>
        <v>5.2647368671032915</v>
      </c>
      <c r="HI111" s="21">
        <f>EXP(-LN(2)/2)*HI110+(1-EXP(-LN(2)/2))/(LN(2)/2)*HC111*HF111*VLOOKUP('Données projet'!$B$18,Paramètres!$A$1:$I$89,3,0)*0.475*44/12</f>
        <v>6.8105704101669025E-13</v>
      </c>
      <c r="HJ111" s="22">
        <f t="shared" si="84"/>
        <v>85.866446058940056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4.2</v>
      </c>
      <c r="N112" s="13">
        <f>IF('Données projet'!$A$36&gt;35,N111+M112-V111,IF(A112&lt;'Données projet'!$A$36,$K$205^A112,IF(A112='Données projet'!$A$36,'Données projet'!$B$36,N111+M112-V111)))</f>
        <v>280.79999999999995</v>
      </c>
      <c r="O112" s="13">
        <f>N112*VLOOKUP('Données projet'!$B$9,Paramètres!$A$1:$I$89,3,0)*VLOOKUP('Données projet'!$B$9,Paramètres!$A$1:$I$89,5,0)</f>
        <v>254.06783999999996</v>
      </c>
      <c r="P112" s="13">
        <f t="shared" si="87"/>
        <v>61.456187622750718</v>
      </c>
      <c r="Q112" s="20">
        <f t="shared" si="107"/>
        <v>549.53768144295748</v>
      </c>
      <c r="R112" s="59">
        <f t="shared" si="55"/>
        <v>842.87101477629085</v>
      </c>
      <c r="S112" s="59">
        <f ca="1">AVERAGE(OFFSET($R$3,0,0,'Données projet'!$E$9+1,1))-AVERAGE(OFFSET($H$3,0,0,'Données projet'!$E$9+1,1))</f>
        <v>364.3481978218424</v>
      </c>
      <c r="T112" s="59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68.069521541921233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68.069521541921233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636.99999999999977</v>
      </c>
      <c r="AJ112" s="13">
        <f>AI112*VLOOKUP('Données projet'!$B$10,Paramètres!$A$1:$I$89,3,0)*VLOOKUP('Données projet'!$B$10,Paramètres!$A$1:$I$89,5,0)</f>
        <v>356.08299999999991</v>
      </c>
      <c r="AK112" s="13">
        <f t="shared" si="89"/>
        <v>82.813805255716545</v>
      </c>
      <c r="AL112" s="20">
        <f t="shared" si="58"/>
        <v>764.41193582037283</v>
      </c>
      <c r="AM112" s="59">
        <f t="shared" si="59"/>
        <v>1057.7452691537062</v>
      </c>
      <c r="AN112" s="59">
        <f ca="1">AVERAGE(OFFSET($AM$3,0,0,'Données projet'!$E$10+1,1))-AVERAGE(OFFSET($H$3,0,0,'Données projet'!$E$10+1,1))</f>
        <v>443.34220761968419</v>
      </c>
      <c r="AO112" s="59">
        <f t="shared" si="90"/>
        <v>546.58234447298014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37.032980202108746</v>
      </c>
      <c r="AV112" s="21">
        <f>EXP(-LN(2)/25)*AV111+(1-EXP(-LN(2)/25))/(LN(2)/25)*Calculateur!AQ112*Calculateur!AS112*VLOOKUP('Données projet'!$B$10,Paramètres!$A$1:$I$89,3,0)*0.475*44/12</f>
        <v>2.4543046442919505</v>
      </c>
      <c r="AW112" s="21">
        <f>EXP(-LN(2)/2)*AW111+(1-EXP(-LN(2)/2))/(LN(2)/2)*AQ112*AT112*VLOOKUP('Données projet'!$B$10,Paramètres!$A$1:$I$89,3,0)*0.475*44/12</f>
        <v>7.7710783746474392E-12</v>
      </c>
      <c r="AX112" s="21">
        <f t="shared" si="60"/>
        <v>39.487284846408471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6.4</v>
      </c>
      <c r="BD112" s="12">
        <f>IF('Données projet'!$A$88&gt;35,BD111+BC112-BL111,IF(A112&lt;'Données projet'!$A$88,$BA$205^A112,IF(A112='Données projet'!$A$88,'Données projet'!$B$88,BD111+BC112-BL111)))</f>
        <v>411.59999999999991</v>
      </c>
      <c r="BE112" s="13">
        <f>BD112*VLOOKUP('Données projet'!$B$11,Paramètres!$A$1:$I$89,3,0)*VLOOKUP('Données projet'!$B$11,Paramètres!$A$1:$I$89,5,0)</f>
        <v>353.15279999999996</v>
      </c>
      <c r="BF112" s="13">
        <f t="shared" si="91"/>
        <v>82.211366286790636</v>
      </c>
      <c r="BG112" s="20">
        <f t="shared" si="61"/>
        <v>758.25925628282687</v>
      </c>
      <c r="BH112" s="59">
        <f t="shared" si="62"/>
        <v>1051.5925896161602</v>
      </c>
      <c r="BI112" s="59">
        <f ca="1">AVERAGE(OFFSET($BH$3,0,0,'Données projet'!$E$11+1,1))-AVERAGE(OFFSET($H$3,0,0,'Données projet'!$E$11+1,1))</f>
        <v>447.15627913956871</v>
      </c>
      <c r="BJ112" s="59">
        <f t="shared" si="92"/>
        <v>256.77417912163997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100.5490446066203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100.5490446066203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245.99999999999994</v>
      </c>
      <c r="BZ112" s="13">
        <f>BY112*VLOOKUP('Données projet'!$B$12,Paramètres!$A$1:$I$89,3,0)*VLOOKUP('Données projet'!$B$12,Paramètres!$A$1:$I$89,5,0)</f>
        <v>234.09359999999998</v>
      </c>
      <c r="CA112" s="13">
        <f t="shared" si="93"/>
        <v>57.166902703920208</v>
      </c>
      <c r="CB112" s="20">
        <f t="shared" si="64"/>
        <v>507.27870887599425</v>
      </c>
      <c r="CC112" s="59">
        <f t="shared" si="65"/>
        <v>800.61204220932757</v>
      </c>
      <c r="CD112" s="59">
        <f ca="1">AVERAGE(OFFSET($CC$3,0,0,'Données projet'!$E$12+1,1))-AVERAGE(OFFSET($H$3,0,0,'Données projet'!$E$12+1,1))</f>
        <v>448.94764480536713</v>
      </c>
      <c r="CE112" s="59">
        <f t="shared" si="94"/>
        <v>469.26760321719695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87.81718647957652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87.81718647957652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187.80389738728508</v>
      </c>
      <c r="CZ112" s="59">
        <f t="shared" si="96"/>
        <v>439.28159165815265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25.836515105656932</v>
      </c>
      <c r="DG112" s="21">
        <f>EXP(-LN(2)/25)*DG111+(1-EXP(-LN(2)/25))/(LN(2)/25)*Calculateur!DB112*Calculateur!DD112*VLOOKUP('Données projet'!$B$13,Paramètres!$A$1:$I$89,3,0)*0.475*44/12</f>
        <v>1.6085065678367467</v>
      </c>
      <c r="DH112" s="21">
        <f>EXP(-LN(2)/2)*DH111+(1-EXP(-LN(2)/2))/(LN(2)/2)*DB112*DE112*VLOOKUP('Données projet'!$B$13,Paramètres!$A$1:$I$89,3,0)*0.475*44/12</f>
        <v>5.7831019767321447E-14</v>
      </c>
      <c r="DI112" s="22">
        <f t="shared" si="69"/>
        <v>27.445021673493734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255.00000000000006</v>
      </c>
      <c r="DP112" s="17">
        <f>DO112*VLOOKUP('Données projet'!$B$14,Paramètres!$A$1:$I$89,3,0)*VLOOKUP('Données projet'!$B$14,Paramètres!$A$1:$I$89,5,0)</f>
        <v>186.96600000000004</v>
      </c>
      <c r="DQ112" s="13">
        <f t="shared" si="97"/>
        <v>46.868551400324648</v>
      </c>
      <c r="DR112" s="20">
        <f t="shared" si="70"/>
        <v>407.26184368889881</v>
      </c>
      <c r="DS112" s="59">
        <f t="shared" si="71"/>
        <v>700.59517702223206</v>
      </c>
      <c r="DT112" s="59">
        <f ca="1">AVERAGE(OFFSET($DS$3,0,0,'Données projet'!$E$14+1,1))-AVERAGE(OFFSET($H$3,0,0,'Données projet'!$E$14+1,1))</f>
        <v>239.25212250019609</v>
      </c>
      <c r="DU112" s="59">
        <f t="shared" si="98"/>
        <v>213.58492101729695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689</v>
      </c>
      <c r="EK112" s="17">
        <f>EJ112*VLOOKUP('Données projet'!$B$15,Paramètres!$A$1:$I$89,3,0)*VLOOKUP('Données projet'!$B$15,Paramètres!$A$1:$I$89,5,0)</f>
        <v>412.02199999999999</v>
      </c>
      <c r="EL112" s="13">
        <f t="shared" si="99"/>
        <v>94.209724877926391</v>
      </c>
      <c r="EM112" s="20">
        <f t="shared" si="73"/>
        <v>881.686920829055</v>
      </c>
      <c r="EN112" s="59">
        <f t="shared" si="74"/>
        <v>1175.0202541623883</v>
      </c>
      <c r="EO112" s="59">
        <f ca="1">AVERAGE(OFFSET($EN$3,0,0,'Données projet'!$E$15+1,1))-AVERAGE(OFFSET($H$3,0,0,'Données projet'!$E$15+1,1))</f>
        <v>504.81063008331739</v>
      </c>
      <c r="EP112" s="59">
        <f t="shared" si="100"/>
        <v>441.82647565372287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55.110069240559497</v>
      </c>
      <c r="EW112" s="21">
        <f>EXP(-LN(2)/25)*EW111+(1-EXP(-LN(2)/25))/(LN(2)/25)*Calculateur!ER112*Calculateur!ET112*VLOOKUP('Données projet'!$B$15,Paramètres!$A$1:$I$89,3,0)*0.475*44/12</f>
        <v>6.5872990421316437</v>
      </c>
      <c r="EX112" s="21">
        <f>EXP(-LN(2)/2)*EX111+(1-EXP(-LN(2)/2))/(LN(2)/2)*ER112*EU112*VLOOKUP('Données projet'!$B$15,Paramètres!$A$1:$I$89,3,0)*0.475*44/12</f>
        <v>6.7352692631257445E-14</v>
      </c>
      <c r="EY112" s="22">
        <f t="shared" si="75"/>
        <v>61.697368282691208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541.99999999999989</v>
      </c>
      <c r="FF112" s="17">
        <f>FE112*VLOOKUP('Données projet'!$B$16,Paramètres!$A$1:$I$89,3,0)*VLOOKUP('Données projet'!$B$16,Paramètres!$A$1:$I$89,5,0)</f>
        <v>310.02399999999994</v>
      </c>
      <c r="FG112" s="13">
        <f t="shared" si="101"/>
        <v>73.27384230442388</v>
      </c>
      <c r="FH112" s="20">
        <f t="shared" si="76"/>
        <v>667.57707534687154</v>
      </c>
      <c r="FI112" s="59">
        <f t="shared" si="77"/>
        <v>960.91040868020491</v>
      </c>
      <c r="FJ112" s="59">
        <f ca="1">AVERAGE(OFFSET($FI$3,0,0,'Données projet'!$E$16+1,1))-AVERAGE(OFFSET($H$3,0,0,'Données projet'!$E$16+1,1))</f>
        <v>393.41577134252316</v>
      </c>
      <c r="FK112" s="59">
        <f t="shared" si="102"/>
        <v>255.54039659391475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64.531393895662148</v>
      </c>
      <c r="FR112" s="21">
        <f>EXP(-LN(2)/25)*FR111+(1-EXP(-LN(2)/25))/(LN(2)/25)*Calculateur!FM112*Calculateur!FO112*VLOOKUP('Données projet'!$B$16,Paramètres!$A$1:$I$89,3,0)*0.475*44/12</f>
        <v>2.9894238645734141</v>
      </c>
      <c r="FS112" s="21">
        <f>EXP(-LN(2)/2)*FS111+(1-EXP(-LN(2)/2))/(LN(2)/2)*FM112*FP112*VLOOKUP('Données projet'!$B$16,Paramètres!$A$1:$I$89,3,0)*0.475*44/12</f>
        <v>4.6856437499456363E-13</v>
      </c>
      <c r="FT112" s="22">
        <f t="shared" si="78"/>
        <v>67.520817760236028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853.00000000000011</v>
      </c>
      <c r="GA112" s="17">
        <f>FZ112*VLOOKUP('Données projet'!$B$17,Paramètres!$A$1:$I$89,3,0)*VLOOKUP('Données projet'!$B$17,Paramètres!$A$1:$I$89,5,0)</f>
        <v>399.20400000000006</v>
      </c>
      <c r="GB112" s="13">
        <f t="shared" si="103"/>
        <v>91.615269732888521</v>
      </c>
      <c r="GC112" s="20">
        <f t="shared" si="79"/>
        <v>854.8435614514475</v>
      </c>
      <c r="GD112" s="59">
        <f t="shared" si="80"/>
        <v>1148.1768947847809</v>
      </c>
      <c r="GE112" s="59">
        <f ca="1">AVERAGE(OFFSET($GD$3,0,0,'Données projet'!$E$17+1,1))-AVERAGE(OFFSET($H$3,0,0,'Données projet'!$E$17+1,1))</f>
        <v>488.67934252295686</v>
      </c>
      <c r="GF112" s="59">
        <f t="shared" si="104"/>
        <v>424.50324471331095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78.039588268558688</v>
      </c>
      <c r="GM112" s="21">
        <f>EXP(-LN(2)/25)*GM111+(1-EXP(-LN(2)/25))/(LN(2)/25)*Calculateur!GH112*Calculateur!GJ112*VLOOKUP('Données projet'!$B$17,Paramètres!$A$1:$I$89,3,0)*0.475*44/12</f>
        <v>5.4806104183845923</v>
      </c>
      <c r="GN112" s="21">
        <f>EXP(-LN(2)/2)*GN111+(1-EXP(-LN(2)/2))/(LN(2)/2)*GH112*GK112*VLOOKUP('Données projet'!$B$17,Paramètres!$A$1:$I$89,3,0)*0.475*44/12</f>
        <v>1.0436206533969823E-12</v>
      </c>
      <c r="GO112" s="21">
        <f t="shared" si="81"/>
        <v>83.520198686944312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789</v>
      </c>
      <c r="GV112" s="17">
        <f>GU112*VLOOKUP('Données projet'!$B$18,Paramètres!$A$1:$I$89,3,0)*VLOOKUP('Données projet'!$B$18,Paramètres!$A$1:$I$89,5,0)</f>
        <v>379.50900000000001</v>
      </c>
      <c r="GW112" s="13">
        <f t="shared" si="105"/>
        <v>87.609801106074272</v>
      </c>
      <c r="GX112" s="20">
        <f t="shared" si="82"/>
        <v>813.56524525974601</v>
      </c>
      <c r="GY112" s="59">
        <f t="shared" si="83"/>
        <v>1106.8985785930793</v>
      </c>
      <c r="GZ112" s="59">
        <f ca="1">AVERAGE(OFFSET($GY$3,0,0,'Données projet'!$E$18+1,1))-AVERAGE(OFFSET($H$3,0,0,'Données projet'!$E$18+1,1))</f>
        <v>458.80976193248841</v>
      </c>
      <c r="HA112" s="59">
        <f t="shared" si="106"/>
        <v>396.07405370178759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79.021158836772415</v>
      </c>
      <c r="HH112" s="21">
        <f>EXP(-LN(2)/25)*HH111+(1-EXP(-LN(2)/25))/(LN(2)/25)*Calculateur!HC112*Calculateur!HE112*VLOOKUP('Données projet'!$B$18,Paramètres!$A$1:$I$89,3,0)*0.475*44/12</f>
        <v>5.1207723606118725</v>
      </c>
      <c r="HI112" s="21">
        <f>EXP(-LN(2)/2)*HI111+(1-EXP(-LN(2)/2))/(LN(2)/2)*HC112*HF112*VLOOKUP('Données projet'!$B$18,Paramètres!$A$1:$I$89,3,0)*0.475*44/12</f>
        <v>4.8158005207774631E-13</v>
      </c>
      <c r="HJ112" s="22">
        <f t="shared" si="84"/>
        <v>84.141931197384764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4.2</v>
      </c>
      <c r="M113" s="12">
        <f t="array" ref="M113">INDEX(L:L,MIN(IF(ISNUMBER(L113:L309),ROW(L113:L309),"")))</f>
        <v>4.2</v>
      </c>
      <c r="N113" s="13">
        <f>IF('Données projet'!$A$36&gt;35,N112+M113-V112,IF(A113&lt;'Données projet'!$A$36,$K$205^A113,IF(A113='Données projet'!$A$36,'Données projet'!$B$36,N112+M113-V112)))</f>
        <v>284.99999999999994</v>
      </c>
      <c r="O113" s="13">
        <f>N113*VLOOKUP('Données projet'!$B$9,Paramètres!$A$1:$I$89,3,0)*VLOOKUP('Données projet'!$B$9,Paramètres!$A$1:$I$89,5,0)</f>
        <v>257.86799999999994</v>
      </c>
      <c r="P113" s="13">
        <f t="shared" si="87"/>
        <v>62.267704162827528</v>
      </c>
      <c r="Q113" s="20">
        <f t="shared" si="107"/>
        <v>557.56968475025781</v>
      </c>
      <c r="R113" s="59">
        <f t="shared" si="55"/>
        <v>850.90301808359118</v>
      </c>
      <c r="S113" s="59">
        <f ca="1">AVERAGE(OFFSET($R$3,0,0,'Données projet'!$E$9+1,1))-AVERAGE(OFFSET($H$3,0,0,'Données projet'!$E$9+1,1))</f>
        <v>364.3481978218424</v>
      </c>
      <c r="T113" s="59">
        <f t="shared" si="88"/>
        <v>231.36959598460686</v>
      </c>
      <c r="U113" s="15">
        <f>IF(ISNA(VLOOKUP(A113,'Données projet'!$A$35:$I$55,3,0)),0,VLOOKUP(A113,'Données projet'!$A$35:$I$55,3,0))</f>
        <v>18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74.906595569902251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74.906595569902251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636.99999999999977</v>
      </c>
      <c r="AJ113" s="13">
        <f>AI113*VLOOKUP('Données projet'!$B$10,Paramètres!$A$1:$I$89,3,0)*VLOOKUP('Données projet'!$B$10,Paramètres!$A$1:$I$89,5,0)</f>
        <v>356.08299999999991</v>
      </c>
      <c r="AK113" s="13">
        <f t="shared" si="89"/>
        <v>82.813805255716545</v>
      </c>
      <c r="AL113" s="20">
        <f t="shared" si="58"/>
        <v>764.41193582037283</v>
      </c>
      <c r="AM113" s="59">
        <f t="shared" si="59"/>
        <v>1057.7452691537062</v>
      </c>
      <c r="AN113" s="59">
        <f ca="1">AVERAGE(OFFSET($AM$3,0,0,'Données projet'!$E$10+1,1))-AVERAGE(OFFSET($H$3,0,0,'Données projet'!$E$10+1,1))</f>
        <v>443.34220761968419</v>
      </c>
      <c r="AO113" s="59">
        <f t="shared" si="90"/>
        <v>546.58234447298014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36.306786048232951</v>
      </c>
      <c r="AV113" s="21">
        <f>EXP(-LN(2)/25)*AV112+(1-EXP(-LN(2)/25))/(LN(2)/25)*Calculateur!AQ113*Calculateur!AS113*VLOOKUP('Données projet'!$B$10,Paramètres!$A$1:$I$89,3,0)*0.475*44/12</f>
        <v>2.3871915547275151</v>
      </c>
      <c r="AW113" s="21">
        <f>EXP(-LN(2)/2)*AW112+(1-EXP(-LN(2)/2))/(LN(2)/2)*AQ113*AT113*VLOOKUP('Données projet'!$B$10,Paramètres!$A$1:$I$89,3,0)*0.475*44/12</f>
        <v>5.4949822158453383E-12</v>
      </c>
      <c r="AX113" s="21">
        <f t="shared" si="60"/>
        <v>38.693977602965958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418</v>
      </c>
      <c r="BB113" s="12">
        <f>VLOOKUP(A113,'Données projet'!$A$87:$I$107,9,0)</f>
        <v>6.4</v>
      </c>
      <c r="BC113" s="12">
        <f t="array" ref="BC113">INDEX(BB:BB,MIN(IF(ISNUMBER(BB113:BB309),ROW(BB113:BB309),"")))</f>
        <v>6.4</v>
      </c>
      <c r="BD113" s="12">
        <f>IF('Données projet'!$A$88&gt;35,BD112+BC113-BL112,IF(A113&lt;'Données projet'!$A$88,$BA$205^A113,IF(A113='Données projet'!$A$88,'Données projet'!$B$88,BD112+BC113-BL112)))</f>
        <v>417.99999999999989</v>
      </c>
      <c r="BE113" s="13">
        <f>BD113*VLOOKUP('Données projet'!$B$11,Paramètres!$A$1:$I$89,3,0)*VLOOKUP('Données projet'!$B$11,Paramètres!$A$1:$I$89,5,0)</f>
        <v>358.64399999999995</v>
      </c>
      <c r="BF113" s="13">
        <f t="shared" si="91"/>
        <v>83.339865454638698</v>
      </c>
      <c r="BG113" s="20">
        <f t="shared" si="61"/>
        <v>769.78856566682896</v>
      </c>
      <c r="BH113" s="59">
        <f t="shared" si="62"/>
        <v>1063.1218990001623</v>
      </c>
      <c r="BI113" s="59">
        <f ca="1">AVERAGE(OFFSET($BH$3,0,0,'Données projet'!$E$11+1,1))-AVERAGE(OFFSET($H$3,0,0,'Données projet'!$E$11+1,1))</f>
        <v>447.15627913956871</v>
      </c>
      <c r="BJ113" s="59">
        <f t="shared" si="92"/>
        <v>256.77417912163997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22</v>
      </c>
      <c r="BM113" s="16">
        <f>IF(ISNA(VLOOKUP(A113,'Données projet'!$A$87:$I$107,5,0)),0%,VLOOKUP(A113,'Données projet'!$A$87:$I$107,5,0)*VLOOKUP('Données projet'!$B$11,Paramètres!$A$1:$I$89,7,0))</f>
        <v>0.53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109.63677437929987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109.63677437929987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245.99999999999994</v>
      </c>
      <c r="BZ113" s="13">
        <f>BY113*VLOOKUP('Données projet'!$B$12,Paramètres!$A$1:$I$89,3,0)*VLOOKUP('Données projet'!$B$12,Paramètres!$A$1:$I$89,5,0)</f>
        <v>234.09359999999998</v>
      </c>
      <c r="CA113" s="13">
        <f t="shared" si="93"/>
        <v>57.166902703920208</v>
      </c>
      <c r="CB113" s="20">
        <f t="shared" si="64"/>
        <v>507.27870887599425</v>
      </c>
      <c r="CC113" s="59">
        <f t="shared" si="65"/>
        <v>800.61204220932757</v>
      </c>
      <c r="CD113" s="59">
        <f ca="1">AVERAGE(OFFSET($CC$3,0,0,'Données projet'!$E$12+1,1))-AVERAGE(OFFSET($H$3,0,0,'Données projet'!$E$12+1,1))</f>
        <v>448.94764480536713</v>
      </c>
      <c r="CE113" s="59">
        <f t="shared" si="94"/>
        <v>469.26760321719695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86.095145015906851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86.095145015906851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187.80389738728508</v>
      </c>
      <c r="CZ113" s="59">
        <f t="shared" si="96"/>
        <v>439.28159165815265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25.329876803153169</v>
      </c>
      <c r="DG113" s="21">
        <f>EXP(-LN(2)/25)*DG112+(1-EXP(-LN(2)/25))/(LN(2)/25)*Calculateur!DB113*Calculateur!DD113*VLOOKUP('Données projet'!$B$13,Paramètres!$A$1:$I$89,3,0)*0.475*44/12</f>
        <v>1.5645218711515667</v>
      </c>
      <c r="DH113" s="21">
        <f>EXP(-LN(2)/2)*DH112+(1-EXP(-LN(2)/2))/(LN(2)/2)*DB113*DE113*VLOOKUP('Données projet'!$B$13,Paramètres!$A$1:$I$89,3,0)*0.475*44/12</f>
        <v>4.0892706240406271E-14</v>
      </c>
      <c r="DI113" s="22">
        <f t="shared" si="69"/>
        <v>26.894398674304778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255.00000000000006</v>
      </c>
      <c r="DP113" s="17">
        <f>DO113*VLOOKUP('Données projet'!$B$14,Paramètres!$A$1:$I$89,3,0)*VLOOKUP('Données projet'!$B$14,Paramètres!$A$1:$I$89,5,0)</f>
        <v>186.96600000000004</v>
      </c>
      <c r="DQ113" s="13">
        <f t="shared" si="97"/>
        <v>46.868551400324648</v>
      </c>
      <c r="DR113" s="20">
        <f t="shared" si="70"/>
        <v>407.26184368889881</v>
      </c>
      <c r="DS113" s="59">
        <f t="shared" si="71"/>
        <v>700.59517702223206</v>
      </c>
      <c r="DT113" s="59">
        <f ca="1">AVERAGE(OFFSET($DS$3,0,0,'Données projet'!$E$14+1,1))-AVERAGE(OFFSET($H$3,0,0,'Données projet'!$E$14+1,1))</f>
        <v>239.25212250019609</v>
      </c>
      <c r="DU113" s="59">
        <f t="shared" si="98"/>
        <v>213.58492101729695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689</v>
      </c>
      <c r="EK113" s="17">
        <f>EJ113*VLOOKUP('Données projet'!$B$15,Paramètres!$A$1:$I$89,3,0)*VLOOKUP('Données projet'!$B$15,Paramètres!$A$1:$I$89,5,0)</f>
        <v>412.02199999999999</v>
      </c>
      <c r="EL113" s="13">
        <f t="shared" si="99"/>
        <v>94.209724877926391</v>
      </c>
      <c r="EM113" s="20">
        <f t="shared" si="73"/>
        <v>881.686920829055</v>
      </c>
      <c r="EN113" s="59">
        <f t="shared" si="74"/>
        <v>1175.0202541623883</v>
      </c>
      <c r="EO113" s="59">
        <f ca="1">AVERAGE(OFFSET($EN$3,0,0,'Données projet'!$E$15+1,1))-AVERAGE(OFFSET($H$3,0,0,'Données projet'!$E$15+1,1))</f>
        <v>504.81063008331739</v>
      </c>
      <c r="EP113" s="59">
        <f t="shared" si="100"/>
        <v>441.82647565372287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54.02939439657527</v>
      </c>
      <c r="EW113" s="21">
        <f>EXP(-LN(2)/25)*EW112+(1-EXP(-LN(2)/25))/(LN(2)/25)*Calculateur!ER113*Calculateur!ET113*VLOOKUP('Données projet'!$B$15,Paramètres!$A$1:$I$89,3,0)*0.475*44/12</f>
        <v>6.4071690034135527</v>
      </c>
      <c r="EX113" s="21">
        <f>EXP(-LN(2)/2)*EX112+(1-EXP(-LN(2)/2))/(LN(2)/2)*ER113*EU113*VLOOKUP('Données projet'!$B$15,Paramètres!$A$1:$I$89,3,0)*0.475*44/12</f>
        <v>4.7625545690735351E-14</v>
      </c>
      <c r="EY113" s="22">
        <f t="shared" si="75"/>
        <v>60.43656339998887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541.99999999999989</v>
      </c>
      <c r="FF113" s="17">
        <f>FE113*VLOOKUP('Données projet'!$B$16,Paramètres!$A$1:$I$89,3,0)*VLOOKUP('Données projet'!$B$16,Paramètres!$A$1:$I$89,5,0)</f>
        <v>310.02399999999994</v>
      </c>
      <c r="FG113" s="13">
        <f t="shared" si="101"/>
        <v>73.27384230442388</v>
      </c>
      <c r="FH113" s="20">
        <f t="shared" si="76"/>
        <v>667.57707534687154</v>
      </c>
      <c r="FI113" s="59">
        <f t="shared" si="77"/>
        <v>960.91040868020491</v>
      </c>
      <c r="FJ113" s="59">
        <f ca="1">AVERAGE(OFFSET($FI$3,0,0,'Données projet'!$E$16+1,1))-AVERAGE(OFFSET($H$3,0,0,'Données projet'!$E$16+1,1))</f>
        <v>393.41577134252316</v>
      </c>
      <c r="FK113" s="59">
        <f t="shared" si="102"/>
        <v>255.54039659391475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63.265972621631988</v>
      </c>
      <c r="FR113" s="21">
        <f>EXP(-LN(2)/25)*FR112+(1-EXP(-LN(2)/25))/(LN(2)/25)*Calculateur!FM113*Calculateur!FO113*VLOOKUP('Données projet'!$B$16,Paramètres!$A$1:$I$89,3,0)*0.475*44/12</f>
        <v>2.9076779117896856</v>
      </c>
      <c r="FS113" s="21">
        <f>EXP(-LN(2)/2)*FS112+(1-EXP(-LN(2)/2))/(LN(2)/2)*FM113*FP113*VLOOKUP('Données projet'!$B$16,Paramètres!$A$1:$I$89,3,0)*0.475*44/12</f>
        <v>3.3132504698109231E-13</v>
      </c>
      <c r="FT113" s="22">
        <f t="shared" si="78"/>
        <v>66.173650533422006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853.00000000000011</v>
      </c>
      <c r="GA113" s="17">
        <f>FZ113*VLOOKUP('Données projet'!$B$17,Paramètres!$A$1:$I$89,3,0)*VLOOKUP('Données projet'!$B$17,Paramètres!$A$1:$I$89,5,0)</f>
        <v>399.20400000000006</v>
      </c>
      <c r="GB113" s="13">
        <f t="shared" si="103"/>
        <v>91.615269732888521</v>
      </c>
      <c r="GC113" s="20">
        <f t="shared" si="79"/>
        <v>854.8435614514475</v>
      </c>
      <c r="GD113" s="59">
        <f t="shared" si="80"/>
        <v>1148.1768947847809</v>
      </c>
      <c r="GE113" s="59">
        <f ca="1">AVERAGE(OFFSET($GD$3,0,0,'Données projet'!$E$17+1,1))-AVERAGE(OFFSET($H$3,0,0,'Données projet'!$E$17+1,1))</f>
        <v>488.67934252295686</v>
      </c>
      <c r="GF113" s="59">
        <f t="shared" si="104"/>
        <v>424.50324471331095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76.509279542061037</v>
      </c>
      <c r="GM113" s="21">
        <f>EXP(-LN(2)/25)*GM112+(1-EXP(-LN(2)/25))/(LN(2)/25)*Calculateur!GH113*Calculateur!GJ113*VLOOKUP('Données projet'!$B$17,Paramètres!$A$1:$I$89,3,0)*0.475*44/12</f>
        <v>5.3307428382810897</v>
      </c>
      <c r="GN113" s="21">
        <f>EXP(-LN(2)/2)*GN112+(1-EXP(-LN(2)/2))/(LN(2)/2)*GH113*GK113*VLOOKUP('Données projet'!$B$17,Paramètres!$A$1:$I$89,3,0)*0.475*44/12</f>
        <v>7.3795124100334174E-13</v>
      </c>
      <c r="GO113" s="21">
        <f t="shared" si="81"/>
        <v>81.840022380342873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789</v>
      </c>
      <c r="GV113" s="17">
        <f>GU113*VLOOKUP('Données projet'!$B$18,Paramètres!$A$1:$I$89,3,0)*VLOOKUP('Données projet'!$B$18,Paramètres!$A$1:$I$89,5,0)</f>
        <v>379.50900000000001</v>
      </c>
      <c r="GW113" s="13">
        <f t="shared" si="105"/>
        <v>87.609801106074272</v>
      </c>
      <c r="GX113" s="20">
        <f t="shared" si="82"/>
        <v>813.56524525974601</v>
      </c>
      <c r="GY113" s="59">
        <f t="shared" si="83"/>
        <v>1106.8985785930793</v>
      </c>
      <c r="GZ113" s="59">
        <f ca="1">AVERAGE(OFFSET($GY$3,0,0,'Données projet'!$E$18+1,1))-AVERAGE(OFFSET($H$3,0,0,'Données projet'!$E$18+1,1))</f>
        <v>458.80976193248841</v>
      </c>
      <c r="HA113" s="59">
        <f t="shared" si="106"/>
        <v>396.07405370178759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77.47160211013103</v>
      </c>
      <c r="HH113" s="21">
        <f>EXP(-LN(2)/25)*HH112+(1-EXP(-LN(2)/25))/(LN(2)/25)*Calculateur!HC113*Calculateur!HE113*VLOOKUP('Données projet'!$B$18,Paramètres!$A$1:$I$89,3,0)*0.475*44/12</f>
        <v>4.9807445711212264</v>
      </c>
      <c r="HI113" s="21">
        <f>EXP(-LN(2)/2)*HI112+(1-EXP(-LN(2)/2))/(LN(2)/2)*HC113*HF113*VLOOKUP('Données projet'!$B$18,Paramètres!$A$1:$I$89,3,0)*0.475*44/12</f>
        <v>3.4052852050834513E-13</v>
      </c>
      <c r="HJ113" s="22">
        <f t="shared" si="84"/>
        <v>82.452346681252592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3.8</v>
      </c>
      <c r="N114" s="13">
        <f>IF('Données projet'!$A$36&gt;35,N113+M114-V113,IF(A114&lt;'Données projet'!$A$36,$K$205^A114,IF(A114='Données projet'!$A$36,'Données projet'!$B$36,N113+M114-V113)))</f>
        <v>269.79999999999995</v>
      </c>
      <c r="O114" s="13">
        <f>N114*VLOOKUP('Données projet'!$B$9,Paramètres!$A$1:$I$89,3,0)*VLOOKUP('Données projet'!$B$9,Paramètres!$A$1:$I$89,5,0)</f>
        <v>244.11503999999994</v>
      </c>
      <c r="P114" s="13">
        <f t="shared" si="87"/>
        <v>59.324023461759012</v>
      </c>
      <c r="Q114" s="20">
        <f t="shared" si="107"/>
        <v>528.48970219589683</v>
      </c>
      <c r="R114" s="59">
        <f t="shared" si="55"/>
        <v>821.82303552923008</v>
      </c>
      <c r="S114" s="59">
        <f ca="1">AVERAGE(OFFSET($R$3,0,0,'Données projet'!$E$9+1,1))-AVERAGE(OFFSET($H$3,0,0,'Données projet'!$E$9+1,1))</f>
        <v>364.3481978218424</v>
      </c>
      <c r="T114" s="59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73.437722919288404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73.437722919288404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636.99999999999977</v>
      </c>
      <c r="AJ114" s="13">
        <f>AI114*VLOOKUP('Données projet'!$B$10,Paramètres!$A$1:$I$89,3,0)*VLOOKUP('Données projet'!$B$10,Paramètres!$A$1:$I$89,5,0)</f>
        <v>356.08299999999991</v>
      </c>
      <c r="AK114" s="13">
        <f t="shared" si="89"/>
        <v>82.813805255716545</v>
      </c>
      <c r="AL114" s="20">
        <f t="shared" si="58"/>
        <v>764.41193582037283</v>
      </c>
      <c r="AM114" s="59">
        <f t="shared" si="59"/>
        <v>1057.7452691537062</v>
      </c>
      <c r="AN114" s="59">
        <f ca="1">AVERAGE(OFFSET($AM$3,0,0,'Données projet'!$E$10+1,1))-AVERAGE(OFFSET($H$3,0,0,'Données projet'!$E$10+1,1))</f>
        <v>443.34220761968419</v>
      </c>
      <c r="AO114" s="59">
        <f t="shared" si="90"/>
        <v>546.58234447298014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35.594832118779962</v>
      </c>
      <c r="AV114" s="21">
        <f>EXP(-LN(2)/25)*AV113+(1-EXP(-LN(2)/25))/(LN(2)/25)*Calculateur!AQ114*Calculateur!AS114*VLOOKUP('Données projet'!$B$10,Paramètres!$A$1:$I$89,3,0)*0.475*44/12</f>
        <v>2.3219136761265435</v>
      </c>
      <c r="AW114" s="21">
        <f>EXP(-LN(2)/2)*AW113+(1-EXP(-LN(2)/2))/(LN(2)/2)*AQ114*AT114*VLOOKUP('Données projet'!$B$10,Paramètres!$A$1:$I$89,3,0)*0.475*44/12</f>
        <v>3.8855391873237196E-12</v>
      </c>
      <c r="AX114" s="21">
        <f t="shared" si="60"/>
        <v>37.916745794910391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</v>
      </c>
      <c r="BD114" s="12">
        <f>IF('Données projet'!$A$88&gt;35,BD113+BC114-BL113,IF(A114&lt;'Données projet'!$A$88,$BA$205^A114,IF(A114='Données projet'!$A$88,'Données projet'!$B$88,BD113+BC114-BL113)))</f>
        <v>401.99999999999989</v>
      </c>
      <c r="BE114" s="13">
        <f>BD114*VLOOKUP('Données projet'!$B$11,Paramètres!$A$1:$I$89,3,0)*VLOOKUP('Données projet'!$B$11,Paramètres!$A$1:$I$89,5,0)</f>
        <v>344.91599999999994</v>
      </c>
      <c r="BF114" s="13">
        <f t="shared" si="91"/>
        <v>80.51477301506921</v>
      </c>
      <c r="BG114" s="20">
        <f t="shared" si="61"/>
        <v>740.9585963345786</v>
      </c>
      <c r="BH114" s="59">
        <f t="shared" si="62"/>
        <v>1034.291929667912</v>
      </c>
      <c r="BI114" s="59">
        <f ca="1">AVERAGE(OFFSET($BH$3,0,0,'Données projet'!$E$11+1,1))-AVERAGE(OFFSET($H$3,0,0,'Données projet'!$E$11+1,1))</f>
        <v>447.15627913956871</v>
      </c>
      <c r="BJ114" s="59">
        <f t="shared" si="92"/>
        <v>256.77417912163997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107.48686410555112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107.48686410555112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245.99999999999994</v>
      </c>
      <c r="BZ114" s="13">
        <f>BY114*VLOOKUP('Données projet'!$B$12,Paramètres!$A$1:$I$89,3,0)*VLOOKUP('Données projet'!$B$12,Paramètres!$A$1:$I$89,5,0)</f>
        <v>234.09359999999998</v>
      </c>
      <c r="CA114" s="13">
        <f t="shared" si="93"/>
        <v>57.166902703920208</v>
      </c>
      <c r="CB114" s="20">
        <f t="shared" si="64"/>
        <v>507.27870887599425</v>
      </c>
      <c r="CC114" s="59">
        <f t="shared" si="65"/>
        <v>800.61204220932757</v>
      </c>
      <c r="CD114" s="59">
        <f ca="1">AVERAGE(OFFSET($CC$3,0,0,'Données projet'!$E$12+1,1))-AVERAGE(OFFSET($H$3,0,0,'Données projet'!$E$12+1,1))</f>
        <v>448.94764480536713</v>
      </c>
      <c r="CE114" s="59">
        <f t="shared" si="94"/>
        <v>469.26760321719695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84.406871734998163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84.406871734998163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187.80389738728508</v>
      </c>
      <c r="CZ114" s="59">
        <f t="shared" si="96"/>
        <v>439.28159165815265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24.833173368742653</v>
      </c>
      <c r="DG114" s="21">
        <f>EXP(-LN(2)/25)*DG113+(1-EXP(-LN(2)/25))/(LN(2)/25)*Calculateur!DB114*Calculateur!DD114*VLOOKUP('Données projet'!$B$13,Paramètres!$A$1:$I$89,3,0)*0.475*44/12</f>
        <v>1.5217399383102976</v>
      </c>
      <c r="DH114" s="21">
        <f>EXP(-LN(2)/2)*DH113+(1-EXP(-LN(2)/2))/(LN(2)/2)*DB114*DE114*VLOOKUP('Données projet'!$B$13,Paramètres!$A$1:$I$89,3,0)*0.475*44/12</f>
        <v>2.8915509883660724E-14</v>
      </c>
      <c r="DI114" s="22">
        <f t="shared" si="69"/>
        <v>26.354913307052978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255.00000000000006</v>
      </c>
      <c r="DP114" s="17">
        <f>DO114*VLOOKUP('Données projet'!$B$14,Paramètres!$A$1:$I$89,3,0)*VLOOKUP('Données projet'!$B$14,Paramètres!$A$1:$I$89,5,0)</f>
        <v>186.96600000000004</v>
      </c>
      <c r="DQ114" s="13">
        <f t="shared" si="97"/>
        <v>46.868551400324648</v>
      </c>
      <c r="DR114" s="20">
        <f t="shared" si="70"/>
        <v>407.26184368889881</v>
      </c>
      <c r="DS114" s="59">
        <f t="shared" si="71"/>
        <v>700.59517702223206</v>
      </c>
      <c r="DT114" s="59">
        <f ca="1">AVERAGE(OFFSET($DS$3,0,0,'Données projet'!$E$14+1,1))-AVERAGE(OFFSET($H$3,0,0,'Données projet'!$E$14+1,1))</f>
        <v>239.25212250019609</v>
      </c>
      <c r="DU114" s="59">
        <f t="shared" si="98"/>
        <v>213.58492101729695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689</v>
      </c>
      <c r="EK114" s="17">
        <f>EJ114*VLOOKUP('Données projet'!$B$15,Paramètres!$A$1:$I$89,3,0)*VLOOKUP('Données projet'!$B$15,Paramètres!$A$1:$I$89,5,0)</f>
        <v>412.02199999999999</v>
      </c>
      <c r="EL114" s="13">
        <f t="shared" si="99"/>
        <v>94.209724877926391</v>
      </c>
      <c r="EM114" s="20">
        <f t="shared" si="73"/>
        <v>881.686920829055</v>
      </c>
      <c r="EN114" s="59">
        <f t="shared" si="74"/>
        <v>1175.0202541623883</v>
      </c>
      <c r="EO114" s="59">
        <f ca="1">AVERAGE(OFFSET($EN$3,0,0,'Données projet'!$E$15+1,1))-AVERAGE(OFFSET($H$3,0,0,'Données projet'!$E$15+1,1))</f>
        <v>504.81063008331739</v>
      </c>
      <c r="EP114" s="59">
        <f t="shared" si="100"/>
        <v>441.82647565372287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52.969910927135004</v>
      </c>
      <c r="EW114" s="21">
        <f>EXP(-LN(2)/25)*EW113+(1-EXP(-LN(2)/25))/(LN(2)/25)*Calculateur!ER114*Calculateur!ET114*VLOOKUP('Données projet'!$B$15,Paramètres!$A$1:$I$89,3,0)*0.475*44/12</f>
        <v>6.2319646300768348</v>
      </c>
      <c r="EX114" s="21">
        <f>EXP(-LN(2)/2)*EX113+(1-EXP(-LN(2)/2))/(LN(2)/2)*ER114*EU114*VLOOKUP('Données projet'!$B$15,Paramètres!$A$1:$I$89,3,0)*0.475*44/12</f>
        <v>3.3676346315628723E-14</v>
      </c>
      <c r="EY114" s="22">
        <f t="shared" si="75"/>
        <v>59.201875557211871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541.99999999999989</v>
      </c>
      <c r="FF114" s="17">
        <f>FE114*VLOOKUP('Données projet'!$B$16,Paramètres!$A$1:$I$89,3,0)*VLOOKUP('Données projet'!$B$16,Paramètres!$A$1:$I$89,5,0)</f>
        <v>310.02399999999994</v>
      </c>
      <c r="FG114" s="13">
        <f t="shared" si="101"/>
        <v>73.27384230442388</v>
      </c>
      <c r="FH114" s="20">
        <f t="shared" si="76"/>
        <v>667.57707534687154</v>
      </c>
      <c r="FI114" s="59">
        <f t="shared" si="77"/>
        <v>960.91040868020491</v>
      </c>
      <c r="FJ114" s="59">
        <f ca="1">AVERAGE(OFFSET($FI$3,0,0,'Données projet'!$E$16+1,1))-AVERAGE(OFFSET($H$3,0,0,'Données projet'!$E$16+1,1))</f>
        <v>393.41577134252316</v>
      </c>
      <c r="FK114" s="59">
        <f t="shared" si="102"/>
        <v>255.54039659391475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62.02536548695479</v>
      </c>
      <c r="FR114" s="21">
        <f>EXP(-LN(2)/25)*FR113+(1-EXP(-LN(2)/25))/(LN(2)/25)*Calculateur!FM114*Calculateur!FO114*VLOOKUP('Données projet'!$B$16,Paramètres!$A$1:$I$89,3,0)*0.475*44/12</f>
        <v>2.8281673063836608</v>
      </c>
      <c r="FS114" s="21">
        <f>EXP(-LN(2)/2)*FS113+(1-EXP(-LN(2)/2))/(LN(2)/2)*FM114*FP114*VLOOKUP('Données projet'!$B$16,Paramètres!$A$1:$I$89,3,0)*0.475*44/12</f>
        <v>2.3428218749728181E-13</v>
      </c>
      <c r="FT114" s="22">
        <f t="shared" si="78"/>
        <v>64.853532793338672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853.00000000000011</v>
      </c>
      <c r="GA114" s="17">
        <f>FZ114*VLOOKUP('Données projet'!$B$17,Paramètres!$A$1:$I$89,3,0)*VLOOKUP('Données projet'!$B$17,Paramètres!$A$1:$I$89,5,0)</f>
        <v>399.20400000000006</v>
      </c>
      <c r="GB114" s="13">
        <f t="shared" si="103"/>
        <v>91.615269732888521</v>
      </c>
      <c r="GC114" s="20">
        <f t="shared" si="79"/>
        <v>854.8435614514475</v>
      </c>
      <c r="GD114" s="59">
        <f t="shared" si="80"/>
        <v>1148.1768947847809</v>
      </c>
      <c r="GE114" s="59">
        <f ca="1">AVERAGE(OFFSET($GD$3,0,0,'Données projet'!$E$17+1,1))-AVERAGE(OFFSET($H$3,0,0,'Données projet'!$E$17+1,1))</f>
        <v>488.67934252295686</v>
      </c>
      <c r="GF114" s="59">
        <f t="shared" si="104"/>
        <v>424.50324471331095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75.008979236293854</v>
      </c>
      <c r="GM114" s="21">
        <f>EXP(-LN(2)/25)*GM113+(1-EXP(-LN(2)/25))/(LN(2)/25)*Calculateur!GH114*Calculateur!GJ114*VLOOKUP('Données projet'!$B$17,Paramètres!$A$1:$I$89,3,0)*0.475*44/12</f>
        <v>5.1849733950367112</v>
      </c>
      <c r="GN114" s="21">
        <f>EXP(-LN(2)/2)*GN113+(1-EXP(-LN(2)/2))/(LN(2)/2)*GH114*GK114*VLOOKUP('Données projet'!$B$17,Paramètres!$A$1:$I$89,3,0)*0.475*44/12</f>
        <v>5.2181032669849115E-13</v>
      </c>
      <c r="GO114" s="21">
        <f t="shared" si="81"/>
        <v>80.193952631331086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789</v>
      </c>
      <c r="GV114" s="17">
        <f>GU114*VLOOKUP('Données projet'!$B$18,Paramètres!$A$1:$I$89,3,0)*VLOOKUP('Données projet'!$B$18,Paramètres!$A$1:$I$89,5,0)</f>
        <v>379.50900000000001</v>
      </c>
      <c r="GW114" s="13">
        <f t="shared" si="105"/>
        <v>87.609801106074272</v>
      </c>
      <c r="GX114" s="20">
        <f t="shared" si="82"/>
        <v>813.56524525974601</v>
      </c>
      <c r="GY114" s="59">
        <f t="shared" si="83"/>
        <v>1106.8985785930793</v>
      </c>
      <c r="GZ114" s="59">
        <f ca="1">AVERAGE(OFFSET($GY$3,0,0,'Données projet'!$E$18+1,1))-AVERAGE(OFFSET($H$3,0,0,'Données projet'!$E$18+1,1))</f>
        <v>458.80976193248841</v>
      </c>
      <c r="HA114" s="59">
        <f t="shared" si="106"/>
        <v>396.07405370178759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75.952431245762796</v>
      </c>
      <c r="HH114" s="21">
        <f>EXP(-LN(2)/25)*HH113+(1-EXP(-LN(2)/25))/(LN(2)/25)*Calculateur!HC114*Calculateur!HE114*VLOOKUP('Données projet'!$B$18,Paramètres!$A$1:$I$89,3,0)*0.475*44/12</f>
        <v>4.8445458488979432</v>
      </c>
      <c r="HI114" s="21">
        <f>EXP(-LN(2)/2)*HI113+(1-EXP(-LN(2)/2))/(LN(2)/2)*HC114*HF114*VLOOKUP('Données projet'!$B$18,Paramètres!$A$1:$I$89,3,0)*0.475*44/12</f>
        <v>2.4079002603887316E-13</v>
      </c>
      <c r="HJ114" s="22">
        <f t="shared" si="84"/>
        <v>80.796977094660974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3.8</v>
      </c>
      <c r="N115" s="13">
        <f>IF('Données projet'!$A$36&gt;35,N114+M115-V114,IF(A115&lt;'Données projet'!$A$36,$K$205^A115,IF(A115='Données projet'!$A$36,'Données projet'!$B$36,N114+M115-V114)))</f>
        <v>273.59999999999997</v>
      </c>
      <c r="O115" s="13">
        <f>N115*VLOOKUP('Données projet'!$B$9,Paramètres!$A$1:$I$89,3,0)*VLOOKUP('Données projet'!$B$9,Paramètres!$A$1:$I$89,5,0)</f>
        <v>247.55327999999994</v>
      </c>
      <c r="P115" s="13">
        <f t="shared" si="87"/>
        <v>60.061713068870255</v>
      </c>
      <c r="Q115" s="20">
        <f t="shared" si="107"/>
        <v>535.76277959494894</v>
      </c>
      <c r="R115" s="59">
        <f t="shared" si="55"/>
        <v>829.09611292828231</v>
      </c>
      <c r="S115" s="59">
        <f ca="1">AVERAGE(OFFSET($R$3,0,0,'Données projet'!$E$9+1,1))-AVERAGE(OFFSET($H$3,0,0,'Données projet'!$E$9+1,1))</f>
        <v>364.3481978218424</v>
      </c>
      <c r="T115" s="59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71.997653965429237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71.997653965429237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636.99999999999977</v>
      </c>
      <c r="AJ115" s="13">
        <f>AI115*VLOOKUP('Données projet'!$B$10,Paramètres!$A$1:$I$89,3,0)*VLOOKUP('Données projet'!$B$10,Paramètres!$A$1:$I$89,5,0)</f>
        <v>356.08299999999991</v>
      </c>
      <c r="AK115" s="13">
        <f t="shared" si="89"/>
        <v>82.813805255716545</v>
      </c>
      <c r="AL115" s="20">
        <f t="shared" si="58"/>
        <v>764.41193582037283</v>
      </c>
      <c r="AM115" s="59">
        <f t="shared" si="59"/>
        <v>1057.7452691537062</v>
      </c>
      <c r="AN115" s="59">
        <f ca="1">AVERAGE(OFFSET($AM$3,0,0,'Données projet'!$E$10+1,1))-AVERAGE(OFFSET($H$3,0,0,'Données projet'!$E$10+1,1))</f>
        <v>443.34220761968419</v>
      </c>
      <c r="AO115" s="59">
        <f t="shared" si="90"/>
        <v>546.58234447298014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34.896839171634525</v>
      </c>
      <c r="AV115" s="21">
        <f>EXP(-LN(2)/25)*AV114+(1-EXP(-LN(2)/25))/(LN(2)/25)*Calculateur!AQ115*Calculateur!AS115*VLOOKUP('Données projet'!$B$10,Paramètres!$A$1:$I$89,3,0)*0.475*44/12</f>
        <v>2.2584208245487298</v>
      </c>
      <c r="AW115" s="21">
        <f>EXP(-LN(2)/2)*AW114+(1-EXP(-LN(2)/2))/(LN(2)/2)*AQ115*AT115*VLOOKUP('Données projet'!$B$10,Paramètres!$A$1:$I$89,3,0)*0.475*44/12</f>
        <v>2.7474911079226691E-12</v>
      </c>
      <c r="AX115" s="21">
        <f t="shared" si="60"/>
        <v>37.155259996186004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</v>
      </c>
      <c r="BD115" s="12">
        <f>IF('Données projet'!$A$88&gt;35,BD114+BC115-BL114,IF(A115&lt;'Données projet'!$A$88,$BA$205^A115,IF(A115='Données projet'!$A$88,'Données projet'!$B$88,BD114+BC115-BL114)))</f>
        <v>407.99999999999989</v>
      </c>
      <c r="BE115" s="13">
        <f>BD115*VLOOKUP('Données projet'!$B$11,Paramètres!$A$1:$I$89,3,0)*VLOOKUP('Données projet'!$B$11,Paramètres!$A$1:$I$89,5,0)</f>
        <v>350.06399999999991</v>
      </c>
      <c r="BF115" s="13">
        <f t="shared" si="91"/>
        <v>81.575689362490522</v>
      </c>
      <c r="BG115" s="20">
        <f t="shared" si="61"/>
        <v>751.77245897300418</v>
      </c>
      <c r="BH115" s="59">
        <f t="shared" si="62"/>
        <v>1045.1057923063374</v>
      </c>
      <c r="BI115" s="59">
        <f ca="1">AVERAGE(OFFSET($BH$3,0,0,'Données projet'!$E$11+1,1))-AVERAGE(OFFSET($H$3,0,0,'Données projet'!$E$11+1,1))</f>
        <v>447.15627913956871</v>
      </c>
      <c r="BJ115" s="59">
        <f t="shared" si="92"/>
        <v>256.77417912163997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105.3791122609548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105.3791122609548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245.99999999999994</v>
      </c>
      <c r="BZ115" s="13">
        <f>BY115*VLOOKUP('Données projet'!$B$12,Paramètres!$A$1:$I$89,3,0)*VLOOKUP('Données projet'!$B$12,Paramètres!$A$1:$I$89,5,0)</f>
        <v>234.09359999999998</v>
      </c>
      <c r="CA115" s="13">
        <f t="shared" si="93"/>
        <v>57.166902703920208</v>
      </c>
      <c r="CB115" s="20">
        <f t="shared" si="64"/>
        <v>507.27870887599425</v>
      </c>
      <c r="CC115" s="59">
        <f t="shared" si="65"/>
        <v>800.61204220932757</v>
      </c>
      <c r="CD115" s="59">
        <f ca="1">AVERAGE(OFFSET($CC$3,0,0,'Données projet'!$E$12+1,1))-AVERAGE(OFFSET($H$3,0,0,'Données projet'!$E$12+1,1))</f>
        <v>448.94764480536713</v>
      </c>
      <c r="CE115" s="59">
        <f t="shared" si="94"/>
        <v>469.26760321719695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82.751704463383078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82.751704463383078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187.80389738728508</v>
      </c>
      <c r="CZ115" s="59">
        <f t="shared" si="96"/>
        <v>439.28159165815265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24.34620998572175</v>
      </c>
      <c r="DG115" s="21">
        <f>EXP(-LN(2)/25)*DG114+(1-EXP(-LN(2)/25))/(LN(2)/25)*Calculateur!DB115*Calculateur!DD115*VLOOKUP('Données projet'!$B$13,Paramètres!$A$1:$I$89,3,0)*0.475*44/12</f>
        <v>1.4801278796723771</v>
      </c>
      <c r="DH115" s="21">
        <f>EXP(-LN(2)/2)*DH114+(1-EXP(-LN(2)/2))/(LN(2)/2)*DB115*DE115*VLOOKUP('Données projet'!$B$13,Paramètres!$A$1:$I$89,3,0)*0.475*44/12</f>
        <v>2.0446353120203136E-14</v>
      </c>
      <c r="DI115" s="22">
        <f t="shared" si="69"/>
        <v>25.826337865394148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255.00000000000006</v>
      </c>
      <c r="DP115" s="17">
        <f>DO115*VLOOKUP('Données projet'!$B$14,Paramètres!$A$1:$I$89,3,0)*VLOOKUP('Données projet'!$B$14,Paramètres!$A$1:$I$89,5,0)</f>
        <v>186.96600000000004</v>
      </c>
      <c r="DQ115" s="13">
        <f t="shared" si="97"/>
        <v>46.868551400324648</v>
      </c>
      <c r="DR115" s="20">
        <f t="shared" si="70"/>
        <v>407.26184368889881</v>
      </c>
      <c r="DS115" s="59">
        <f t="shared" si="71"/>
        <v>700.59517702223206</v>
      </c>
      <c r="DT115" s="59">
        <f ca="1">AVERAGE(OFFSET($DS$3,0,0,'Données projet'!$E$14+1,1))-AVERAGE(OFFSET($H$3,0,0,'Données projet'!$E$14+1,1))</f>
        <v>239.25212250019609</v>
      </c>
      <c r="DU115" s="59">
        <f t="shared" si="98"/>
        <v>213.58492101729695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689</v>
      </c>
      <c r="EK115" s="17">
        <f>EJ115*VLOOKUP('Données projet'!$B$15,Paramètres!$A$1:$I$89,3,0)*VLOOKUP('Données projet'!$B$15,Paramètres!$A$1:$I$89,5,0)</f>
        <v>412.02199999999999</v>
      </c>
      <c r="EL115" s="13">
        <f t="shared" si="99"/>
        <v>94.209724877926391</v>
      </c>
      <c r="EM115" s="20">
        <f t="shared" si="73"/>
        <v>881.686920829055</v>
      </c>
      <c r="EN115" s="59">
        <f t="shared" si="74"/>
        <v>1175.0202541623883</v>
      </c>
      <c r="EO115" s="59">
        <f ca="1">AVERAGE(OFFSET($EN$3,0,0,'Données projet'!$E$15+1,1))-AVERAGE(OFFSET($H$3,0,0,'Données projet'!$E$15+1,1))</f>
        <v>504.81063008331739</v>
      </c>
      <c r="EP115" s="59">
        <f t="shared" si="100"/>
        <v>441.82647565372287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51.931203282309355</v>
      </c>
      <c r="EW115" s="21">
        <f>EXP(-LN(2)/25)*EW114+(1-EXP(-LN(2)/25))/(LN(2)/25)*Calculateur!ER115*Calculateur!ET115*VLOOKUP('Données projet'!$B$15,Paramètres!$A$1:$I$89,3,0)*0.475*44/12</f>
        <v>6.0615512295426068</v>
      </c>
      <c r="EX115" s="21">
        <f>EXP(-LN(2)/2)*EX114+(1-EXP(-LN(2)/2))/(LN(2)/2)*ER115*EU115*VLOOKUP('Données projet'!$B$15,Paramètres!$A$1:$I$89,3,0)*0.475*44/12</f>
        <v>2.3812772845367676E-14</v>
      </c>
      <c r="EY115" s="22">
        <f t="shared" si="75"/>
        <v>57.992754511851984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541.99999999999989</v>
      </c>
      <c r="FF115" s="17">
        <f>FE115*VLOOKUP('Données projet'!$B$16,Paramètres!$A$1:$I$89,3,0)*VLOOKUP('Données projet'!$B$16,Paramètres!$A$1:$I$89,5,0)</f>
        <v>310.02399999999994</v>
      </c>
      <c r="FG115" s="13">
        <f t="shared" si="101"/>
        <v>73.27384230442388</v>
      </c>
      <c r="FH115" s="20">
        <f t="shared" si="76"/>
        <v>667.57707534687154</v>
      </c>
      <c r="FI115" s="59">
        <f t="shared" si="77"/>
        <v>960.91040868020491</v>
      </c>
      <c r="FJ115" s="59">
        <f ca="1">AVERAGE(OFFSET($FI$3,0,0,'Données projet'!$E$16+1,1))-AVERAGE(OFFSET($H$3,0,0,'Données projet'!$E$16+1,1))</f>
        <v>393.41577134252316</v>
      </c>
      <c r="FK115" s="59">
        <f t="shared" si="102"/>
        <v>255.54039659391475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60.809085901492978</v>
      </c>
      <c r="FR115" s="21">
        <f>EXP(-LN(2)/25)*FR114+(1-EXP(-LN(2)/25))/(LN(2)/25)*Calculateur!FM115*Calculateur!FO115*VLOOKUP('Données projet'!$B$16,Paramètres!$A$1:$I$89,3,0)*0.475*44/12</f>
        <v>2.7508309226637446</v>
      </c>
      <c r="FS115" s="21">
        <f>EXP(-LN(2)/2)*FS114+(1-EXP(-LN(2)/2))/(LN(2)/2)*FM115*FP115*VLOOKUP('Données projet'!$B$16,Paramètres!$A$1:$I$89,3,0)*0.475*44/12</f>
        <v>1.6566252349054615E-13</v>
      </c>
      <c r="FT115" s="22">
        <f t="shared" si="78"/>
        <v>63.559916824156886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853.00000000000011</v>
      </c>
      <c r="GA115" s="17">
        <f>FZ115*VLOOKUP('Données projet'!$B$17,Paramètres!$A$1:$I$89,3,0)*VLOOKUP('Données projet'!$B$17,Paramètres!$A$1:$I$89,5,0)</f>
        <v>399.20400000000006</v>
      </c>
      <c r="GB115" s="13">
        <f t="shared" si="103"/>
        <v>91.615269732888521</v>
      </c>
      <c r="GC115" s="20">
        <f t="shared" si="79"/>
        <v>854.8435614514475</v>
      </c>
      <c r="GD115" s="59">
        <f t="shared" si="80"/>
        <v>1148.1768947847809</v>
      </c>
      <c r="GE115" s="59">
        <f ca="1">AVERAGE(OFFSET($GD$3,0,0,'Données projet'!$E$17+1,1))-AVERAGE(OFFSET($H$3,0,0,'Données projet'!$E$17+1,1))</f>
        <v>488.67934252295686</v>
      </c>
      <c r="GF115" s="59">
        <f t="shared" si="104"/>
        <v>424.50324471331095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73.53809890442993</v>
      </c>
      <c r="GM115" s="21">
        <f>EXP(-LN(2)/25)*GM114+(1-EXP(-LN(2)/25))/(LN(2)/25)*Calculateur!GH115*Calculateur!GJ115*VLOOKUP('Données projet'!$B$17,Paramètres!$A$1:$I$89,3,0)*0.475*44/12</f>
        <v>5.0431900248835317</v>
      </c>
      <c r="GN115" s="21">
        <f>EXP(-LN(2)/2)*GN114+(1-EXP(-LN(2)/2))/(LN(2)/2)*GH115*GK115*VLOOKUP('Données projet'!$B$17,Paramètres!$A$1:$I$89,3,0)*0.475*44/12</f>
        <v>3.6897562050167087E-13</v>
      </c>
      <c r="GO115" s="21">
        <f t="shared" si="81"/>
        <v>78.581288929313828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789</v>
      </c>
      <c r="GV115" s="17">
        <f>GU115*VLOOKUP('Données projet'!$B$18,Paramètres!$A$1:$I$89,3,0)*VLOOKUP('Données projet'!$B$18,Paramètres!$A$1:$I$89,5,0)</f>
        <v>379.50900000000001</v>
      </c>
      <c r="GW115" s="13">
        <f t="shared" si="105"/>
        <v>87.609801106074272</v>
      </c>
      <c r="GX115" s="20">
        <f t="shared" si="82"/>
        <v>813.56524525974601</v>
      </c>
      <c r="GY115" s="59">
        <f t="shared" si="83"/>
        <v>1106.8985785930793</v>
      </c>
      <c r="GZ115" s="59">
        <f ca="1">AVERAGE(OFFSET($GY$3,0,0,'Données projet'!$E$18+1,1))-AVERAGE(OFFSET($H$3,0,0,'Données projet'!$E$18+1,1))</f>
        <v>458.80976193248841</v>
      </c>
      <c r="HA115" s="59">
        <f t="shared" si="106"/>
        <v>396.07405370178759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74.463050395442096</v>
      </c>
      <c r="HH115" s="21">
        <f>EXP(-LN(2)/25)*HH114+(1-EXP(-LN(2)/25))/(LN(2)/25)*Calculateur!HC115*Calculateur!HE115*VLOOKUP('Données projet'!$B$18,Paramètres!$A$1:$I$89,3,0)*0.475*44/12</f>
        <v>4.7120714878962353</v>
      </c>
      <c r="HI115" s="21">
        <f>EXP(-LN(2)/2)*HI114+(1-EXP(-LN(2)/2))/(LN(2)/2)*HC115*HF115*VLOOKUP('Données projet'!$B$18,Paramètres!$A$1:$I$89,3,0)*0.475*44/12</f>
        <v>1.7026426025417256E-13</v>
      </c>
      <c r="HJ115" s="22">
        <f t="shared" si="84"/>
        <v>79.175121883338505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3.8</v>
      </c>
      <c r="N116" s="13">
        <f>IF('Données projet'!$A$36&gt;35,N115+M116-V115,IF(A116&lt;'Données projet'!$A$36,$K$205^A116,IF(A116='Données projet'!$A$36,'Données projet'!$B$36,N115+M116-V115)))</f>
        <v>277.39999999999998</v>
      </c>
      <c r="O116" s="13">
        <f>N116*VLOOKUP('Données projet'!$B$9,Paramètres!$A$1:$I$89,3,0)*VLOOKUP('Données projet'!$B$9,Paramètres!$A$1:$I$89,5,0)</f>
        <v>250.99151999999995</v>
      </c>
      <c r="P116" s="13">
        <f t="shared" si="87"/>
        <v>60.798211000769406</v>
      </c>
      <c r="Q116" s="20">
        <f t="shared" si="107"/>
        <v>543.03378149300659</v>
      </c>
      <c r="R116" s="59">
        <f t="shared" si="55"/>
        <v>836.36711482633996</v>
      </c>
      <c r="S116" s="59">
        <f ca="1">AVERAGE(OFFSET($R$3,0,0,'Données projet'!$E$9+1,1))-AVERAGE(OFFSET($H$3,0,0,'Données projet'!$E$9+1,1))</f>
        <v>364.3481978218424</v>
      </c>
      <c r="T116" s="59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70.585823885399918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70.585823885399918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636.99999999999977</v>
      </c>
      <c r="AJ116" s="13">
        <f>AI116*VLOOKUP('Données projet'!$B$10,Paramètres!$A$1:$I$89,3,0)*VLOOKUP('Données projet'!$B$10,Paramètres!$A$1:$I$89,5,0)</f>
        <v>356.08299999999991</v>
      </c>
      <c r="AK116" s="13">
        <f t="shared" si="89"/>
        <v>82.813805255716545</v>
      </c>
      <c r="AL116" s="20">
        <f t="shared" si="58"/>
        <v>764.41193582037283</v>
      </c>
      <c r="AM116" s="59">
        <f t="shared" si="59"/>
        <v>1057.7452691537062</v>
      </c>
      <c r="AN116" s="59">
        <f ca="1">AVERAGE(OFFSET($AM$3,0,0,'Données projet'!$E$10+1,1))-AVERAGE(OFFSET($H$3,0,0,'Données projet'!$E$10+1,1))</f>
        <v>443.34220761968419</v>
      </c>
      <c r="AO116" s="59">
        <f t="shared" si="90"/>
        <v>546.58234447298014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34.212533440448951</v>
      </c>
      <c r="AV116" s="21">
        <f>EXP(-LN(2)/25)*AV115+(1-EXP(-LN(2)/25))/(LN(2)/25)*Calculateur!AQ116*Calculateur!AS116*VLOOKUP('Données projet'!$B$10,Paramètres!$A$1:$I$89,3,0)*0.475*44/12</f>
        <v>2.1966641883362552</v>
      </c>
      <c r="AW116" s="21">
        <f>EXP(-LN(2)/2)*AW115+(1-EXP(-LN(2)/2))/(LN(2)/2)*AQ116*AT116*VLOOKUP('Données projet'!$B$10,Paramètres!$A$1:$I$89,3,0)*0.475*44/12</f>
        <v>1.9427695936618598E-12</v>
      </c>
      <c r="AX116" s="21">
        <f t="shared" si="60"/>
        <v>36.409197628787147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</v>
      </c>
      <c r="BD116" s="12">
        <f>IF('Données projet'!$A$88&gt;35,BD115+BC116-BL115,IF(A116&lt;'Données projet'!$A$88,$BA$205^A116,IF(A116='Données projet'!$A$88,'Données projet'!$B$88,BD115+BC116-BL115)))</f>
        <v>413.99999999999989</v>
      </c>
      <c r="BE116" s="13">
        <f>BD116*VLOOKUP('Données projet'!$B$11,Paramètres!$A$1:$I$89,3,0)*VLOOKUP('Données projet'!$B$11,Paramètres!$A$1:$I$89,5,0)</f>
        <v>355.21199999999993</v>
      </c>
      <c r="BF116" s="13">
        <f t="shared" si="91"/>
        <v>82.634791155027401</v>
      </c>
      <c r="BG116" s="20">
        <f t="shared" si="61"/>
        <v>762.58316126167256</v>
      </c>
      <c r="BH116" s="59">
        <f t="shared" si="62"/>
        <v>1055.9164945950058</v>
      </c>
      <c r="BI116" s="59">
        <f ca="1">AVERAGE(OFFSET($BH$3,0,0,'Données projet'!$E$11+1,1))-AVERAGE(OFFSET($H$3,0,0,'Données projet'!$E$11+1,1))</f>
        <v>447.15627913956871</v>
      </c>
      <c r="BJ116" s="59">
        <f t="shared" si="92"/>
        <v>256.77417912163997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103.31269214442933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103.31269214442933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245.99999999999994</v>
      </c>
      <c r="BZ116" s="13">
        <f>BY116*VLOOKUP('Données projet'!$B$12,Paramètres!$A$1:$I$89,3,0)*VLOOKUP('Données projet'!$B$12,Paramètres!$A$1:$I$89,5,0)</f>
        <v>234.09359999999998</v>
      </c>
      <c r="CA116" s="13">
        <f t="shared" si="93"/>
        <v>57.166902703920208</v>
      </c>
      <c r="CB116" s="20">
        <f t="shared" si="64"/>
        <v>507.27870887599425</v>
      </c>
      <c r="CC116" s="59">
        <f t="shared" si="65"/>
        <v>800.61204220932757</v>
      </c>
      <c r="CD116" s="59">
        <f ca="1">AVERAGE(OFFSET($CC$3,0,0,'Données projet'!$E$12+1,1))-AVERAGE(OFFSET($H$3,0,0,'Données projet'!$E$12+1,1))</f>
        <v>448.94764480536713</v>
      </c>
      <c r="CE116" s="59">
        <f t="shared" si="94"/>
        <v>469.26760321719695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81.128994012412008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81.128994012412008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187.80389738728508</v>
      </c>
      <c r="CZ116" s="59">
        <f t="shared" si="96"/>
        <v>439.28159165815265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23.868795657623551</v>
      </c>
      <c r="DG116" s="21">
        <f>EXP(-LN(2)/25)*DG115+(1-EXP(-LN(2)/25))/(LN(2)/25)*Calculateur!DB116*Calculateur!DD116*VLOOKUP('Données projet'!$B$13,Paramètres!$A$1:$I$89,3,0)*0.475*44/12</f>
        <v>1.4396537049661937</v>
      </c>
      <c r="DH116" s="21">
        <f>EXP(-LN(2)/2)*DH115+(1-EXP(-LN(2)/2))/(LN(2)/2)*DB116*DE116*VLOOKUP('Données projet'!$B$13,Paramètres!$A$1:$I$89,3,0)*0.475*44/12</f>
        <v>1.4457754941830362E-14</v>
      </c>
      <c r="DI116" s="22">
        <f t="shared" si="69"/>
        <v>25.308449362589759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255.00000000000006</v>
      </c>
      <c r="DP116" s="17">
        <f>DO116*VLOOKUP('Données projet'!$B$14,Paramètres!$A$1:$I$89,3,0)*VLOOKUP('Données projet'!$B$14,Paramètres!$A$1:$I$89,5,0)</f>
        <v>186.96600000000004</v>
      </c>
      <c r="DQ116" s="13">
        <f t="shared" si="97"/>
        <v>46.868551400324648</v>
      </c>
      <c r="DR116" s="20">
        <f t="shared" si="70"/>
        <v>407.26184368889881</v>
      </c>
      <c r="DS116" s="59">
        <f t="shared" si="71"/>
        <v>700.59517702223206</v>
      </c>
      <c r="DT116" s="59">
        <f ca="1">AVERAGE(OFFSET($DS$3,0,0,'Données projet'!$E$14+1,1))-AVERAGE(OFFSET($H$3,0,0,'Données projet'!$E$14+1,1))</f>
        <v>239.25212250019609</v>
      </c>
      <c r="DU116" s="59">
        <f t="shared" si="98"/>
        <v>213.58492101729695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689</v>
      </c>
      <c r="EK116" s="17">
        <f>EJ116*VLOOKUP('Données projet'!$B$15,Paramètres!$A$1:$I$89,3,0)*VLOOKUP('Données projet'!$B$15,Paramètres!$A$1:$I$89,5,0)</f>
        <v>412.02199999999999</v>
      </c>
      <c r="EL116" s="13">
        <f t="shared" si="99"/>
        <v>94.209724877926391</v>
      </c>
      <c r="EM116" s="20">
        <f t="shared" si="73"/>
        <v>881.686920829055</v>
      </c>
      <c r="EN116" s="59">
        <f t="shared" si="74"/>
        <v>1175.0202541623883</v>
      </c>
      <c r="EO116" s="59">
        <f ca="1">AVERAGE(OFFSET($EN$3,0,0,'Données projet'!$E$15+1,1))-AVERAGE(OFFSET($H$3,0,0,'Données projet'!$E$15+1,1))</f>
        <v>504.81063008331739</v>
      </c>
      <c r="EP116" s="59">
        <f t="shared" si="100"/>
        <v>441.82647565372287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50.912864060849635</v>
      </c>
      <c r="EW116" s="21">
        <f>EXP(-LN(2)/25)*EW115+(1-EXP(-LN(2)/25))/(LN(2)/25)*Calculateur!ER116*Calculateur!ET116*VLOOKUP('Données projet'!$B$15,Paramètres!$A$1:$I$89,3,0)*0.475*44/12</f>
        <v>5.895797792407639</v>
      </c>
      <c r="EX116" s="21">
        <f>EXP(-LN(2)/2)*EX115+(1-EXP(-LN(2)/2))/(LN(2)/2)*ER116*EU116*VLOOKUP('Données projet'!$B$15,Paramètres!$A$1:$I$89,3,0)*0.475*44/12</f>
        <v>1.6838173157814361E-14</v>
      </c>
      <c r="EY116" s="22">
        <f t="shared" si="75"/>
        <v>56.808661853257291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541.99999999999989</v>
      </c>
      <c r="FF116" s="17">
        <f>FE116*VLOOKUP('Données projet'!$B$16,Paramètres!$A$1:$I$89,3,0)*VLOOKUP('Données projet'!$B$16,Paramètres!$A$1:$I$89,5,0)</f>
        <v>310.02399999999994</v>
      </c>
      <c r="FG116" s="13">
        <f t="shared" si="101"/>
        <v>73.27384230442388</v>
      </c>
      <c r="FH116" s="20">
        <f t="shared" si="76"/>
        <v>667.57707534687154</v>
      </c>
      <c r="FI116" s="59">
        <f t="shared" si="77"/>
        <v>960.91040868020491</v>
      </c>
      <c r="FJ116" s="59">
        <f ca="1">AVERAGE(OFFSET($FI$3,0,0,'Données projet'!$E$16+1,1))-AVERAGE(OFFSET($H$3,0,0,'Données projet'!$E$16+1,1))</f>
        <v>393.41577134252316</v>
      </c>
      <c r="FK116" s="59">
        <f t="shared" si="102"/>
        <v>255.54039659391475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59.616656816844781</v>
      </c>
      <c r="FR116" s="21">
        <f>EXP(-LN(2)/25)*FR115+(1-EXP(-LN(2)/25))/(LN(2)/25)*Calculateur!FM116*Calculateur!FO116*VLOOKUP('Données projet'!$B$16,Paramètres!$A$1:$I$89,3,0)*0.475*44/12</f>
        <v>2.6756093064235933</v>
      </c>
      <c r="FS116" s="21">
        <f>EXP(-LN(2)/2)*FS115+(1-EXP(-LN(2)/2))/(LN(2)/2)*FM116*FP116*VLOOKUP('Données projet'!$B$16,Paramètres!$A$1:$I$89,3,0)*0.475*44/12</f>
        <v>1.1714109374864091E-13</v>
      </c>
      <c r="FT116" s="22">
        <f t="shared" si="78"/>
        <v>62.29226612326849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853.00000000000011</v>
      </c>
      <c r="GA116" s="17">
        <f>FZ116*VLOOKUP('Données projet'!$B$17,Paramètres!$A$1:$I$89,3,0)*VLOOKUP('Données projet'!$B$17,Paramètres!$A$1:$I$89,5,0)</f>
        <v>399.20400000000006</v>
      </c>
      <c r="GB116" s="13">
        <f t="shared" si="103"/>
        <v>91.615269732888521</v>
      </c>
      <c r="GC116" s="20">
        <f t="shared" si="79"/>
        <v>854.8435614514475</v>
      </c>
      <c r="GD116" s="59">
        <f t="shared" si="80"/>
        <v>1148.1768947847809</v>
      </c>
      <c r="GE116" s="59">
        <f ca="1">AVERAGE(OFFSET($GD$3,0,0,'Données projet'!$E$17+1,1))-AVERAGE(OFFSET($H$3,0,0,'Données projet'!$E$17+1,1))</f>
        <v>488.67934252295686</v>
      </c>
      <c r="GF116" s="59">
        <f t="shared" si="104"/>
        <v>424.50324471331095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72.096061638725445</v>
      </c>
      <c r="GM116" s="21">
        <f>EXP(-LN(2)/25)*GM115+(1-EXP(-LN(2)/25))/(LN(2)/25)*Calculateur!GH116*Calculateur!GJ116*VLOOKUP('Données projet'!$B$17,Paramètres!$A$1:$I$89,3,0)*0.475*44/12</f>
        <v>4.9052837284432549</v>
      </c>
      <c r="GN116" s="21">
        <f>EXP(-LN(2)/2)*GN115+(1-EXP(-LN(2)/2))/(LN(2)/2)*GH116*GK116*VLOOKUP('Données projet'!$B$17,Paramètres!$A$1:$I$89,3,0)*0.475*44/12</f>
        <v>2.6090516334924558E-13</v>
      </c>
      <c r="GO116" s="21">
        <f t="shared" si="81"/>
        <v>77.001345367168952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789</v>
      </c>
      <c r="GV116" s="17">
        <f>GU116*VLOOKUP('Données projet'!$B$18,Paramètres!$A$1:$I$89,3,0)*VLOOKUP('Données projet'!$B$18,Paramètres!$A$1:$I$89,5,0)</f>
        <v>379.50900000000001</v>
      </c>
      <c r="GW116" s="13">
        <f t="shared" si="105"/>
        <v>87.609801106074272</v>
      </c>
      <c r="GX116" s="20">
        <f t="shared" si="82"/>
        <v>813.56524525974601</v>
      </c>
      <c r="GY116" s="59">
        <f t="shared" si="83"/>
        <v>1106.8985785930793</v>
      </c>
      <c r="GZ116" s="59">
        <f ca="1">AVERAGE(OFFSET($GY$3,0,0,'Données projet'!$E$18+1,1))-AVERAGE(OFFSET($H$3,0,0,'Données projet'!$E$18+1,1))</f>
        <v>458.80976193248841</v>
      </c>
      <c r="HA116" s="59">
        <f t="shared" si="106"/>
        <v>396.07405370178759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73.002875395163571</v>
      </c>
      <c r="HH116" s="21">
        <f>EXP(-LN(2)/25)*HH115+(1-EXP(-LN(2)/25))/(LN(2)/25)*Calculateur!HC116*Calculateur!HE116*VLOOKUP('Données projet'!$B$18,Paramètres!$A$1:$I$89,3,0)*0.475*44/12</f>
        <v>4.583219645262643</v>
      </c>
      <c r="HI116" s="21">
        <f>EXP(-LN(2)/2)*HI115+(1-EXP(-LN(2)/2))/(LN(2)/2)*HC116*HF116*VLOOKUP('Données projet'!$B$18,Paramètres!$A$1:$I$89,3,0)*0.475*44/12</f>
        <v>1.2039501301943658E-13</v>
      </c>
      <c r="HJ116" s="22">
        <f t="shared" si="84"/>
        <v>77.586095040426329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3.8</v>
      </c>
      <c r="N117" s="13">
        <f>IF('Données projet'!$A$36&gt;35,N116+M117-V116,IF(A117&lt;'Données projet'!$A$36,$K$205^A117,IF(A117='Données projet'!$A$36,'Données projet'!$B$36,N116+M117-V116)))</f>
        <v>281.2</v>
      </c>
      <c r="O117" s="13">
        <f>N117*VLOOKUP('Données projet'!$B$9,Paramètres!$A$1:$I$89,3,0)*VLOOKUP('Données projet'!$B$9,Paramètres!$A$1:$I$89,5,0)</f>
        <v>254.42975999999996</v>
      </c>
      <c r="P117" s="13">
        <f t="shared" si="87"/>
        <v>61.533535468549189</v>
      </c>
      <c r="Q117" s="20">
        <f t="shared" si="107"/>
        <v>550.30273960772308</v>
      </c>
      <c r="R117" s="59">
        <f t="shared" si="55"/>
        <v>843.63607294105645</v>
      </c>
      <c r="S117" s="59">
        <f ca="1">AVERAGE(OFFSET($R$3,0,0,'Données projet'!$E$9+1,1))-AVERAGE(OFFSET($H$3,0,0,'Données projet'!$E$9+1,1))</f>
        <v>364.3481978218424</v>
      </c>
      <c r="T117" s="59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69.201678932108649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69.201678932108649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636.99999999999977</v>
      </c>
      <c r="AJ117" s="13">
        <f>AI117*VLOOKUP('Données projet'!$B$10,Paramètres!$A$1:$I$89,3,0)*VLOOKUP('Données projet'!$B$10,Paramètres!$A$1:$I$89,5,0)</f>
        <v>356.08299999999991</v>
      </c>
      <c r="AK117" s="13">
        <f t="shared" si="89"/>
        <v>82.813805255716545</v>
      </c>
      <c r="AL117" s="20">
        <f t="shared" si="58"/>
        <v>764.41193582037283</v>
      </c>
      <c r="AM117" s="59">
        <f t="shared" si="59"/>
        <v>1057.7452691537062</v>
      </c>
      <c r="AN117" s="59">
        <f ca="1">AVERAGE(OFFSET($AM$3,0,0,'Données projet'!$E$10+1,1))-AVERAGE(OFFSET($H$3,0,0,'Données projet'!$E$10+1,1))</f>
        <v>443.34220761968419</v>
      </c>
      <c r="AO117" s="59">
        <f t="shared" si="90"/>
        <v>546.58234447298014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33.541646527266643</v>
      </c>
      <c r="AV117" s="21">
        <f>EXP(-LN(2)/25)*AV116+(1-EXP(-LN(2)/25))/(LN(2)/25)*Calculateur!AQ117*Calculateur!AS117*VLOOKUP('Données projet'!$B$10,Paramètres!$A$1:$I$89,3,0)*0.475*44/12</f>
        <v>2.1365962905886513</v>
      </c>
      <c r="AW117" s="21">
        <f>EXP(-LN(2)/2)*AW116+(1-EXP(-LN(2)/2))/(LN(2)/2)*AQ117*AT117*VLOOKUP('Données projet'!$B$10,Paramètres!$A$1:$I$89,3,0)*0.475*44/12</f>
        <v>1.3737455539613346E-12</v>
      </c>
      <c r="AX117" s="21">
        <f t="shared" si="60"/>
        <v>35.678242817856663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</v>
      </c>
      <c r="BD117" s="12">
        <f>IF('Données projet'!$A$88&gt;35,BD116+BC117-BL116,IF(A117&lt;'Données projet'!$A$88,$BA$205^A117,IF(A117='Données projet'!$A$88,'Données projet'!$B$88,BD116+BC117-BL116)))</f>
        <v>419.99999999999989</v>
      </c>
      <c r="BE117" s="13">
        <f>BD117*VLOOKUP('Données projet'!$B$11,Paramètres!$A$1:$I$89,3,0)*VLOOKUP('Données projet'!$B$11,Paramètres!$A$1:$I$89,5,0)</f>
        <v>360.3599999999999</v>
      </c>
      <c r="BF117" s="13">
        <f t="shared" si="91"/>
        <v>83.692107728969532</v>
      </c>
      <c r="BG117" s="20">
        <f t="shared" si="61"/>
        <v>773.39075429462173</v>
      </c>
      <c r="BH117" s="59">
        <f t="shared" si="62"/>
        <v>1066.724087627955</v>
      </c>
      <c r="BI117" s="59">
        <f ca="1">AVERAGE(OFFSET($BH$3,0,0,'Données projet'!$E$11+1,1))-AVERAGE(OFFSET($H$3,0,0,'Données projet'!$E$11+1,1))</f>
        <v>447.15627913956871</v>
      </c>
      <c r="BJ117" s="59">
        <f t="shared" si="92"/>
        <v>256.77417912163997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101.28679326599712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101.28679326599712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245.99999999999994</v>
      </c>
      <c r="BZ117" s="13">
        <f>BY117*VLOOKUP('Données projet'!$B$12,Paramètres!$A$1:$I$89,3,0)*VLOOKUP('Données projet'!$B$12,Paramètres!$A$1:$I$89,5,0)</f>
        <v>234.09359999999998</v>
      </c>
      <c r="CA117" s="13">
        <f t="shared" si="93"/>
        <v>57.166902703920208</v>
      </c>
      <c r="CB117" s="20">
        <f t="shared" si="64"/>
        <v>507.27870887599425</v>
      </c>
      <c r="CC117" s="59">
        <f t="shared" si="65"/>
        <v>800.61204220932757</v>
      </c>
      <c r="CD117" s="59">
        <f ca="1">AVERAGE(OFFSET($CC$3,0,0,'Données projet'!$E$12+1,1))-AVERAGE(OFFSET($H$3,0,0,'Données projet'!$E$12+1,1))</f>
        <v>448.94764480536713</v>
      </c>
      <c r="CE117" s="59">
        <f t="shared" si="94"/>
        <v>469.26760321719695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79.538103923628839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79.538103923628839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187.80389738728508</v>
      </c>
      <c r="CZ117" s="59">
        <f t="shared" si="96"/>
        <v>439.28159165815265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23.400743133305369</v>
      </c>
      <c r="DG117" s="21">
        <f>EXP(-LN(2)/25)*DG116+(1-EXP(-LN(2)/25))/(LN(2)/25)*Calculateur!DB117*Calculateur!DD117*VLOOKUP('Données projet'!$B$13,Paramètres!$A$1:$I$89,3,0)*0.475*44/12</f>
        <v>1.4002862986957951</v>
      </c>
      <c r="DH117" s="21">
        <f>EXP(-LN(2)/2)*DH116+(1-EXP(-LN(2)/2))/(LN(2)/2)*DB117*DE117*VLOOKUP('Données projet'!$B$13,Paramètres!$A$1:$I$89,3,0)*0.475*44/12</f>
        <v>1.0223176560101568E-14</v>
      </c>
      <c r="DI117" s="22">
        <f t="shared" si="69"/>
        <v>24.801029432001176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255.00000000000006</v>
      </c>
      <c r="DP117" s="17">
        <f>DO117*VLOOKUP('Données projet'!$B$14,Paramètres!$A$1:$I$89,3,0)*VLOOKUP('Données projet'!$B$14,Paramètres!$A$1:$I$89,5,0)</f>
        <v>186.96600000000004</v>
      </c>
      <c r="DQ117" s="13">
        <f t="shared" si="97"/>
        <v>46.868551400324648</v>
      </c>
      <c r="DR117" s="20">
        <f t="shared" si="70"/>
        <v>407.26184368889881</v>
      </c>
      <c r="DS117" s="59">
        <f t="shared" si="71"/>
        <v>700.59517702223206</v>
      </c>
      <c r="DT117" s="59">
        <f ca="1">AVERAGE(OFFSET($DS$3,0,0,'Données projet'!$E$14+1,1))-AVERAGE(OFFSET($H$3,0,0,'Données projet'!$E$14+1,1))</f>
        <v>239.25212250019609</v>
      </c>
      <c r="DU117" s="59">
        <f t="shared" si="98"/>
        <v>213.58492101729695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689</v>
      </c>
      <c r="EK117" s="17">
        <f>EJ117*VLOOKUP('Données projet'!$B$15,Paramètres!$A$1:$I$89,3,0)*VLOOKUP('Données projet'!$B$15,Paramètres!$A$1:$I$89,5,0)</f>
        <v>412.02199999999999</v>
      </c>
      <c r="EL117" s="13">
        <f t="shared" si="99"/>
        <v>94.209724877926391</v>
      </c>
      <c r="EM117" s="20">
        <f t="shared" si="73"/>
        <v>881.686920829055</v>
      </c>
      <c r="EN117" s="59">
        <f t="shared" si="74"/>
        <v>1175.0202541623883</v>
      </c>
      <c r="EO117" s="59">
        <f ca="1">AVERAGE(OFFSET($EN$3,0,0,'Données projet'!$E$15+1,1))-AVERAGE(OFFSET($H$3,0,0,'Données projet'!$E$15+1,1))</f>
        <v>504.81063008331739</v>
      </c>
      <c r="EP117" s="59">
        <f t="shared" si="100"/>
        <v>441.82647565372287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49.914493850397143</v>
      </c>
      <c r="EW117" s="21">
        <f>EXP(-LN(2)/25)*EW116+(1-EXP(-LN(2)/25))/(LN(2)/25)*Calculateur!ER117*Calculateur!ET117*VLOOKUP('Données projet'!$B$15,Paramètres!$A$1:$I$89,3,0)*0.475*44/12</f>
        <v>5.7345768917277216</v>
      </c>
      <c r="EX117" s="21">
        <f>EXP(-LN(2)/2)*EX116+(1-EXP(-LN(2)/2))/(LN(2)/2)*ER117*EU117*VLOOKUP('Données projet'!$B$15,Paramètres!$A$1:$I$89,3,0)*0.475*44/12</f>
        <v>1.1906386422683838E-14</v>
      </c>
      <c r="EY117" s="22">
        <f t="shared" si="75"/>
        <v>55.649070742124877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541.99999999999989</v>
      </c>
      <c r="FF117" s="17">
        <f>FE117*VLOOKUP('Données projet'!$B$16,Paramètres!$A$1:$I$89,3,0)*VLOOKUP('Données projet'!$B$16,Paramètres!$A$1:$I$89,5,0)</f>
        <v>310.02399999999994</v>
      </c>
      <c r="FG117" s="13">
        <f t="shared" si="101"/>
        <v>73.27384230442388</v>
      </c>
      <c r="FH117" s="20">
        <f t="shared" si="76"/>
        <v>667.57707534687154</v>
      </c>
      <c r="FI117" s="59">
        <f t="shared" si="77"/>
        <v>960.91040868020491</v>
      </c>
      <c r="FJ117" s="59">
        <f ca="1">AVERAGE(OFFSET($FI$3,0,0,'Données projet'!$E$16+1,1))-AVERAGE(OFFSET($H$3,0,0,'Données projet'!$E$16+1,1))</f>
        <v>393.41577134252316</v>
      </c>
      <c r="FK117" s="59">
        <f t="shared" si="102"/>
        <v>255.54039659391475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58.447610539236607</v>
      </c>
      <c r="FR117" s="21">
        <f>EXP(-LN(2)/25)*FR116+(1-EXP(-LN(2)/25))/(LN(2)/25)*Calculateur!FM117*Calculateur!FO117*VLOOKUP('Données projet'!$B$16,Paramètres!$A$1:$I$89,3,0)*0.475*44/12</f>
        <v>2.6024446292352619</v>
      </c>
      <c r="FS117" s="21">
        <f>EXP(-LN(2)/2)*FS116+(1-EXP(-LN(2)/2))/(LN(2)/2)*FM117*FP117*VLOOKUP('Données projet'!$B$16,Paramètres!$A$1:$I$89,3,0)*0.475*44/12</f>
        <v>8.2831261745273077E-14</v>
      </c>
      <c r="FT117" s="22">
        <f t="shared" si="78"/>
        <v>61.050055168471957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853.00000000000011</v>
      </c>
      <c r="GA117" s="17">
        <f>FZ117*VLOOKUP('Données projet'!$B$17,Paramètres!$A$1:$I$89,3,0)*VLOOKUP('Données projet'!$B$17,Paramètres!$A$1:$I$89,5,0)</f>
        <v>399.20400000000006</v>
      </c>
      <c r="GB117" s="13">
        <f t="shared" si="103"/>
        <v>91.615269732888521</v>
      </c>
      <c r="GC117" s="20">
        <f t="shared" si="79"/>
        <v>854.8435614514475</v>
      </c>
      <c r="GD117" s="59">
        <f t="shared" si="80"/>
        <v>1148.1768947847809</v>
      </c>
      <c r="GE117" s="59">
        <f ca="1">AVERAGE(OFFSET($GD$3,0,0,'Données projet'!$E$17+1,1))-AVERAGE(OFFSET($H$3,0,0,'Données projet'!$E$17+1,1))</f>
        <v>488.67934252295686</v>
      </c>
      <c r="GF117" s="59">
        <f t="shared" si="104"/>
        <v>424.50324471331095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70.682301844245544</v>
      </c>
      <c r="GM117" s="21">
        <f>EXP(-LN(2)/25)*GM116+(1-EXP(-LN(2)/25))/(LN(2)/25)*Calculateur!GH117*Calculateur!GJ117*VLOOKUP('Données projet'!$B$17,Paramètres!$A$1:$I$89,3,0)*0.475*44/12</f>
        <v>4.7711484869313141</v>
      </c>
      <c r="GN117" s="21">
        <f>EXP(-LN(2)/2)*GN116+(1-EXP(-LN(2)/2))/(LN(2)/2)*GH117*GK117*VLOOKUP('Données projet'!$B$17,Paramètres!$A$1:$I$89,3,0)*0.475*44/12</f>
        <v>1.8448781025083543E-13</v>
      </c>
      <c r="GO117" s="21">
        <f t="shared" si="81"/>
        <v>75.453450331177038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789</v>
      </c>
      <c r="GV117" s="17">
        <f>GU117*VLOOKUP('Données projet'!$B$18,Paramètres!$A$1:$I$89,3,0)*VLOOKUP('Données projet'!$B$18,Paramètres!$A$1:$I$89,5,0)</f>
        <v>379.50900000000001</v>
      </c>
      <c r="GW117" s="13">
        <f t="shared" si="105"/>
        <v>87.609801106074272</v>
      </c>
      <c r="GX117" s="20">
        <f t="shared" si="82"/>
        <v>813.56524525974601</v>
      </c>
      <c r="GY117" s="59">
        <f t="shared" si="83"/>
        <v>1106.8985785930793</v>
      </c>
      <c r="GZ117" s="59">
        <f ca="1">AVERAGE(OFFSET($GY$3,0,0,'Données projet'!$E$18+1,1))-AVERAGE(OFFSET($H$3,0,0,'Données projet'!$E$18+1,1))</f>
        <v>458.80976193248841</v>
      </c>
      <c r="HA117" s="59">
        <f t="shared" si="106"/>
        <v>396.07405370178759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71.571333536021697</v>
      </c>
      <c r="HH117" s="21">
        <f>EXP(-LN(2)/25)*HH116+(1-EXP(-LN(2)/25))/(LN(2)/25)*Calculateur!HC117*Calculateur!HE117*VLOOKUP('Données projet'!$B$18,Paramètres!$A$1:$I$89,3,0)*0.475*44/12</f>
        <v>4.4578912630418897</v>
      </c>
      <c r="HI117" s="21">
        <f>EXP(-LN(2)/2)*HI116+(1-EXP(-LN(2)/2))/(LN(2)/2)*HC117*HF117*VLOOKUP('Données projet'!$B$18,Paramètres!$A$1:$I$89,3,0)*0.475*44/12</f>
        <v>8.5132130127086281E-14</v>
      </c>
      <c r="HJ117" s="22">
        <f t="shared" si="84"/>
        <v>76.02922479906367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285</v>
      </c>
      <c r="L118" s="12">
        <f>VLOOKUP(A118,'Données projet'!$A$35:$I$55,9,0)</f>
        <v>3.8</v>
      </c>
      <c r="M118" s="12">
        <f t="array" ref="M118">INDEX(L:L,MIN(IF(ISNUMBER(L118:L314),ROW(L118:L314),"")))</f>
        <v>3.8</v>
      </c>
      <c r="N118" s="13">
        <f>IF('Données projet'!$A$36&gt;35,N117+M118-V117,IF(A118&lt;'Données projet'!$A$36,$K$205^A118,IF(A118='Données projet'!$A$36,'Données projet'!$B$36,N117+M118-V117)))</f>
        <v>285</v>
      </c>
      <c r="O118" s="13">
        <f>N118*VLOOKUP('Données projet'!$B$9,Paramètres!$A$1:$I$89,3,0)*VLOOKUP('Données projet'!$B$9,Paramètres!$A$1:$I$89,5,0)</f>
        <v>257.86799999999999</v>
      </c>
      <c r="P118" s="13">
        <f t="shared" si="87"/>
        <v>62.267704162827528</v>
      </c>
      <c r="Q118" s="20">
        <f t="shared" si="107"/>
        <v>557.56968475025803</v>
      </c>
      <c r="R118" s="59">
        <f t="shared" si="55"/>
        <v>850.90301808359141</v>
      </c>
      <c r="S118" s="59">
        <f ca="1">AVERAGE(OFFSET($R$3,0,0,'Données projet'!$E$9+1,1))-AVERAGE(OFFSET($H$3,0,0,'Données projet'!$E$9+1,1))</f>
        <v>364.3481978218424</v>
      </c>
      <c r="T118" s="59">
        <f t="shared" si="88"/>
        <v>231.36959598460686</v>
      </c>
      <c r="U118" s="15">
        <f>IF(ISNA(VLOOKUP(A118,'Données projet'!$A$35:$I$55,3,0)),0,VLOOKUP(A118,'Données projet'!$A$35:$I$55,3,0))</f>
        <v>19</v>
      </c>
      <c r="V118" s="15">
        <f>IF(ISNA(VLOOKUP(A118,'Données projet'!$A$35:$I$55,4,0)),0,VLOOKUP(A118,'Données projet'!$A$35:$I$55,4,0))</f>
        <v>18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75.58645331647331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75.58645331647331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636.99999999999977</v>
      </c>
      <c r="AJ118" s="13">
        <f>AI118*VLOOKUP('Données projet'!$B$10,Paramètres!$A$1:$I$89,3,0)*VLOOKUP('Données projet'!$B$10,Paramètres!$A$1:$I$89,5,0)</f>
        <v>356.08299999999991</v>
      </c>
      <c r="AK118" s="13">
        <f t="shared" si="89"/>
        <v>82.813805255716545</v>
      </c>
      <c r="AL118" s="20">
        <f t="shared" si="58"/>
        <v>764.41193582037283</v>
      </c>
      <c r="AM118" s="59">
        <f t="shared" si="59"/>
        <v>1057.7452691537062</v>
      </c>
      <c r="AN118" s="59">
        <f ca="1">AVERAGE(OFFSET($AM$3,0,0,'Données projet'!$E$10+1,1))-AVERAGE(OFFSET($H$3,0,0,'Données projet'!$E$10+1,1))</f>
        <v>443.34220761968419</v>
      </c>
      <c r="AO118" s="59">
        <f t="shared" si="90"/>
        <v>546.58234447298014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32.883915297251228</v>
      </c>
      <c r="AV118" s="21">
        <f>EXP(-LN(2)/25)*AV117+(1-EXP(-LN(2)/25))/(LN(2)/25)*Calculateur!AQ118*Calculateur!AS118*VLOOKUP('Données projet'!$B$10,Paramètres!$A$1:$I$89,3,0)*0.475*44/12</f>
        <v>2.0781709526637888</v>
      </c>
      <c r="AW118" s="21">
        <f>EXP(-LN(2)/2)*AW117+(1-EXP(-LN(2)/2))/(LN(2)/2)*AQ118*AT118*VLOOKUP('Données projet'!$B$10,Paramètres!$A$1:$I$89,3,0)*0.475*44/12</f>
        <v>9.713847968309299E-13</v>
      </c>
      <c r="AX118" s="21">
        <f t="shared" si="60"/>
        <v>34.962086249915991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426</v>
      </c>
      <c r="BB118" s="12">
        <f>VLOOKUP(A118,'Données projet'!$A$87:$I$107,9,0)</f>
        <v>6</v>
      </c>
      <c r="BC118" s="12">
        <f t="array" ref="BC118">INDEX(BB:BB,MIN(IF(ISNUMBER(BB118:BB314),ROW(BB118:BB314),"")))</f>
        <v>6</v>
      </c>
      <c r="BD118" s="12">
        <f>IF('Données projet'!$A$88&gt;35,BD117+BC118-BL117,IF(A118&lt;'Données projet'!$A$88,$BA$205^A118,IF(A118='Données projet'!$A$88,'Données projet'!$B$88,BD117+BC118-BL117)))</f>
        <v>425.99999999999989</v>
      </c>
      <c r="BE118" s="13">
        <f>BD118*VLOOKUP('Données projet'!$B$11,Paramètres!$A$1:$I$89,3,0)*VLOOKUP('Données projet'!$B$11,Paramètres!$A$1:$I$89,5,0)</f>
        <v>365.50799999999992</v>
      </c>
      <c r="BF118" s="13">
        <f t="shared" si="91"/>
        <v>84.747667534292106</v>
      </c>
      <c r="BG118" s="20">
        <f t="shared" si="61"/>
        <v>784.19528762222524</v>
      </c>
      <c r="BH118" s="59">
        <f t="shared" si="62"/>
        <v>1077.5286209555586</v>
      </c>
      <c r="BI118" s="59">
        <f ca="1">AVERAGE(OFFSET($BH$3,0,0,'Données projet'!$E$11+1,1))-AVERAGE(OFFSET($H$3,0,0,'Données projet'!$E$11+1,1))</f>
        <v>447.15627913956871</v>
      </c>
      <c r="BJ118" s="59">
        <f t="shared" si="92"/>
        <v>256.77417912163997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22</v>
      </c>
      <c r="BM118" s="16">
        <f>IF(ISNA(VLOOKUP(A118,'Données projet'!$A$87:$I$107,5,0)),0%,VLOOKUP(A118,'Données projet'!$A$87:$I$107,5,0)*VLOOKUP('Données projet'!$B$11,Paramètres!$A$1:$I$89,7,0))</f>
        <v>0.53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110.36005623744856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110.36005623744856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245.99999999999994</v>
      </c>
      <c r="BZ118" s="13">
        <f>BY118*VLOOKUP('Données projet'!$B$12,Paramètres!$A$1:$I$89,3,0)*VLOOKUP('Données projet'!$B$12,Paramètres!$A$1:$I$89,5,0)</f>
        <v>234.09359999999998</v>
      </c>
      <c r="CA118" s="13">
        <f t="shared" si="93"/>
        <v>57.166902703920208</v>
      </c>
      <c r="CB118" s="20">
        <f t="shared" si="64"/>
        <v>507.27870887599425</v>
      </c>
      <c r="CC118" s="59">
        <f t="shared" si="65"/>
        <v>800.61204220932757</v>
      </c>
      <c r="CD118" s="59">
        <f ca="1">AVERAGE(OFFSET($CC$3,0,0,'Données projet'!$E$12+1,1))-AVERAGE(OFFSET($H$3,0,0,'Données projet'!$E$12+1,1))</f>
        <v>448.94764480536713</v>
      </c>
      <c r="CE118" s="59">
        <f t="shared" si="94"/>
        <v>469.26760321719695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77.978410219139562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77.978410219139562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187.80389738728508</v>
      </c>
      <c r="CZ118" s="59">
        <f t="shared" si="96"/>
        <v>439.28159165815265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22.941868833505215</v>
      </c>
      <c r="DG118" s="21">
        <f>EXP(-LN(2)/25)*DG117+(1-EXP(-LN(2)/25))/(LN(2)/25)*Calculateur!DB118*Calculateur!DD118*VLOOKUP('Données projet'!$B$13,Paramètres!$A$1:$I$89,3,0)*0.475*44/12</f>
        <v>1.3619953962201026</v>
      </c>
      <c r="DH118" s="21">
        <f>EXP(-LN(2)/2)*DH117+(1-EXP(-LN(2)/2))/(LN(2)/2)*DB118*DE118*VLOOKUP('Données projet'!$B$13,Paramètres!$A$1:$I$89,3,0)*0.475*44/12</f>
        <v>7.2288774709151809E-15</v>
      </c>
      <c r="DI118" s="22">
        <f t="shared" si="69"/>
        <v>24.303864229725324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255.00000000000006</v>
      </c>
      <c r="DP118" s="17">
        <f>DO118*VLOOKUP('Données projet'!$B$14,Paramètres!$A$1:$I$89,3,0)*VLOOKUP('Données projet'!$B$14,Paramètres!$A$1:$I$89,5,0)</f>
        <v>186.96600000000004</v>
      </c>
      <c r="DQ118" s="13">
        <f t="shared" si="97"/>
        <v>46.868551400324648</v>
      </c>
      <c r="DR118" s="20">
        <f t="shared" si="70"/>
        <v>407.26184368889881</v>
      </c>
      <c r="DS118" s="59">
        <f t="shared" si="71"/>
        <v>700.59517702223206</v>
      </c>
      <c r="DT118" s="59">
        <f ca="1">AVERAGE(OFFSET($DS$3,0,0,'Données projet'!$E$14+1,1))-AVERAGE(OFFSET($H$3,0,0,'Données projet'!$E$14+1,1))</f>
        <v>239.25212250019609</v>
      </c>
      <c r="DU118" s="59">
        <f t="shared" si="98"/>
        <v>213.58492101729695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689</v>
      </c>
      <c r="EK118" s="17">
        <f>EJ118*VLOOKUP('Données projet'!$B$15,Paramètres!$A$1:$I$89,3,0)*VLOOKUP('Données projet'!$B$15,Paramètres!$A$1:$I$89,5,0)</f>
        <v>412.02199999999999</v>
      </c>
      <c r="EL118" s="13">
        <f t="shared" si="99"/>
        <v>94.209724877926391</v>
      </c>
      <c r="EM118" s="20">
        <f t="shared" si="73"/>
        <v>881.686920829055</v>
      </c>
      <c r="EN118" s="59">
        <f t="shared" si="74"/>
        <v>1175.0202541623883</v>
      </c>
      <c r="EO118" s="59">
        <f ca="1">AVERAGE(OFFSET($EN$3,0,0,'Données projet'!$E$15+1,1))-AVERAGE(OFFSET($H$3,0,0,'Données projet'!$E$15+1,1))</f>
        <v>504.81063008331739</v>
      </c>
      <c r="EP118" s="59">
        <f t="shared" si="100"/>
        <v>441.82647565372287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48.935701070825928</v>
      </c>
      <c r="EW118" s="21">
        <f>EXP(-LN(2)/25)*EW117+(1-EXP(-LN(2)/25))/(LN(2)/25)*Calculateur!ER118*Calculateur!ET118*VLOOKUP('Données projet'!$B$15,Paramètres!$A$1:$I$89,3,0)*0.475*44/12</f>
        <v>5.5777645850551352</v>
      </c>
      <c r="EX118" s="21">
        <f>EXP(-LN(2)/2)*EX117+(1-EXP(-LN(2)/2))/(LN(2)/2)*ER118*EU118*VLOOKUP('Données projet'!$B$15,Paramètres!$A$1:$I$89,3,0)*0.475*44/12</f>
        <v>8.4190865789071807E-15</v>
      </c>
      <c r="EY118" s="22">
        <f t="shared" si="75"/>
        <v>54.51346565588107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541.99999999999989</v>
      </c>
      <c r="FF118" s="17">
        <f>FE118*VLOOKUP('Données projet'!$B$16,Paramètres!$A$1:$I$89,3,0)*VLOOKUP('Données projet'!$B$16,Paramètres!$A$1:$I$89,5,0)</f>
        <v>310.02399999999994</v>
      </c>
      <c r="FG118" s="13">
        <f t="shared" si="101"/>
        <v>73.27384230442388</v>
      </c>
      <c r="FH118" s="20">
        <f t="shared" si="76"/>
        <v>667.57707534687154</v>
      </c>
      <c r="FI118" s="59">
        <f t="shared" si="77"/>
        <v>960.91040868020491</v>
      </c>
      <c r="FJ118" s="59">
        <f ca="1">AVERAGE(OFFSET($FI$3,0,0,'Données projet'!$E$16+1,1))-AVERAGE(OFFSET($H$3,0,0,'Données projet'!$E$16+1,1))</f>
        <v>393.41577134252316</v>
      </c>
      <c r="FK118" s="59">
        <f t="shared" si="102"/>
        <v>255.54039659391475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57.301488546084506</v>
      </c>
      <c r="FR118" s="21">
        <f>EXP(-LN(2)/25)*FR117+(1-EXP(-LN(2)/25))/(LN(2)/25)*Calculateur!FM118*Calculateur!FO118*VLOOKUP('Données projet'!$B$16,Paramètres!$A$1:$I$89,3,0)*0.475*44/12</f>
        <v>2.5312806439922086</v>
      </c>
      <c r="FS118" s="21">
        <f>EXP(-LN(2)/2)*FS117+(1-EXP(-LN(2)/2))/(LN(2)/2)*FM118*FP118*VLOOKUP('Données projet'!$B$16,Paramètres!$A$1:$I$89,3,0)*0.475*44/12</f>
        <v>5.8570546874320453E-14</v>
      </c>
      <c r="FT118" s="22">
        <f t="shared" si="78"/>
        <v>59.832769190076775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853.00000000000011</v>
      </c>
      <c r="GA118" s="17">
        <f>FZ118*VLOOKUP('Données projet'!$B$17,Paramètres!$A$1:$I$89,3,0)*VLOOKUP('Données projet'!$B$17,Paramètres!$A$1:$I$89,5,0)</f>
        <v>399.20400000000006</v>
      </c>
      <c r="GB118" s="13">
        <f t="shared" si="103"/>
        <v>91.615269732888521</v>
      </c>
      <c r="GC118" s="20">
        <f t="shared" si="79"/>
        <v>854.8435614514475</v>
      </c>
      <c r="GD118" s="59">
        <f t="shared" si="80"/>
        <v>1148.1768947847809</v>
      </c>
      <c r="GE118" s="59">
        <f ca="1">AVERAGE(OFFSET($GD$3,0,0,'Données projet'!$E$17+1,1))-AVERAGE(OFFSET($H$3,0,0,'Données projet'!$E$17+1,1))</f>
        <v>488.67934252295686</v>
      </c>
      <c r="GF118" s="59">
        <f t="shared" si="104"/>
        <v>424.50324471331095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69.296265017027068</v>
      </c>
      <c r="GM118" s="21">
        <f>EXP(-LN(2)/25)*GM117+(1-EXP(-LN(2)/25))/(LN(2)/25)*Calculateur!GH118*Calculateur!GJ118*VLOOKUP('Données projet'!$B$17,Paramètres!$A$1:$I$89,3,0)*0.475*44/12</f>
        <v>4.6406811806523827</v>
      </c>
      <c r="GN118" s="21">
        <f>EXP(-LN(2)/2)*GN117+(1-EXP(-LN(2)/2))/(LN(2)/2)*GH118*GK118*VLOOKUP('Données projet'!$B$17,Paramètres!$A$1:$I$89,3,0)*0.475*44/12</f>
        <v>1.3045258167462279E-13</v>
      </c>
      <c r="GO118" s="21">
        <f t="shared" si="81"/>
        <v>73.936946197679575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789</v>
      </c>
      <c r="GV118" s="17">
        <f>GU118*VLOOKUP('Données projet'!$B$18,Paramètres!$A$1:$I$89,3,0)*VLOOKUP('Données projet'!$B$18,Paramètres!$A$1:$I$89,5,0)</f>
        <v>379.50900000000001</v>
      </c>
      <c r="GW118" s="13">
        <f t="shared" si="105"/>
        <v>87.609801106074272</v>
      </c>
      <c r="GX118" s="20">
        <f t="shared" si="82"/>
        <v>813.56524525974601</v>
      </c>
      <c r="GY118" s="59">
        <f t="shared" si="83"/>
        <v>1106.8985785930793</v>
      </c>
      <c r="GZ118" s="59">
        <f ca="1">AVERAGE(OFFSET($GY$3,0,0,'Données projet'!$E$18+1,1))-AVERAGE(OFFSET($H$3,0,0,'Données projet'!$E$18+1,1))</f>
        <v>458.80976193248841</v>
      </c>
      <c r="HA118" s="59">
        <f t="shared" si="106"/>
        <v>396.07405370178759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70.167863339583278</v>
      </c>
      <c r="HH118" s="21">
        <f>EXP(-LN(2)/25)*HH117+(1-EXP(-LN(2)/25))/(LN(2)/25)*Calculateur!HC118*Calculateur!HE118*VLOOKUP('Données projet'!$B$18,Paramètres!$A$1:$I$89,3,0)*0.475*44/12</f>
        <v>4.3359899920236966</v>
      </c>
      <c r="HI118" s="21">
        <f>EXP(-LN(2)/2)*HI117+(1-EXP(-LN(2)/2))/(LN(2)/2)*HC118*HF118*VLOOKUP('Données projet'!$B$18,Paramètres!$A$1:$I$89,3,0)*0.475*44/12</f>
        <v>6.0197506509718289E-14</v>
      </c>
      <c r="HJ118" s="22">
        <f t="shared" si="84"/>
        <v>74.503853331607033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267</v>
      </c>
      <c r="O119" s="13">
        <f>N119*VLOOKUP('Données projet'!$B$9,Paramètres!$A$1:$I$89,3,0)*VLOOKUP('Données projet'!$B$9,Paramètres!$A$1:$I$89,5,0)</f>
        <v>241.58159999999998</v>
      </c>
      <c r="P119" s="13">
        <f t="shared" si="87"/>
        <v>58.779689232021951</v>
      </c>
      <c r="Q119" s="20">
        <f t="shared" si="107"/>
        <v>523.12924541243819</v>
      </c>
      <c r="R119" s="59">
        <f t="shared" si="55"/>
        <v>816.46257874577145</v>
      </c>
      <c r="S119" s="59">
        <f ca="1">AVERAGE(OFFSET($R$3,0,0,'Données projet'!$E$9+1,1))-AVERAGE(OFFSET($H$3,0,0,'Données projet'!$E$9+1,1))</f>
        <v>364.3481978218424</v>
      </c>
      <c r="T119" s="59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74.104249070121483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74.104249070121483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636.99999999999977</v>
      </c>
      <c r="AJ119" s="13">
        <f>AI119*VLOOKUP('Données projet'!$B$10,Paramètres!$A$1:$I$89,3,0)*VLOOKUP('Données projet'!$B$10,Paramètres!$A$1:$I$89,5,0)</f>
        <v>356.08299999999991</v>
      </c>
      <c r="AK119" s="13">
        <f t="shared" si="89"/>
        <v>82.813805255716545</v>
      </c>
      <c r="AL119" s="20">
        <f t="shared" si="58"/>
        <v>764.41193582037283</v>
      </c>
      <c r="AM119" s="59">
        <f t="shared" si="59"/>
        <v>1057.7452691537062</v>
      </c>
      <c r="AN119" s="59">
        <f ca="1">AVERAGE(OFFSET($AM$3,0,0,'Données projet'!$E$10+1,1))-AVERAGE(OFFSET($H$3,0,0,'Données projet'!$E$10+1,1))</f>
        <v>443.34220761968419</v>
      </c>
      <c r="AO119" s="59">
        <f t="shared" si="90"/>
        <v>546.58234447298014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32.239081775479981</v>
      </c>
      <c r="AV119" s="21">
        <f>EXP(-LN(2)/25)*AV118+(1-EXP(-LN(2)/25))/(LN(2)/25)*Calculateur!AQ119*Calculateur!AS119*VLOOKUP('Données projet'!$B$10,Paramètres!$A$1:$I$89,3,0)*0.475*44/12</f>
        <v>2.0213432586769366</v>
      </c>
      <c r="AW119" s="21">
        <f>EXP(-LN(2)/2)*AW118+(1-EXP(-LN(2)/2))/(LN(2)/2)*AQ119*AT119*VLOOKUP('Données projet'!$B$10,Paramètres!$A$1:$I$89,3,0)*0.475*44/12</f>
        <v>6.8687277698066728E-13</v>
      </c>
      <c r="AX119" s="21">
        <f t="shared" si="60"/>
        <v>34.260425034157606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403.99999999999989</v>
      </c>
      <c r="BE119" s="13">
        <f>BD119*VLOOKUP('Données projet'!$B$11,Paramètres!$A$1:$I$89,3,0)*VLOOKUP('Données projet'!$B$11,Paramètres!$A$1:$I$89,5,0)</f>
        <v>346.63199999999995</v>
      </c>
      <c r="BF119" s="13">
        <f t="shared" si="91"/>
        <v>80.868615263336864</v>
      </c>
      <c r="BG119" s="20">
        <f t="shared" si="61"/>
        <v>744.56357158364483</v>
      </c>
      <c r="BH119" s="59">
        <f t="shared" si="62"/>
        <v>1037.8969049169782</v>
      </c>
      <c r="BI119" s="59">
        <f ca="1">AVERAGE(OFFSET($BH$3,0,0,'Données projet'!$E$11+1,1))-AVERAGE(OFFSET($H$3,0,0,'Données projet'!$E$11+1,1))</f>
        <v>447.15627913956871</v>
      </c>
      <c r="BJ119" s="59">
        <f t="shared" si="92"/>
        <v>256.77417912163997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108.1959628476199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108.1959628476199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245.99999999999994</v>
      </c>
      <c r="BZ119" s="13">
        <f>BY119*VLOOKUP('Données projet'!$B$12,Paramètres!$A$1:$I$89,3,0)*VLOOKUP('Données projet'!$B$12,Paramètres!$A$1:$I$89,5,0)</f>
        <v>234.09359999999998</v>
      </c>
      <c r="CA119" s="13">
        <f t="shared" si="93"/>
        <v>57.166902703920208</v>
      </c>
      <c r="CB119" s="20">
        <f t="shared" si="64"/>
        <v>507.27870887599425</v>
      </c>
      <c r="CC119" s="59">
        <f t="shared" si="65"/>
        <v>800.61204220932757</v>
      </c>
      <c r="CD119" s="59">
        <f ca="1">AVERAGE(OFFSET($CC$3,0,0,'Données projet'!$E$12+1,1))-AVERAGE(OFFSET($H$3,0,0,'Données projet'!$E$12+1,1))</f>
        <v>448.94764480536713</v>
      </c>
      <c r="CE119" s="59">
        <f t="shared" si="94"/>
        <v>469.26760321719695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76.449301156876103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76.449301156876103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187.80389738728508</v>
      </c>
      <c r="CZ119" s="59">
        <f t="shared" si="96"/>
        <v>439.28159165815265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22.491992778838455</v>
      </c>
      <c r="DG119" s="21">
        <f>EXP(-LN(2)/25)*DG118+(1-EXP(-LN(2)/25))/(LN(2)/25)*Calculateur!DB119*Calculateur!DD119*VLOOKUP('Données projet'!$B$13,Paramètres!$A$1:$I$89,3,0)*0.475*44/12</f>
        <v>1.3247515604862388</v>
      </c>
      <c r="DH119" s="21">
        <f>EXP(-LN(2)/2)*DH118+(1-EXP(-LN(2)/2))/(LN(2)/2)*DB119*DE119*VLOOKUP('Données projet'!$B$13,Paramètres!$A$1:$I$89,3,0)*0.475*44/12</f>
        <v>5.1115882800507839E-15</v>
      </c>
      <c r="DI119" s="22">
        <f t="shared" si="69"/>
        <v>23.816744339324696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255.00000000000006</v>
      </c>
      <c r="DP119" s="17">
        <f>DO119*VLOOKUP('Données projet'!$B$14,Paramètres!$A$1:$I$89,3,0)*VLOOKUP('Données projet'!$B$14,Paramètres!$A$1:$I$89,5,0)</f>
        <v>186.96600000000004</v>
      </c>
      <c r="DQ119" s="13">
        <f t="shared" si="97"/>
        <v>46.868551400324648</v>
      </c>
      <c r="DR119" s="20">
        <f t="shared" si="70"/>
        <v>407.26184368889881</v>
      </c>
      <c r="DS119" s="59">
        <f t="shared" si="71"/>
        <v>700.59517702223206</v>
      </c>
      <c r="DT119" s="59">
        <f ca="1">AVERAGE(OFFSET($DS$3,0,0,'Données projet'!$E$14+1,1))-AVERAGE(OFFSET($H$3,0,0,'Données projet'!$E$14+1,1))</f>
        <v>239.25212250019609</v>
      </c>
      <c r="DU119" s="59">
        <f t="shared" si="98"/>
        <v>213.58492101729695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689</v>
      </c>
      <c r="EK119" s="17">
        <f>EJ119*VLOOKUP('Données projet'!$B$15,Paramètres!$A$1:$I$89,3,0)*VLOOKUP('Données projet'!$B$15,Paramètres!$A$1:$I$89,5,0)</f>
        <v>412.02199999999999</v>
      </c>
      <c r="EL119" s="13">
        <f t="shared" si="99"/>
        <v>94.209724877926391</v>
      </c>
      <c r="EM119" s="20">
        <f t="shared" si="73"/>
        <v>881.686920829055</v>
      </c>
      <c r="EN119" s="59">
        <f t="shared" si="74"/>
        <v>1175.0202541623883</v>
      </c>
      <c r="EO119" s="59">
        <f ca="1">AVERAGE(OFFSET($EN$3,0,0,'Données projet'!$E$15+1,1))-AVERAGE(OFFSET($H$3,0,0,'Données projet'!$E$15+1,1))</f>
        <v>504.81063008331739</v>
      </c>
      <c r="EP119" s="59">
        <f t="shared" si="100"/>
        <v>441.82647565372287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47.976101820657455</v>
      </c>
      <c r="EW119" s="21">
        <f>EXP(-LN(2)/25)*EW118+(1-EXP(-LN(2)/25))/(LN(2)/25)*Calculateur!ER119*Calculateur!ET119*VLOOKUP('Données projet'!$B$15,Paramètres!$A$1:$I$89,3,0)*0.475*44/12</f>
        <v>5.425240319154911</v>
      </c>
      <c r="EX119" s="21">
        <f>EXP(-LN(2)/2)*EX118+(1-EXP(-LN(2)/2))/(LN(2)/2)*ER119*EU119*VLOOKUP('Données projet'!$B$15,Paramètres!$A$1:$I$89,3,0)*0.475*44/12</f>
        <v>5.9531932113419189E-15</v>
      </c>
      <c r="EY119" s="22">
        <f t="shared" si="75"/>
        <v>53.401342139812371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541.99999999999989</v>
      </c>
      <c r="FF119" s="17">
        <f>FE119*VLOOKUP('Données projet'!$B$16,Paramètres!$A$1:$I$89,3,0)*VLOOKUP('Données projet'!$B$16,Paramètres!$A$1:$I$89,5,0)</f>
        <v>310.02399999999994</v>
      </c>
      <c r="FG119" s="13">
        <f t="shared" si="101"/>
        <v>73.27384230442388</v>
      </c>
      <c r="FH119" s="20">
        <f t="shared" si="76"/>
        <v>667.57707534687154</v>
      </c>
      <c r="FI119" s="59">
        <f t="shared" si="77"/>
        <v>960.91040868020491</v>
      </c>
      <c r="FJ119" s="59">
        <f ca="1">AVERAGE(OFFSET($FI$3,0,0,'Données projet'!$E$16+1,1))-AVERAGE(OFFSET($H$3,0,0,'Données projet'!$E$16+1,1))</f>
        <v>393.41577134252316</v>
      </c>
      <c r="FK119" s="59">
        <f t="shared" si="102"/>
        <v>255.54039659391475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56.177841306152729</v>
      </c>
      <c r="FR119" s="21">
        <f>EXP(-LN(2)/25)*FR118+(1-EXP(-LN(2)/25))/(LN(2)/25)*Calculateur!FM119*Calculateur!FO119*VLOOKUP('Données projet'!$B$16,Paramètres!$A$1:$I$89,3,0)*0.475*44/12</f>
        <v>2.4620626416679778</v>
      </c>
      <c r="FS119" s="21">
        <f>EXP(-LN(2)/2)*FS118+(1-EXP(-LN(2)/2))/(LN(2)/2)*FM119*FP119*VLOOKUP('Données projet'!$B$16,Paramètres!$A$1:$I$89,3,0)*0.475*44/12</f>
        <v>4.1415630872636538E-14</v>
      </c>
      <c r="FT119" s="22">
        <f t="shared" si="78"/>
        <v>58.639903947820748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853.00000000000011</v>
      </c>
      <c r="GA119" s="17">
        <f>FZ119*VLOOKUP('Données projet'!$B$17,Paramètres!$A$1:$I$89,3,0)*VLOOKUP('Données projet'!$B$17,Paramètres!$A$1:$I$89,5,0)</f>
        <v>399.20400000000006</v>
      </c>
      <c r="GB119" s="13">
        <f t="shared" si="103"/>
        <v>91.615269732888521</v>
      </c>
      <c r="GC119" s="20">
        <f t="shared" si="79"/>
        <v>854.8435614514475</v>
      </c>
      <c r="GD119" s="59">
        <f t="shared" si="80"/>
        <v>1148.1768947847809</v>
      </c>
      <c r="GE119" s="59">
        <f ca="1">AVERAGE(OFFSET($GD$3,0,0,'Données projet'!$E$17+1,1))-AVERAGE(OFFSET($H$3,0,0,'Données projet'!$E$17+1,1))</f>
        <v>488.67934252295686</v>
      </c>
      <c r="GF119" s="59">
        <f t="shared" si="104"/>
        <v>424.50324471331095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67.937407526591358</v>
      </c>
      <c r="GM119" s="21">
        <f>EXP(-LN(2)/25)*GM118+(1-EXP(-LN(2)/25))/(LN(2)/25)*Calculateur!GH119*Calculateur!GJ119*VLOOKUP('Données projet'!$B$17,Paramètres!$A$1:$I$89,3,0)*0.475*44/12</f>
        <v>4.5137815097246268</v>
      </c>
      <c r="GN119" s="21">
        <f>EXP(-LN(2)/2)*GN118+(1-EXP(-LN(2)/2))/(LN(2)/2)*GH119*GK119*VLOOKUP('Données projet'!$B$17,Paramètres!$A$1:$I$89,3,0)*0.475*44/12</f>
        <v>9.2243905125417717E-14</v>
      </c>
      <c r="GO119" s="21">
        <f t="shared" si="81"/>
        <v>72.451189036316066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789</v>
      </c>
      <c r="GV119" s="17">
        <f>GU119*VLOOKUP('Données projet'!$B$18,Paramètres!$A$1:$I$89,3,0)*VLOOKUP('Données projet'!$B$18,Paramètres!$A$1:$I$89,5,0)</f>
        <v>379.50900000000001</v>
      </c>
      <c r="GW119" s="13">
        <f t="shared" si="105"/>
        <v>87.609801106074272</v>
      </c>
      <c r="GX119" s="20">
        <f t="shared" si="82"/>
        <v>813.56524525974601</v>
      </c>
      <c r="GY119" s="59">
        <f t="shared" si="83"/>
        <v>1106.8985785930793</v>
      </c>
      <c r="GZ119" s="59">
        <f ca="1">AVERAGE(OFFSET($GY$3,0,0,'Données projet'!$E$18+1,1))-AVERAGE(OFFSET($H$3,0,0,'Données projet'!$E$18+1,1))</f>
        <v>458.80976193248841</v>
      </c>
      <c r="HA119" s="59">
        <f t="shared" si="106"/>
        <v>396.07405370178759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68.791914337664721</v>
      </c>
      <c r="HH119" s="21">
        <f>EXP(-LN(2)/25)*HH118+(1-EXP(-LN(2)/25))/(LN(2)/25)*Calculateur!HC119*Calculateur!HE119*VLOOKUP('Données projet'!$B$18,Paramètres!$A$1:$I$89,3,0)*0.475*44/12</f>
        <v>4.2174221176720046</v>
      </c>
      <c r="HI119" s="21">
        <f>EXP(-LN(2)/2)*HI118+(1-EXP(-LN(2)/2))/(LN(2)/2)*HC119*HF119*VLOOKUP('Données projet'!$B$18,Paramètres!$A$1:$I$89,3,0)*0.475*44/12</f>
        <v>4.2566065063543141E-14</v>
      </c>
      <c r="HJ119" s="22">
        <f t="shared" si="84"/>
        <v>73.009336455336765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267</v>
      </c>
      <c r="O120" s="13">
        <f>N120*VLOOKUP('Données projet'!$B$9,Paramètres!$A$1:$I$89,3,0)*VLOOKUP('Données projet'!$B$9,Paramètres!$A$1:$I$89,5,0)</f>
        <v>241.58159999999998</v>
      </c>
      <c r="P120" s="13">
        <f t="shared" si="87"/>
        <v>58.779689232021951</v>
      </c>
      <c r="Q120" s="20">
        <f t="shared" si="107"/>
        <v>523.12924541243819</v>
      </c>
      <c r="R120" s="59">
        <f t="shared" si="55"/>
        <v>816.46257874577145</v>
      </c>
      <c r="S120" s="59">
        <f ca="1">AVERAGE(OFFSET($R$3,0,0,'Données projet'!$E$9+1,1))-AVERAGE(OFFSET($H$3,0,0,'Données projet'!$E$9+1,1))</f>
        <v>364.3481978218424</v>
      </c>
      <c r="T120" s="59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72.651109944985294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72.651109944985294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636.99999999999977</v>
      </c>
      <c r="AJ120" s="13">
        <f>AI120*VLOOKUP('Données projet'!$B$10,Paramètres!$A$1:$I$89,3,0)*VLOOKUP('Données projet'!$B$10,Paramètres!$A$1:$I$89,5,0)</f>
        <v>356.08299999999991</v>
      </c>
      <c r="AK120" s="13">
        <f t="shared" si="89"/>
        <v>82.813805255716545</v>
      </c>
      <c r="AL120" s="20">
        <f t="shared" si="58"/>
        <v>764.41193582037283</v>
      </c>
      <c r="AM120" s="59">
        <f t="shared" si="59"/>
        <v>1057.7452691537062</v>
      </c>
      <c r="AN120" s="59">
        <f ca="1">AVERAGE(OFFSET($AM$3,0,0,'Données projet'!$E$10+1,1))-AVERAGE(OFFSET($H$3,0,0,'Données projet'!$E$10+1,1))</f>
        <v>443.34220761968419</v>
      </c>
      <c r="AO120" s="59">
        <f t="shared" si="90"/>
        <v>546.58234447298014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31.606893045761055</v>
      </c>
      <c r="AV120" s="21">
        <f>EXP(-LN(2)/25)*AV119+(1-EXP(-LN(2)/25))/(LN(2)/25)*Calculateur!AQ120*Calculateur!AS120*VLOOKUP('Données projet'!$B$10,Paramètres!$A$1:$I$89,3,0)*0.475*44/12</f>
        <v>1.9660695209705936</v>
      </c>
      <c r="AW120" s="21">
        <f>EXP(-LN(2)/2)*AW119+(1-EXP(-LN(2)/2))/(LN(2)/2)*AQ120*AT120*VLOOKUP('Données projet'!$B$10,Paramètres!$A$1:$I$89,3,0)*0.475*44/12</f>
        <v>4.8569239841546495E-13</v>
      </c>
      <c r="AX120" s="21">
        <f t="shared" si="60"/>
        <v>33.57296256673213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403.99999999999989</v>
      </c>
      <c r="BE120" s="13">
        <f>BD120*VLOOKUP('Données projet'!$B$11,Paramètres!$A$1:$I$89,3,0)*VLOOKUP('Données projet'!$B$11,Paramètres!$A$1:$I$89,5,0)</f>
        <v>346.63199999999995</v>
      </c>
      <c r="BF120" s="13">
        <f t="shared" si="91"/>
        <v>80.868615263336864</v>
      </c>
      <c r="BG120" s="20">
        <f t="shared" si="61"/>
        <v>744.56357158364483</v>
      </c>
      <c r="BH120" s="59">
        <f t="shared" si="62"/>
        <v>1037.8969049169782</v>
      </c>
      <c r="BI120" s="59">
        <f ca="1">AVERAGE(OFFSET($BH$3,0,0,'Données projet'!$E$11+1,1))-AVERAGE(OFFSET($H$3,0,0,'Données projet'!$E$11+1,1))</f>
        <v>447.15627913956871</v>
      </c>
      <c r="BJ120" s="59">
        <f t="shared" si="92"/>
        <v>256.77417912163997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106.07430600919913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106.07430600919913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245.99999999999994</v>
      </c>
      <c r="BZ120" s="13">
        <f>BY120*VLOOKUP('Données projet'!$B$12,Paramètres!$A$1:$I$89,3,0)*VLOOKUP('Données projet'!$B$12,Paramètres!$A$1:$I$89,5,0)</f>
        <v>234.09359999999998</v>
      </c>
      <c r="CA120" s="13">
        <f t="shared" si="93"/>
        <v>57.166902703920208</v>
      </c>
      <c r="CB120" s="20">
        <f t="shared" si="64"/>
        <v>507.27870887599425</v>
      </c>
      <c r="CC120" s="59">
        <f t="shared" si="65"/>
        <v>800.61204220932757</v>
      </c>
      <c r="CD120" s="59">
        <f ca="1">AVERAGE(OFFSET($CC$3,0,0,'Données projet'!$E$12+1,1))-AVERAGE(OFFSET($H$3,0,0,'Données projet'!$E$12+1,1))</f>
        <v>448.94764480536713</v>
      </c>
      <c r="CE120" s="59">
        <f t="shared" si="94"/>
        <v>469.26760321719695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74.950176990659187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74.950176990659187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187.80389738728508</v>
      </c>
      <c r="CZ120" s="59">
        <f t="shared" si="96"/>
        <v>439.28159165815265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22.050938519206412</v>
      </c>
      <c r="DG120" s="21">
        <f>EXP(-LN(2)/25)*DG119+(1-EXP(-LN(2)/25))/(LN(2)/25)*Calculateur!DB120*Calculateur!DD120*VLOOKUP('Données projet'!$B$13,Paramètres!$A$1:$I$89,3,0)*0.475*44/12</f>
        <v>1.2885261593990858</v>
      </c>
      <c r="DH120" s="21">
        <f>EXP(-LN(2)/2)*DH119+(1-EXP(-LN(2)/2))/(LN(2)/2)*DB120*DE120*VLOOKUP('Données projet'!$B$13,Paramètres!$A$1:$I$89,3,0)*0.475*44/12</f>
        <v>3.6144387354575905E-15</v>
      </c>
      <c r="DI120" s="22">
        <f t="shared" si="69"/>
        <v>23.339464678605502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255.00000000000006</v>
      </c>
      <c r="DP120" s="17">
        <f>DO120*VLOOKUP('Données projet'!$B$14,Paramètres!$A$1:$I$89,3,0)*VLOOKUP('Données projet'!$B$14,Paramètres!$A$1:$I$89,5,0)</f>
        <v>186.96600000000004</v>
      </c>
      <c r="DQ120" s="13">
        <f t="shared" si="97"/>
        <v>46.868551400324648</v>
      </c>
      <c r="DR120" s="20">
        <f t="shared" si="70"/>
        <v>407.26184368889881</v>
      </c>
      <c r="DS120" s="59">
        <f t="shared" si="71"/>
        <v>700.59517702223206</v>
      </c>
      <c r="DT120" s="59">
        <f ca="1">AVERAGE(OFFSET($DS$3,0,0,'Données projet'!$E$14+1,1))-AVERAGE(OFFSET($H$3,0,0,'Données projet'!$E$14+1,1))</f>
        <v>239.25212250019609</v>
      </c>
      <c r="DU120" s="59">
        <f t="shared" si="98"/>
        <v>213.58492101729695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689</v>
      </c>
      <c r="EK120" s="17">
        <f>EJ120*VLOOKUP('Données projet'!$B$15,Paramètres!$A$1:$I$89,3,0)*VLOOKUP('Données projet'!$B$15,Paramètres!$A$1:$I$89,5,0)</f>
        <v>412.02199999999999</v>
      </c>
      <c r="EL120" s="13">
        <f t="shared" si="99"/>
        <v>94.209724877926391</v>
      </c>
      <c r="EM120" s="20">
        <f t="shared" si="73"/>
        <v>881.686920829055</v>
      </c>
      <c r="EN120" s="59">
        <f t="shared" si="74"/>
        <v>1175.0202541623883</v>
      </c>
      <c r="EO120" s="59">
        <f ca="1">AVERAGE(OFFSET($EN$3,0,0,'Données projet'!$E$15+1,1))-AVERAGE(OFFSET($H$3,0,0,'Données projet'!$E$15+1,1))</f>
        <v>504.81063008331739</v>
      </c>
      <c r="EP120" s="59">
        <f t="shared" si="100"/>
        <v>441.82647565372287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47.035319726487039</v>
      </c>
      <c r="EW120" s="21">
        <f>EXP(-LN(2)/25)*EW119+(1-EXP(-LN(2)/25))/(LN(2)/25)*Calculateur!ER120*Calculateur!ET120*VLOOKUP('Données projet'!$B$15,Paramètres!$A$1:$I$89,3,0)*0.475*44/12</f>
        <v>5.2768868373266313</v>
      </c>
      <c r="EX120" s="21">
        <f>EXP(-LN(2)/2)*EX119+(1-EXP(-LN(2)/2))/(LN(2)/2)*ER120*EU120*VLOOKUP('Données projet'!$B$15,Paramètres!$A$1:$I$89,3,0)*0.475*44/12</f>
        <v>4.2095432894535903E-15</v>
      </c>
      <c r="EY120" s="22">
        <f t="shared" si="75"/>
        <v>52.312206563813675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541.99999999999989</v>
      </c>
      <c r="FF120" s="17">
        <f>FE120*VLOOKUP('Données projet'!$B$16,Paramètres!$A$1:$I$89,3,0)*VLOOKUP('Données projet'!$B$16,Paramètres!$A$1:$I$89,5,0)</f>
        <v>310.02399999999994</v>
      </c>
      <c r="FG120" s="13">
        <f t="shared" si="101"/>
        <v>73.27384230442388</v>
      </c>
      <c r="FH120" s="20">
        <f t="shared" si="76"/>
        <v>667.57707534687154</v>
      </c>
      <c r="FI120" s="59">
        <f t="shared" si="77"/>
        <v>960.91040868020491</v>
      </c>
      <c r="FJ120" s="59">
        <f ca="1">AVERAGE(OFFSET($FI$3,0,0,'Données projet'!$E$16+1,1))-AVERAGE(OFFSET($H$3,0,0,'Données projet'!$E$16+1,1))</f>
        <v>393.41577134252316</v>
      </c>
      <c r="FK120" s="59">
        <f t="shared" si="102"/>
        <v>255.54039659391475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55.076228103238876</v>
      </c>
      <c r="FR120" s="21">
        <f>EXP(-LN(2)/25)*FR119+(1-EXP(-LN(2)/25))/(LN(2)/25)*Calculateur!FM120*Calculateur!FO120*VLOOKUP('Données projet'!$B$16,Paramètres!$A$1:$I$89,3,0)*0.475*44/12</f>
        <v>2.3947374092573197</v>
      </c>
      <c r="FS120" s="21">
        <f>EXP(-LN(2)/2)*FS119+(1-EXP(-LN(2)/2))/(LN(2)/2)*FM120*FP120*VLOOKUP('Données projet'!$B$16,Paramètres!$A$1:$I$89,3,0)*0.475*44/12</f>
        <v>2.9285273437160227E-14</v>
      </c>
      <c r="FT120" s="22">
        <f t="shared" si="78"/>
        <v>57.470965512496221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853.00000000000011</v>
      </c>
      <c r="GA120" s="17">
        <f>FZ120*VLOOKUP('Données projet'!$B$17,Paramètres!$A$1:$I$89,3,0)*VLOOKUP('Données projet'!$B$17,Paramètres!$A$1:$I$89,5,0)</f>
        <v>399.20400000000006</v>
      </c>
      <c r="GB120" s="13">
        <f t="shared" si="103"/>
        <v>91.615269732888521</v>
      </c>
      <c r="GC120" s="20">
        <f t="shared" si="79"/>
        <v>854.8435614514475</v>
      </c>
      <c r="GD120" s="59">
        <f t="shared" si="80"/>
        <v>1148.1768947847809</v>
      </c>
      <c r="GE120" s="59">
        <f ca="1">AVERAGE(OFFSET($GD$3,0,0,'Données projet'!$E$17+1,1))-AVERAGE(OFFSET($H$3,0,0,'Données projet'!$E$17+1,1))</f>
        <v>488.67934252295686</v>
      </c>
      <c r="GF120" s="59">
        <f t="shared" si="104"/>
        <v>424.50324471331095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66.605196402721859</v>
      </c>
      <c r="GM120" s="21">
        <f>EXP(-LN(2)/25)*GM119+(1-EXP(-LN(2)/25))/(LN(2)/25)*Calculateur!GH120*Calculateur!GJ120*VLOOKUP('Données projet'!$B$17,Paramètres!$A$1:$I$89,3,0)*0.475*44/12</f>
        <v>4.3903519169717535</v>
      </c>
      <c r="GN120" s="21">
        <f>EXP(-LN(2)/2)*GN119+(1-EXP(-LN(2)/2))/(LN(2)/2)*GH120*GK120*VLOOKUP('Données projet'!$B$17,Paramètres!$A$1:$I$89,3,0)*0.475*44/12</f>
        <v>6.5226290837311394E-14</v>
      </c>
      <c r="GO120" s="21">
        <f t="shared" si="81"/>
        <v>70.995548319693683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789</v>
      </c>
      <c r="GV120" s="17">
        <f>GU120*VLOOKUP('Données projet'!$B$18,Paramètres!$A$1:$I$89,3,0)*VLOOKUP('Données projet'!$B$18,Paramètres!$A$1:$I$89,5,0)</f>
        <v>379.50900000000001</v>
      </c>
      <c r="GW120" s="13">
        <f t="shared" si="105"/>
        <v>87.609801106074272</v>
      </c>
      <c r="GX120" s="20">
        <f t="shared" si="82"/>
        <v>813.56524525974601</v>
      </c>
      <c r="GY120" s="59">
        <f t="shared" si="83"/>
        <v>1106.8985785930793</v>
      </c>
      <c r="GZ120" s="59">
        <f ca="1">AVERAGE(OFFSET($GY$3,0,0,'Données projet'!$E$18+1,1))-AVERAGE(OFFSET($H$3,0,0,'Données projet'!$E$18+1,1))</f>
        <v>458.80976193248841</v>
      </c>
      <c r="HA120" s="59">
        <f t="shared" si="106"/>
        <v>396.07405370178759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67.442946856427767</v>
      </c>
      <c r="HH120" s="21">
        <f>EXP(-LN(2)/25)*HH119+(1-EXP(-LN(2)/25))/(LN(2)/25)*Calculateur!HC120*Calculateur!HE120*VLOOKUP('Données projet'!$B$18,Paramètres!$A$1:$I$89,3,0)*0.475*44/12</f>
        <v>4.1020964880796731</v>
      </c>
      <c r="HI120" s="21">
        <f>EXP(-LN(2)/2)*HI119+(1-EXP(-LN(2)/2))/(LN(2)/2)*HC120*HF120*VLOOKUP('Données projet'!$B$18,Paramètres!$A$1:$I$89,3,0)*0.475*44/12</f>
        <v>3.0098753254859145E-14</v>
      </c>
      <c r="HJ120" s="22">
        <f t="shared" si="84"/>
        <v>71.545043344507462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267</v>
      </c>
      <c r="O121" s="13">
        <f>N121*VLOOKUP('Données projet'!$B$9,Paramètres!$A$1:$I$89,3,0)*VLOOKUP('Données projet'!$B$9,Paramètres!$A$1:$I$89,5,0)</f>
        <v>241.58159999999998</v>
      </c>
      <c r="P121" s="13">
        <f t="shared" si="87"/>
        <v>58.779689232021951</v>
      </c>
      <c r="Q121" s="20">
        <f t="shared" si="107"/>
        <v>523.12924541243819</v>
      </c>
      <c r="R121" s="59">
        <f t="shared" si="55"/>
        <v>816.46257874577145</v>
      </c>
      <c r="S121" s="59">
        <f ca="1">AVERAGE(OFFSET($R$3,0,0,'Données projet'!$E$9+1,1))-AVERAGE(OFFSET($H$3,0,0,'Données projet'!$E$9+1,1))</f>
        <v>364.3481978218424</v>
      </c>
      <c r="T121" s="59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71.226465991765679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71.226465991765679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636.99999999999977</v>
      </c>
      <c r="AJ121" s="13">
        <f>AI121*VLOOKUP('Données projet'!$B$10,Paramètres!$A$1:$I$89,3,0)*VLOOKUP('Données projet'!$B$10,Paramètres!$A$1:$I$89,5,0)</f>
        <v>356.08299999999991</v>
      </c>
      <c r="AK121" s="13">
        <f t="shared" si="89"/>
        <v>82.813805255716545</v>
      </c>
      <c r="AL121" s="20">
        <f t="shared" si="58"/>
        <v>764.41193582037283</v>
      </c>
      <c r="AM121" s="59">
        <f t="shared" si="59"/>
        <v>1057.7452691537062</v>
      </c>
      <c r="AN121" s="59">
        <f ca="1">AVERAGE(OFFSET($AM$3,0,0,'Données projet'!$E$10+1,1))-AVERAGE(OFFSET($H$3,0,0,'Données projet'!$E$10+1,1))</f>
        <v>443.34220761968419</v>
      </c>
      <c r="AO121" s="59">
        <f t="shared" si="90"/>
        <v>546.58234447298014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30.987101151434864</v>
      </c>
      <c r="AV121" s="21">
        <f>EXP(-LN(2)/25)*AV120+(1-EXP(-LN(2)/25))/(LN(2)/25)*Calculateur!AQ121*Calculateur!AS121*VLOOKUP('Données projet'!$B$10,Paramètres!$A$1:$I$89,3,0)*0.475*44/12</f>
        <v>1.9123072465285502</v>
      </c>
      <c r="AW121" s="21">
        <f>EXP(-LN(2)/2)*AW120+(1-EXP(-LN(2)/2))/(LN(2)/2)*AQ121*AT121*VLOOKUP('Données projet'!$B$10,Paramètres!$A$1:$I$89,3,0)*0.475*44/12</f>
        <v>3.4343638849033364E-13</v>
      </c>
      <c r="AX121" s="21">
        <f t="shared" si="60"/>
        <v>32.899408397963754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403.99999999999989</v>
      </c>
      <c r="BE121" s="13">
        <f>BD121*VLOOKUP('Données projet'!$B$11,Paramètres!$A$1:$I$89,3,0)*VLOOKUP('Données projet'!$B$11,Paramètres!$A$1:$I$89,5,0)</f>
        <v>346.63199999999995</v>
      </c>
      <c r="BF121" s="13">
        <f t="shared" si="91"/>
        <v>80.868615263336864</v>
      </c>
      <c r="BG121" s="20">
        <f t="shared" si="61"/>
        <v>744.56357158364483</v>
      </c>
      <c r="BH121" s="59">
        <f t="shared" si="62"/>
        <v>1037.8969049169782</v>
      </c>
      <c r="BI121" s="59">
        <f ca="1">AVERAGE(OFFSET($BH$3,0,0,'Données projet'!$E$11+1,1))-AVERAGE(OFFSET($H$3,0,0,'Données projet'!$E$11+1,1))</f>
        <v>447.15627913956871</v>
      </c>
      <c r="BJ121" s="59">
        <f t="shared" si="92"/>
        <v>256.77417912163997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103.99425356729691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103.99425356729691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245.99999999999994</v>
      </c>
      <c r="BZ121" s="13">
        <f>BY121*VLOOKUP('Données projet'!$B$12,Paramètres!$A$1:$I$89,3,0)*VLOOKUP('Données projet'!$B$12,Paramètres!$A$1:$I$89,5,0)</f>
        <v>234.09359999999998</v>
      </c>
      <c r="CA121" s="13">
        <f t="shared" si="93"/>
        <v>57.166902703920208</v>
      </c>
      <c r="CB121" s="20">
        <f t="shared" si="64"/>
        <v>507.27870887599425</v>
      </c>
      <c r="CC121" s="59">
        <f t="shared" si="65"/>
        <v>800.61204220932757</v>
      </c>
      <c r="CD121" s="59">
        <f ca="1">AVERAGE(OFFSET($CC$3,0,0,'Données projet'!$E$12+1,1))-AVERAGE(OFFSET($H$3,0,0,'Données projet'!$E$12+1,1))</f>
        <v>448.94764480536713</v>
      </c>
      <c r="CE121" s="59">
        <f t="shared" si="94"/>
        <v>469.26760321719695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73.480449734966328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73.480449734966328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187.80389738728508</v>
      </c>
      <c r="CZ121" s="59">
        <f t="shared" si="96"/>
        <v>439.28159165815265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21.618533064589219</v>
      </c>
      <c r="DG121" s="21">
        <f>EXP(-LN(2)/25)*DG120+(1-EXP(-LN(2)/25))/(LN(2)/25)*Calculateur!DB121*Calculateur!DD121*VLOOKUP('Données projet'!$B$13,Paramètres!$A$1:$I$89,3,0)*0.475*44/12</f>
        <v>1.253291343809672</v>
      </c>
      <c r="DH121" s="21">
        <f>EXP(-LN(2)/2)*DH120+(1-EXP(-LN(2)/2))/(LN(2)/2)*DB121*DE121*VLOOKUP('Données projet'!$B$13,Paramètres!$A$1:$I$89,3,0)*0.475*44/12</f>
        <v>2.555794140025392E-15</v>
      </c>
      <c r="DI121" s="22">
        <f t="shared" si="69"/>
        <v>22.871824408398894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255.00000000000006</v>
      </c>
      <c r="DP121" s="17">
        <f>DO121*VLOOKUP('Données projet'!$B$14,Paramètres!$A$1:$I$89,3,0)*VLOOKUP('Données projet'!$B$14,Paramètres!$A$1:$I$89,5,0)</f>
        <v>186.96600000000004</v>
      </c>
      <c r="DQ121" s="13">
        <f t="shared" si="97"/>
        <v>46.868551400324648</v>
      </c>
      <c r="DR121" s="20">
        <f t="shared" si="70"/>
        <v>407.26184368889881</v>
      </c>
      <c r="DS121" s="59">
        <f t="shared" si="71"/>
        <v>700.59517702223206</v>
      </c>
      <c r="DT121" s="59">
        <f ca="1">AVERAGE(OFFSET($DS$3,0,0,'Données projet'!$E$14+1,1))-AVERAGE(OFFSET($H$3,0,0,'Données projet'!$E$14+1,1))</f>
        <v>239.25212250019609</v>
      </c>
      <c r="DU121" s="59">
        <f t="shared" si="98"/>
        <v>213.58492101729695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689</v>
      </c>
      <c r="EK121" s="17">
        <f>EJ121*VLOOKUP('Données projet'!$B$15,Paramètres!$A$1:$I$89,3,0)*VLOOKUP('Données projet'!$B$15,Paramètres!$A$1:$I$89,5,0)</f>
        <v>412.02199999999999</v>
      </c>
      <c r="EL121" s="13">
        <f t="shared" si="99"/>
        <v>94.209724877926391</v>
      </c>
      <c r="EM121" s="20">
        <f t="shared" si="73"/>
        <v>881.686920829055</v>
      </c>
      <c r="EN121" s="59">
        <f t="shared" si="74"/>
        <v>1175.0202541623883</v>
      </c>
      <c r="EO121" s="59">
        <f ca="1">AVERAGE(OFFSET($EN$3,0,0,'Données projet'!$E$15+1,1))-AVERAGE(OFFSET($H$3,0,0,'Données projet'!$E$15+1,1))</f>
        <v>504.81063008331739</v>
      </c>
      <c r="EP121" s="59">
        <f t="shared" si="100"/>
        <v>441.82647565372287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46.112985795362889</v>
      </c>
      <c r="EW121" s="21">
        <f>EXP(-LN(2)/25)*EW120+(1-EXP(-LN(2)/25))/(LN(2)/25)*Calculateur!ER121*Calculateur!ET121*VLOOKUP('Données projet'!$B$15,Paramètres!$A$1:$I$89,3,0)*0.475*44/12</f>
        <v>5.1325900892605167</v>
      </c>
      <c r="EX121" s="21">
        <f>EXP(-LN(2)/2)*EX120+(1-EXP(-LN(2)/2))/(LN(2)/2)*ER121*EU121*VLOOKUP('Données projet'!$B$15,Paramètres!$A$1:$I$89,3,0)*0.475*44/12</f>
        <v>2.9765966056709594E-15</v>
      </c>
      <c r="EY121" s="22">
        <f t="shared" si="75"/>
        <v>51.245575884623406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541.99999999999989</v>
      </c>
      <c r="FF121" s="17">
        <f>FE121*VLOOKUP('Données projet'!$B$16,Paramètres!$A$1:$I$89,3,0)*VLOOKUP('Données projet'!$B$16,Paramètres!$A$1:$I$89,5,0)</f>
        <v>310.02399999999994</v>
      </c>
      <c r="FG121" s="13">
        <f t="shared" si="101"/>
        <v>73.27384230442388</v>
      </c>
      <c r="FH121" s="20">
        <f t="shared" si="76"/>
        <v>667.57707534687154</v>
      </c>
      <c r="FI121" s="59">
        <f t="shared" si="77"/>
        <v>960.91040868020491</v>
      </c>
      <c r="FJ121" s="59">
        <f ca="1">AVERAGE(OFFSET($FI$3,0,0,'Données projet'!$E$16+1,1))-AVERAGE(OFFSET($H$3,0,0,'Données projet'!$E$16+1,1))</f>
        <v>393.41577134252316</v>
      </c>
      <c r="FK121" s="59">
        <f t="shared" si="102"/>
        <v>255.54039659391475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53.996216863316455</v>
      </c>
      <c r="FR121" s="21">
        <f>EXP(-LN(2)/25)*FR120+(1-EXP(-LN(2)/25))/(LN(2)/25)*Calculateur!FM121*Calculateur!FO121*VLOOKUP('Données projet'!$B$16,Paramètres!$A$1:$I$89,3,0)*0.475*44/12</f>
        <v>2.3292531888674111</v>
      </c>
      <c r="FS121" s="21">
        <f>EXP(-LN(2)/2)*FS120+(1-EXP(-LN(2)/2))/(LN(2)/2)*FM121*FP121*VLOOKUP('Données projet'!$B$16,Paramètres!$A$1:$I$89,3,0)*0.475*44/12</f>
        <v>2.0707815436318269E-14</v>
      </c>
      <c r="FT121" s="22">
        <f t="shared" si="78"/>
        <v>56.325470052183888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853.00000000000011</v>
      </c>
      <c r="GA121" s="17">
        <f>FZ121*VLOOKUP('Données projet'!$B$17,Paramètres!$A$1:$I$89,3,0)*VLOOKUP('Données projet'!$B$17,Paramètres!$A$1:$I$89,5,0)</f>
        <v>399.20400000000006</v>
      </c>
      <c r="GB121" s="13">
        <f t="shared" si="103"/>
        <v>91.615269732888521</v>
      </c>
      <c r="GC121" s="20">
        <f t="shared" si="79"/>
        <v>854.8435614514475</v>
      </c>
      <c r="GD121" s="59">
        <f t="shared" si="80"/>
        <v>1148.1768947847809</v>
      </c>
      <c r="GE121" s="59">
        <f ca="1">AVERAGE(OFFSET($GD$3,0,0,'Données projet'!$E$17+1,1))-AVERAGE(OFFSET($H$3,0,0,'Données projet'!$E$17+1,1))</f>
        <v>488.67934252295686</v>
      </c>
      <c r="GF121" s="59">
        <f t="shared" si="104"/>
        <v>424.50324471331095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65.299109126422891</v>
      </c>
      <c r="GM121" s="21">
        <f>EXP(-LN(2)/25)*GM120+(1-EXP(-LN(2)/25))/(LN(2)/25)*Calculateur!GH121*Calculateur!GJ121*VLOOKUP('Données projet'!$B$17,Paramètres!$A$1:$I$89,3,0)*0.475*44/12</f>
        <v>4.2702975129235883</v>
      </c>
      <c r="GN121" s="21">
        <f>EXP(-LN(2)/2)*GN120+(1-EXP(-LN(2)/2))/(LN(2)/2)*GH121*GK121*VLOOKUP('Données projet'!$B$17,Paramètres!$A$1:$I$89,3,0)*0.475*44/12</f>
        <v>4.6121952562708859E-14</v>
      </c>
      <c r="GO121" s="21">
        <f t="shared" si="81"/>
        <v>69.569406639346525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789</v>
      </c>
      <c r="GV121" s="17">
        <f>GU121*VLOOKUP('Données projet'!$B$18,Paramètres!$A$1:$I$89,3,0)*VLOOKUP('Données projet'!$B$18,Paramètres!$A$1:$I$89,5,0)</f>
        <v>379.50900000000001</v>
      </c>
      <c r="GW121" s="13">
        <f t="shared" si="105"/>
        <v>87.609801106074272</v>
      </c>
      <c r="GX121" s="20">
        <f t="shared" si="82"/>
        <v>813.56524525974601</v>
      </c>
      <c r="GY121" s="59">
        <f t="shared" si="83"/>
        <v>1106.8985785930793</v>
      </c>
      <c r="GZ121" s="59">
        <f ca="1">AVERAGE(OFFSET($GY$3,0,0,'Données projet'!$E$18+1,1))-AVERAGE(OFFSET($H$3,0,0,'Données projet'!$E$18+1,1))</f>
        <v>458.80976193248841</v>
      </c>
      <c r="HA121" s="59">
        <f t="shared" si="106"/>
        <v>396.07405370178759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66.120431804708943</v>
      </c>
      <c r="HH121" s="21">
        <f>EXP(-LN(2)/25)*HH120+(1-EXP(-LN(2)/25))/(LN(2)/25)*Calculateur!HC121*Calculateur!HE121*VLOOKUP('Données projet'!$B$18,Paramètres!$A$1:$I$89,3,0)*0.475*44/12</f>
        <v>3.9899244438932557</v>
      </c>
      <c r="HI121" s="21">
        <f>EXP(-LN(2)/2)*HI120+(1-EXP(-LN(2)/2))/(LN(2)/2)*HC121*HF121*VLOOKUP('Données projet'!$B$18,Paramètres!$A$1:$I$89,3,0)*0.475*44/12</f>
        <v>2.128303253177157E-14</v>
      </c>
      <c r="HJ121" s="22">
        <f t="shared" si="84"/>
        <v>70.110356248602216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267</v>
      </c>
      <c r="O122" s="13">
        <f>N122*VLOOKUP('Données projet'!$B$9,Paramètres!$A$1:$I$89,3,0)*VLOOKUP('Données projet'!$B$9,Paramètres!$A$1:$I$89,5,0)</f>
        <v>241.58159999999998</v>
      </c>
      <c r="P122" s="13">
        <f t="shared" si="87"/>
        <v>58.779689232021951</v>
      </c>
      <c r="Q122" s="20">
        <f t="shared" si="107"/>
        <v>523.12924541243819</v>
      </c>
      <c r="R122" s="59">
        <f t="shared" si="55"/>
        <v>816.46257874577145</v>
      </c>
      <c r="S122" s="59">
        <f ca="1">AVERAGE(OFFSET($R$3,0,0,'Données projet'!$E$9+1,1))-AVERAGE(OFFSET($H$3,0,0,'Données projet'!$E$9+1,1))</f>
        <v>364.3481978218424</v>
      </c>
      <c r="T122" s="59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69.82975843752169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69.82975843752169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636.99999999999977</v>
      </c>
      <c r="AJ122" s="13">
        <f>AI122*VLOOKUP('Données projet'!$B$10,Paramètres!$A$1:$I$89,3,0)*VLOOKUP('Données projet'!$B$10,Paramètres!$A$1:$I$89,5,0)</f>
        <v>356.08299999999991</v>
      </c>
      <c r="AK122" s="13">
        <f t="shared" si="89"/>
        <v>82.813805255716545</v>
      </c>
      <c r="AL122" s="20">
        <f t="shared" si="58"/>
        <v>764.41193582037283</v>
      </c>
      <c r="AM122" s="59">
        <f t="shared" si="59"/>
        <v>1057.7452691537062</v>
      </c>
      <c r="AN122" s="59">
        <f ca="1">AVERAGE(OFFSET($AM$3,0,0,'Données projet'!$E$10+1,1))-AVERAGE(OFFSET($H$3,0,0,'Données projet'!$E$10+1,1))</f>
        <v>443.34220761968419</v>
      </c>
      <c r="AO122" s="59">
        <f t="shared" si="90"/>
        <v>546.58234447298014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30.379462998120683</v>
      </c>
      <c r="AV122" s="21">
        <f>EXP(-LN(2)/25)*AV121+(1-EXP(-LN(2)/25))/(LN(2)/25)*Calculateur!AQ122*Calculateur!AS122*VLOOKUP('Données projet'!$B$10,Paramètres!$A$1:$I$89,3,0)*0.475*44/12</f>
        <v>1.8600151043083595</v>
      </c>
      <c r="AW122" s="21">
        <f>EXP(-LN(2)/2)*AW121+(1-EXP(-LN(2)/2))/(LN(2)/2)*AQ122*AT122*VLOOKUP('Données projet'!$B$10,Paramètres!$A$1:$I$89,3,0)*0.475*44/12</f>
        <v>2.4284619920773248E-13</v>
      </c>
      <c r="AX122" s="21">
        <f t="shared" si="60"/>
        <v>32.239478102429281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403.99999999999989</v>
      </c>
      <c r="BE122" s="13">
        <f>BD122*VLOOKUP('Données projet'!$B$11,Paramètres!$A$1:$I$89,3,0)*VLOOKUP('Données projet'!$B$11,Paramètres!$A$1:$I$89,5,0)</f>
        <v>346.63199999999995</v>
      </c>
      <c r="BF122" s="13">
        <f t="shared" si="91"/>
        <v>80.868615263336864</v>
      </c>
      <c r="BG122" s="20">
        <f t="shared" si="61"/>
        <v>744.56357158364483</v>
      </c>
      <c r="BH122" s="59">
        <f t="shared" si="62"/>
        <v>1037.8969049169782</v>
      </c>
      <c r="BI122" s="59">
        <f ca="1">AVERAGE(OFFSET($BH$3,0,0,'Données projet'!$E$11+1,1))-AVERAGE(OFFSET($H$3,0,0,'Données projet'!$E$11+1,1))</f>
        <v>447.15627913956871</v>
      </c>
      <c r="BJ122" s="59">
        <f t="shared" si="92"/>
        <v>256.77417912163997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101.95498968507367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101.95498968507367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245.99999999999994</v>
      </c>
      <c r="BZ122" s="13">
        <f>BY122*VLOOKUP('Données projet'!$B$12,Paramètres!$A$1:$I$89,3,0)*VLOOKUP('Données projet'!$B$12,Paramètres!$A$1:$I$89,5,0)</f>
        <v>234.09359999999998</v>
      </c>
      <c r="CA122" s="13">
        <f t="shared" si="93"/>
        <v>57.166902703920208</v>
      </c>
      <c r="CB122" s="20">
        <f t="shared" si="64"/>
        <v>507.27870887599425</v>
      </c>
      <c r="CC122" s="59">
        <f t="shared" si="65"/>
        <v>800.61204220932757</v>
      </c>
      <c r="CD122" s="59">
        <f ca="1">AVERAGE(OFFSET($CC$3,0,0,'Données projet'!$E$12+1,1))-AVERAGE(OFFSET($H$3,0,0,'Données projet'!$E$12+1,1))</f>
        <v>448.94764480536713</v>
      </c>
      <c r="CE122" s="59">
        <f t="shared" si="94"/>
        <v>469.26760321719695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72.039542934312507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72.039542934312507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187.80389738728508</v>
      </c>
      <c r="CZ122" s="59">
        <f t="shared" si="96"/>
        <v>439.28159165815265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21.194606817195783</v>
      </c>
      <c r="DG122" s="21">
        <f>EXP(-LN(2)/25)*DG121+(1-EXP(-LN(2)/25))/(LN(2)/25)*Calculateur!DB122*Calculateur!DD122*VLOOKUP('Données projet'!$B$13,Paramètres!$A$1:$I$89,3,0)*0.475*44/12</f>
        <v>1.2190200261054691</v>
      </c>
      <c r="DH122" s="21">
        <f>EXP(-LN(2)/2)*DH121+(1-EXP(-LN(2)/2))/(LN(2)/2)*DB122*DE122*VLOOKUP('Données projet'!$B$13,Paramètres!$A$1:$I$89,3,0)*0.475*44/12</f>
        <v>1.8072193677287952E-15</v>
      </c>
      <c r="DI122" s="22">
        <f t="shared" si="69"/>
        <v>22.413626843301255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255.00000000000006</v>
      </c>
      <c r="DP122" s="17">
        <f>DO122*VLOOKUP('Données projet'!$B$14,Paramètres!$A$1:$I$89,3,0)*VLOOKUP('Données projet'!$B$14,Paramètres!$A$1:$I$89,5,0)</f>
        <v>186.96600000000004</v>
      </c>
      <c r="DQ122" s="13">
        <f t="shared" si="97"/>
        <v>46.868551400324648</v>
      </c>
      <c r="DR122" s="20">
        <f t="shared" si="70"/>
        <v>407.26184368889881</v>
      </c>
      <c r="DS122" s="59">
        <f t="shared" si="71"/>
        <v>700.59517702223206</v>
      </c>
      <c r="DT122" s="59">
        <f ca="1">AVERAGE(OFFSET($DS$3,0,0,'Données projet'!$E$14+1,1))-AVERAGE(OFFSET($H$3,0,0,'Données projet'!$E$14+1,1))</f>
        <v>239.25212250019609</v>
      </c>
      <c r="DU122" s="59">
        <f t="shared" si="98"/>
        <v>213.58492101729695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689</v>
      </c>
      <c r="EK122" s="17">
        <f>EJ122*VLOOKUP('Données projet'!$B$15,Paramètres!$A$1:$I$89,3,0)*VLOOKUP('Données projet'!$B$15,Paramètres!$A$1:$I$89,5,0)</f>
        <v>412.02199999999999</v>
      </c>
      <c r="EL122" s="13">
        <f t="shared" si="99"/>
        <v>94.209724877926391</v>
      </c>
      <c r="EM122" s="20">
        <f t="shared" si="73"/>
        <v>881.686920829055</v>
      </c>
      <c r="EN122" s="59">
        <f t="shared" si="74"/>
        <v>1175.0202541623883</v>
      </c>
      <c r="EO122" s="59">
        <f ca="1">AVERAGE(OFFSET($EN$3,0,0,'Données projet'!$E$15+1,1))-AVERAGE(OFFSET($H$3,0,0,'Données projet'!$E$15+1,1))</f>
        <v>504.81063008331739</v>
      </c>
      <c r="EP122" s="59">
        <f t="shared" si="100"/>
        <v>441.82647565372287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45.208738270059932</v>
      </c>
      <c r="EW122" s="21">
        <f>EXP(-LN(2)/25)*EW121+(1-EXP(-LN(2)/25))/(LN(2)/25)*Calculateur!ER122*Calculateur!ET122*VLOOKUP('Données projet'!$B$15,Paramètres!$A$1:$I$89,3,0)*0.475*44/12</f>
        <v>4.992239143358506</v>
      </c>
      <c r="EX122" s="21">
        <f>EXP(-LN(2)/2)*EX121+(1-EXP(-LN(2)/2))/(LN(2)/2)*ER122*EU122*VLOOKUP('Données projet'!$B$15,Paramètres!$A$1:$I$89,3,0)*0.475*44/12</f>
        <v>2.1047716447267952E-15</v>
      </c>
      <c r="EY122" s="22">
        <f t="shared" si="75"/>
        <v>50.200977413418435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541.99999999999989</v>
      </c>
      <c r="FF122" s="17">
        <f>FE122*VLOOKUP('Données projet'!$B$16,Paramètres!$A$1:$I$89,3,0)*VLOOKUP('Données projet'!$B$16,Paramètres!$A$1:$I$89,5,0)</f>
        <v>310.02399999999994</v>
      </c>
      <c r="FG122" s="13">
        <f t="shared" si="101"/>
        <v>73.27384230442388</v>
      </c>
      <c r="FH122" s="20">
        <f t="shared" si="76"/>
        <v>667.57707534687154</v>
      </c>
      <c r="FI122" s="59">
        <f t="shared" si="77"/>
        <v>960.91040868020491</v>
      </c>
      <c r="FJ122" s="59">
        <f ca="1">AVERAGE(OFFSET($FI$3,0,0,'Données projet'!$E$16+1,1))-AVERAGE(OFFSET($H$3,0,0,'Données projet'!$E$16+1,1))</f>
        <v>393.41577134252316</v>
      </c>
      <c r="FK122" s="59">
        <f t="shared" si="102"/>
        <v>255.54039659391475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52.9373839850671</v>
      </c>
      <c r="FR122" s="21">
        <f>EXP(-LN(2)/25)*FR121+(1-EXP(-LN(2)/25))/(LN(2)/25)*Calculateur!FM122*Calculateur!FO122*VLOOKUP('Données projet'!$B$16,Paramètres!$A$1:$I$89,3,0)*0.475*44/12</f>
        <v>2.2655596379277303</v>
      </c>
      <c r="FS122" s="21">
        <f>EXP(-LN(2)/2)*FS121+(1-EXP(-LN(2)/2))/(LN(2)/2)*FM122*FP122*VLOOKUP('Données projet'!$B$16,Paramètres!$A$1:$I$89,3,0)*0.475*44/12</f>
        <v>1.4642636718580113E-14</v>
      </c>
      <c r="FT122" s="22">
        <f t="shared" si="78"/>
        <v>55.202943622994844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853.00000000000011</v>
      </c>
      <c r="GA122" s="17">
        <f>FZ122*VLOOKUP('Données projet'!$B$17,Paramètres!$A$1:$I$89,3,0)*VLOOKUP('Données projet'!$B$17,Paramètres!$A$1:$I$89,5,0)</f>
        <v>399.20400000000006</v>
      </c>
      <c r="GB122" s="13">
        <f t="shared" si="103"/>
        <v>91.615269732888521</v>
      </c>
      <c r="GC122" s="20">
        <f t="shared" si="79"/>
        <v>854.8435614514475</v>
      </c>
      <c r="GD122" s="59">
        <f t="shared" si="80"/>
        <v>1148.1768947847809</v>
      </c>
      <c r="GE122" s="59">
        <f ca="1">AVERAGE(OFFSET($GD$3,0,0,'Données projet'!$E$17+1,1))-AVERAGE(OFFSET($H$3,0,0,'Données projet'!$E$17+1,1))</f>
        <v>488.67934252295686</v>
      </c>
      <c r="GF122" s="59">
        <f t="shared" si="104"/>
        <v>424.50324471331095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64.018633424977565</v>
      </c>
      <c r="GM122" s="21">
        <f>EXP(-LN(2)/25)*GM121+(1-EXP(-LN(2)/25))/(LN(2)/25)*Calculateur!GH122*Calculateur!GJ122*VLOOKUP('Données projet'!$B$17,Paramètres!$A$1:$I$89,3,0)*0.475*44/12</f>
        <v>4.1535260028675065</v>
      </c>
      <c r="GN122" s="21">
        <f>EXP(-LN(2)/2)*GN121+(1-EXP(-LN(2)/2))/(LN(2)/2)*GH122*GK122*VLOOKUP('Données projet'!$B$17,Paramètres!$A$1:$I$89,3,0)*0.475*44/12</f>
        <v>3.2613145418655697E-14</v>
      </c>
      <c r="GO122" s="21">
        <f t="shared" si="81"/>
        <v>68.172159427845102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789</v>
      </c>
      <c r="GV122" s="17">
        <f>GU122*VLOOKUP('Données projet'!$B$18,Paramètres!$A$1:$I$89,3,0)*VLOOKUP('Données projet'!$B$18,Paramètres!$A$1:$I$89,5,0)</f>
        <v>379.50900000000001</v>
      </c>
      <c r="GW122" s="13">
        <f t="shared" si="105"/>
        <v>87.609801106074272</v>
      </c>
      <c r="GX122" s="20">
        <f t="shared" si="82"/>
        <v>813.56524525974601</v>
      </c>
      <c r="GY122" s="59">
        <f t="shared" si="83"/>
        <v>1106.8985785930793</v>
      </c>
      <c r="GZ122" s="59">
        <f ca="1">AVERAGE(OFFSET($GY$3,0,0,'Données projet'!$E$18+1,1))-AVERAGE(OFFSET($H$3,0,0,'Données projet'!$E$18+1,1))</f>
        <v>458.80976193248841</v>
      </c>
      <c r="HA122" s="59">
        <f t="shared" si="106"/>
        <v>396.07405370178759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64.823850466499792</v>
      </c>
      <c r="HH122" s="21">
        <f>EXP(-LN(2)/25)*HH121+(1-EXP(-LN(2)/25))/(LN(2)/25)*Calculateur!HC122*Calculateur!HE122*VLOOKUP('Données projet'!$B$18,Paramètres!$A$1:$I$89,3,0)*0.475*44/12</f>
        <v>3.8808197501539872</v>
      </c>
      <c r="HI122" s="21">
        <f>EXP(-LN(2)/2)*HI121+(1-EXP(-LN(2)/2))/(LN(2)/2)*HC122*HF122*VLOOKUP('Données projet'!$B$18,Paramètres!$A$1:$I$89,3,0)*0.475*44/12</f>
        <v>1.5049376627429572E-14</v>
      </c>
      <c r="HJ122" s="22">
        <f t="shared" si="84"/>
        <v>68.704670216653795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267</v>
      </c>
      <c r="O123" s="13">
        <f>N123*VLOOKUP('Données projet'!$B$9,Paramètres!$A$1:$I$89,3,0)*VLOOKUP('Données projet'!$B$9,Paramètres!$A$1:$I$89,5,0)</f>
        <v>241.58159999999998</v>
      </c>
      <c r="P123" s="13">
        <f t="shared" si="87"/>
        <v>58.779689232021951</v>
      </c>
      <c r="Q123" s="20">
        <f t="shared" si="107"/>
        <v>523.12924541243819</v>
      </c>
      <c r="R123" s="59">
        <f t="shared" si="55"/>
        <v>816.46257874577145</v>
      </c>
      <c r="S123" s="59">
        <f ca="1">AVERAGE(OFFSET($R$3,0,0,'Données projet'!$E$9+1,1))-AVERAGE(OFFSET($H$3,0,0,'Données projet'!$E$9+1,1))</f>
        <v>364.3481978218424</v>
      </c>
      <c r="T123" s="59">
        <f t="shared" si="88"/>
        <v>231.36959598460686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68.46043946650893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68.46043946650893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636.99999999999977</v>
      </c>
      <c r="AJ123" s="13">
        <f>AI123*VLOOKUP('Données projet'!$B$10,Paramètres!$A$1:$I$89,3,0)*VLOOKUP('Données projet'!$B$10,Paramètres!$A$1:$I$89,5,0)</f>
        <v>356.08299999999991</v>
      </c>
      <c r="AK123" s="13">
        <f t="shared" si="89"/>
        <v>82.813805255716545</v>
      </c>
      <c r="AL123" s="20">
        <f t="shared" si="58"/>
        <v>764.41193582037283</v>
      </c>
      <c r="AM123" s="59">
        <f t="shared" si="59"/>
        <v>1057.7452691537062</v>
      </c>
      <c r="AN123" s="59">
        <f ca="1">AVERAGE(OFFSET($AM$3,0,0,'Données projet'!$E$10+1,1))-AVERAGE(OFFSET($H$3,0,0,'Données projet'!$E$10+1,1))</f>
        <v>443.34220761968419</v>
      </c>
      <c r="AO123" s="59">
        <f t="shared" si="90"/>
        <v>546.58234447298014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29.783740258370315</v>
      </c>
      <c r="AV123" s="21">
        <f>EXP(-LN(2)/25)*AV122+(1-EXP(-LN(2)/25))/(LN(2)/25)*Calculateur!AQ123*Calculateur!AS123*VLOOKUP('Données projet'!$B$10,Paramètres!$A$1:$I$89,3,0)*0.475*44/12</f>
        <v>1.8091528934671042</v>
      </c>
      <c r="AW123" s="21">
        <f>EXP(-LN(2)/2)*AW122+(1-EXP(-LN(2)/2))/(LN(2)/2)*AQ123*AT123*VLOOKUP('Données projet'!$B$10,Paramètres!$A$1:$I$89,3,0)*0.475*44/12</f>
        <v>1.7171819424516682E-13</v>
      </c>
      <c r="AX123" s="21">
        <f t="shared" si="60"/>
        <v>31.59289315183759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403.99999999999989</v>
      </c>
      <c r="BE123" s="13">
        <f>BD123*VLOOKUP('Données projet'!$B$11,Paramètres!$A$1:$I$89,3,0)*VLOOKUP('Données projet'!$B$11,Paramètres!$A$1:$I$89,5,0)</f>
        <v>346.63199999999995</v>
      </c>
      <c r="BF123" s="13">
        <f t="shared" si="91"/>
        <v>80.868615263336864</v>
      </c>
      <c r="BG123" s="20">
        <f t="shared" si="61"/>
        <v>744.56357158364483</v>
      </c>
      <c r="BH123" s="59">
        <f t="shared" si="62"/>
        <v>1037.8969049169782</v>
      </c>
      <c r="BI123" s="59">
        <f ca="1">AVERAGE(OFFSET($BH$3,0,0,'Données projet'!$E$11+1,1))-AVERAGE(OFFSET($H$3,0,0,'Données projet'!$E$11+1,1))</f>
        <v>447.15627913956871</v>
      </c>
      <c r="BJ123" s="59">
        <f t="shared" si="92"/>
        <v>256.77417912163997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99.95571452375269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99.95571452375269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245.99999999999994</v>
      </c>
      <c r="BZ123" s="13">
        <f>BY123*VLOOKUP('Données projet'!$B$12,Paramètres!$A$1:$I$89,3,0)*VLOOKUP('Données projet'!$B$12,Paramètres!$A$1:$I$89,5,0)</f>
        <v>234.09359999999998</v>
      </c>
      <c r="CA123" s="13">
        <f t="shared" si="93"/>
        <v>57.166902703920208</v>
      </c>
      <c r="CB123" s="20">
        <f t="shared" si="64"/>
        <v>507.27870887599425</v>
      </c>
      <c r="CC123" s="59">
        <f t="shared" si="65"/>
        <v>800.61204220932757</v>
      </c>
      <c r="CD123" s="59">
        <f ca="1">AVERAGE(OFFSET($CC$3,0,0,'Données projet'!$E$12+1,1))-AVERAGE(OFFSET($H$3,0,0,'Données projet'!$E$12+1,1))</f>
        <v>448.94764480536713</v>
      </c>
      <c r="CE123" s="59">
        <f t="shared" si="94"/>
        <v>469.26760321719695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70.626891437153134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70.626891437153134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187.80389738728508</v>
      </c>
      <c r="CZ123" s="59">
        <f t="shared" si="96"/>
        <v>439.28159165815265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20.778993504944253</v>
      </c>
      <c r="DG123" s="21">
        <f>EXP(-LN(2)/25)*DG122+(1-EXP(-LN(2)/25))/(LN(2)/25)*Calculateur!DB123*Calculateur!DD123*VLOOKUP('Données projet'!$B$13,Paramètres!$A$1:$I$89,3,0)*0.475*44/12</f>
        <v>1.1856858593861379</v>
      </c>
      <c r="DH123" s="21">
        <f>EXP(-LN(2)/2)*DH122+(1-EXP(-LN(2)/2))/(LN(2)/2)*DB123*DE123*VLOOKUP('Données projet'!$B$13,Paramètres!$A$1:$I$89,3,0)*0.475*44/12</f>
        <v>1.277897070012696E-15</v>
      </c>
      <c r="DI123" s="22">
        <f t="shared" si="69"/>
        <v>21.96467936433039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255.00000000000006</v>
      </c>
      <c r="DP123" s="17">
        <f>DO123*VLOOKUP('Données projet'!$B$14,Paramètres!$A$1:$I$89,3,0)*VLOOKUP('Données projet'!$B$14,Paramètres!$A$1:$I$89,5,0)</f>
        <v>186.96600000000004</v>
      </c>
      <c r="DQ123" s="13">
        <f t="shared" si="97"/>
        <v>46.868551400324648</v>
      </c>
      <c r="DR123" s="20">
        <f t="shared" si="70"/>
        <v>407.26184368889881</v>
      </c>
      <c r="DS123" s="59">
        <f t="shared" si="71"/>
        <v>700.59517702223206</v>
      </c>
      <c r="DT123" s="59">
        <f ca="1">AVERAGE(OFFSET($DS$3,0,0,'Données projet'!$E$14+1,1))-AVERAGE(OFFSET($H$3,0,0,'Données projet'!$E$14+1,1))</f>
        <v>239.25212250019609</v>
      </c>
      <c r="DU123" s="59">
        <f t="shared" si="98"/>
        <v>213.58492101729695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689</v>
      </c>
      <c r="EK123" s="17">
        <f>EJ123*VLOOKUP('Données projet'!$B$15,Paramètres!$A$1:$I$89,3,0)*VLOOKUP('Données projet'!$B$15,Paramètres!$A$1:$I$89,5,0)</f>
        <v>412.02199999999999</v>
      </c>
      <c r="EL123" s="13">
        <f t="shared" si="99"/>
        <v>94.209724877926391</v>
      </c>
      <c r="EM123" s="20">
        <f t="shared" si="73"/>
        <v>881.686920829055</v>
      </c>
      <c r="EN123" s="59">
        <f t="shared" si="74"/>
        <v>1175.0202541623883</v>
      </c>
      <c r="EO123" s="59">
        <f ca="1">AVERAGE(OFFSET($EN$3,0,0,'Données projet'!$E$15+1,1))-AVERAGE(OFFSET($H$3,0,0,'Données projet'!$E$15+1,1))</f>
        <v>504.81063008331739</v>
      </c>
      <c r="EP123" s="59">
        <f t="shared" si="100"/>
        <v>441.82647565372287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44.322222487191638</v>
      </c>
      <c r="EW123" s="21">
        <f>EXP(-LN(2)/25)*EW122+(1-EXP(-LN(2)/25))/(LN(2)/25)*Calculateur!ER123*Calculateur!ET123*VLOOKUP('Données projet'!$B$15,Paramètres!$A$1:$I$89,3,0)*0.475*44/12</f>
        <v>4.8557261014529214</v>
      </c>
      <c r="EX123" s="21">
        <f>EXP(-LN(2)/2)*EX122+(1-EXP(-LN(2)/2))/(LN(2)/2)*ER123*EU123*VLOOKUP('Données projet'!$B$15,Paramètres!$A$1:$I$89,3,0)*0.475*44/12</f>
        <v>1.4882983028354797E-15</v>
      </c>
      <c r="EY123" s="22">
        <f t="shared" si="75"/>
        <v>49.177948588644561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541.99999999999989</v>
      </c>
      <c r="FF123" s="17">
        <f>FE123*VLOOKUP('Données projet'!$B$16,Paramètres!$A$1:$I$89,3,0)*VLOOKUP('Données projet'!$B$16,Paramètres!$A$1:$I$89,5,0)</f>
        <v>310.02399999999994</v>
      </c>
      <c r="FG123" s="13">
        <f t="shared" si="101"/>
        <v>73.27384230442388</v>
      </c>
      <c r="FH123" s="20">
        <f t="shared" si="76"/>
        <v>667.57707534687154</v>
      </c>
      <c r="FI123" s="59">
        <f t="shared" si="77"/>
        <v>960.91040868020491</v>
      </c>
      <c r="FJ123" s="59">
        <f ca="1">AVERAGE(OFFSET($FI$3,0,0,'Données projet'!$E$16+1,1))-AVERAGE(OFFSET($H$3,0,0,'Données projet'!$E$16+1,1))</f>
        <v>393.41577134252316</v>
      </c>
      <c r="FK123" s="59">
        <f t="shared" si="102"/>
        <v>255.54039659391475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51.899314173735931</v>
      </c>
      <c r="FR123" s="21">
        <f>EXP(-LN(2)/25)*FR122+(1-EXP(-LN(2)/25))/(LN(2)/25)*Calculateur!FM123*Calculateur!FO123*VLOOKUP('Données projet'!$B$16,Paramètres!$A$1:$I$89,3,0)*0.475*44/12</f>
        <v>2.2036077904879932</v>
      </c>
      <c r="FS123" s="21">
        <f>EXP(-LN(2)/2)*FS122+(1-EXP(-LN(2)/2))/(LN(2)/2)*FM123*FP123*VLOOKUP('Données projet'!$B$16,Paramètres!$A$1:$I$89,3,0)*0.475*44/12</f>
        <v>1.0353907718159135E-14</v>
      </c>
      <c r="FT123" s="22">
        <f t="shared" si="78"/>
        <v>54.102921964223931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853.00000000000011</v>
      </c>
      <c r="GA123" s="17">
        <f>FZ123*VLOOKUP('Données projet'!$B$17,Paramètres!$A$1:$I$89,3,0)*VLOOKUP('Données projet'!$B$17,Paramètres!$A$1:$I$89,5,0)</f>
        <v>399.20400000000006</v>
      </c>
      <c r="GB123" s="13">
        <f t="shared" si="103"/>
        <v>91.615269732888521</v>
      </c>
      <c r="GC123" s="20">
        <f t="shared" si="79"/>
        <v>854.8435614514475</v>
      </c>
      <c r="GD123" s="59">
        <f t="shared" si="80"/>
        <v>1148.1768947847809</v>
      </c>
      <c r="GE123" s="59">
        <f ca="1">AVERAGE(OFFSET($GD$3,0,0,'Données projet'!$E$17+1,1))-AVERAGE(OFFSET($H$3,0,0,'Données projet'!$E$17+1,1))</f>
        <v>488.67934252295686</v>
      </c>
      <c r="GF123" s="59">
        <f t="shared" si="104"/>
        <v>424.50324471331095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62.763267071024522</v>
      </c>
      <c r="GM123" s="21">
        <f>EXP(-LN(2)/25)*GM122+(1-EXP(-LN(2)/25))/(LN(2)/25)*Calculateur!GH123*Calculateur!GJ123*VLOOKUP('Données projet'!$B$17,Paramètres!$A$1:$I$89,3,0)*0.475*44/12</f>
        <v>4.039947615894655</v>
      </c>
      <c r="GN123" s="21">
        <f>EXP(-LN(2)/2)*GN122+(1-EXP(-LN(2)/2))/(LN(2)/2)*GH123*GK123*VLOOKUP('Données projet'!$B$17,Paramètres!$A$1:$I$89,3,0)*0.475*44/12</f>
        <v>2.3060976281354429E-14</v>
      </c>
      <c r="GO123" s="21">
        <f t="shared" si="81"/>
        <v>66.803214686919205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789</v>
      </c>
      <c r="GV123" s="17">
        <f>GU123*VLOOKUP('Données projet'!$B$18,Paramètres!$A$1:$I$89,3,0)*VLOOKUP('Données projet'!$B$18,Paramètres!$A$1:$I$89,5,0)</f>
        <v>379.50900000000001</v>
      </c>
      <c r="GW123" s="13">
        <f t="shared" si="105"/>
        <v>87.609801106074272</v>
      </c>
      <c r="GX123" s="20">
        <f t="shared" si="82"/>
        <v>813.56524525974601</v>
      </c>
      <c r="GY123" s="59">
        <f t="shared" si="83"/>
        <v>1106.8985785930793</v>
      </c>
      <c r="GZ123" s="59">
        <f ca="1">AVERAGE(OFFSET($GY$3,0,0,'Données projet'!$E$18+1,1))-AVERAGE(OFFSET($H$3,0,0,'Données projet'!$E$18+1,1))</f>
        <v>458.80976193248841</v>
      </c>
      <c r="HA123" s="59">
        <f t="shared" si="106"/>
        <v>396.07405370178759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63.552694297496402</v>
      </c>
      <c r="HH123" s="21">
        <f>EXP(-LN(2)/25)*HH122+(1-EXP(-LN(2)/25))/(LN(2)/25)*Calculateur!HC123*Calculateur!HE123*VLOOKUP('Données projet'!$B$18,Paramètres!$A$1:$I$89,3,0)*0.475*44/12</f>
        <v>3.7746985300025853</v>
      </c>
      <c r="HI123" s="21">
        <f>EXP(-LN(2)/2)*HI122+(1-EXP(-LN(2)/2))/(LN(2)/2)*HC123*HF123*VLOOKUP('Données projet'!$B$18,Paramètres!$A$1:$I$89,3,0)*0.475*44/12</f>
        <v>1.0641516265885785E-14</v>
      </c>
      <c r="HJ123" s="22">
        <f t="shared" si="84"/>
        <v>67.327392827498997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267</v>
      </c>
      <c r="O124" s="13">
        <f>N124*VLOOKUP('Données projet'!$B$9,Paramètres!$A$1:$I$89,3,0)*VLOOKUP('Données projet'!$B$9,Paramètres!$A$1:$I$89,5,0)</f>
        <v>241.58159999999998</v>
      </c>
      <c r="P124" s="13">
        <f t="shared" si="87"/>
        <v>58.779689232021951</v>
      </c>
      <c r="Q124" s="20">
        <f t="shared" si="107"/>
        <v>523.12924541243819</v>
      </c>
      <c r="R124" s="59">
        <f t="shared" si="55"/>
        <v>816.46257874577145</v>
      </c>
      <c r="S124" s="59">
        <f ca="1">AVERAGE(OFFSET($R$3,0,0,'Données projet'!$E$9+1,1))-AVERAGE(OFFSET($H$3,0,0,'Données projet'!$E$9+1,1))</f>
        <v>364.3481978218424</v>
      </c>
      <c r="T124" s="59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67.117972005315622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67.117972005315622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636.99999999999977</v>
      </c>
      <c r="AJ124" s="13">
        <f>AI124*VLOOKUP('Données projet'!$B$10,Paramètres!$A$1:$I$89,3,0)*VLOOKUP('Données projet'!$B$10,Paramètres!$A$1:$I$89,5,0)</f>
        <v>356.08299999999991</v>
      </c>
      <c r="AK124" s="13">
        <f t="shared" si="89"/>
        <v>82.813805255716545</v>
      </c>
      <c r="AL124" s="20">
        <f t="shared" si="58"/>
        <v>764.41193582037283</v>
      </c>
      <c r="AM124" s="59">
        <f t="shared" si="59"/>
        <v>1057.7452691537062</v>
      </c>
      <c r="AN124" s="59">
        <f ca="1">AVERAGE(OFFSET($AM$3,0,0,'Données projet'!$E$10+1,1))-AVERAGE(OFFSET($H$3,0,0,'Données projet'!$E$10+1,1))</f>
        <v>443.34220761968419</v>
      </c>
      <c r="AO124" s="59">
        <f t="shared" si="90"/>
        <v>546.58234447298014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29.19969927819146</v>
      </c>
      <c r="AV124" s="21">
        <f>EXP(-LN(2)/25)*AV123+(1-EXP(-LN(2)/25))/(LN(2)/25)*Calculateur!AQ124*Calculateur!AS124*VLOOKUP('Données projet'!$B$10,Paramètres!$A$1:$I$89,3,0)*0.475*44/12</f>
        <v>1.7596815124560303</v>
      </c>
      <c r="AW124" s="21">
        <f>EXP(-LN(2)/2)*AW123+(1-EXP(-LN(2)/2))/(LN(2)/2)*AQ124*AT124*VLOOKUP('Données projet'!$B$10,Paramètres!$A$1:$I$89,3,0)*0.475*44/12</f>
        <v>1.2142309960386624E-13</v>
      </c>
      <c r="AX124" s="21">
        <f t="shared" si="60"/>
        <v>30.959380790647611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403.99999999999989</v>
      </c>
      <c r="BE124" s="13">
        <f>BD124*VLOOKUP('Données projet'!$B$11,Paramètres!$A$1:$I$89,3,0)*VLOOKUP('Données projet'!$B$11,Paramètres!$A$1:$I$89,5,0)</f>
        <v>346.63199999999995</v>
      </c>
      <c r="BF124" s="13">
        <f t="shared" si="91"/>
        <v>80.868615263336864</v>
      </c>
      <c r="BG124" s="20">
        <f t="shared" si="61"/>
        <v>744.56357158364483</v>
      </c>
      <c r="BH124" s="59">
        <f t="shared" si="62"/>
        <v>1037.8969049169782</v>
      </c>
      <c r="BI124" s="59">
        <f ca="1">AVERAGE(OFFSET($BH$3,0,0,'Données projet'!$E$11+1,1))-AVERAGE(OFFSET($H$3,0,0,'Données projet'!$E$11+1,1))</f>
        <v>447.15627913956871</v>
      </c>
      <c r="BJ124" s="59">
        <f t="shared" si="92"/>
        <v>256.77417912163997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97.995643928907768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97.995643928907768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245.99999999999994</v>
      </c>
      <c r="BZ124" s="13">
        <f>BY124*VLOOKUP('Données projet'!$B$12,Paramètres!$A$1:$I$89,3,0)*VLOOKUP('Données projet'!$B$12,Paramètres!$A$1:$I$89,5,0)</f>
        <v>234.09359999999998</v>
      </c>
      <c r="CA124" s="13">
        <f t="shared" si="93"/>
        <v>57.166902703920208</v>
      </c>
      <c r="CB124" s="20">
        <f t="shared" si="64"/>
        <v>507.27870887599425</v>
      </c>
      <c r="CC124" s="59">
        <f t="shared" si="65"/>
        <v>800.61204220932757</v>
      </c>
      <c r="CD124" s="59">
        <f ca="1">AVERAGE(OFFSET($CC$3,0,0,'Données projet'!$E$12+1,1))-AVERAGE(OFFSET($H$3,0,0,'Données projet'!$E$12+1,1))</f>
        <v>448.94764480536713</v>
      </c>
      <c r="CE124" s="59">
        <f t="shared" si="94"/>
        <v>469.26760321719695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69.241941174220727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69.241941174220727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187.80389738728508</v>
      </c>
      <c r="CZ124" s="59">
        <f t="shared" si="96"/>
        <v>439.28159165815265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20.371530116246888</v>
      </c>
      <c r="DG124" s="21">
        <f>EXP(-LN(2)/25)*DG123+(1-EXP(-LN(2)/25))/(LN(2)/25)*Calculateur!DB124*Calculateur!DD124*VLOOKUP('Données projet'!$B$13,Paramètres!$A$1:$I$89,3,0)*0.475*44/12</f>
        <v>1.1532632172087145</v>
      </c>
      <c r="DH124" s="21">
        <f>EXP(-LN(2)/2)*DH123+(1-EXP(-LN(2)/2))/(LN(2)/2)*DB124*DE124*VLOOKUP('Données projet'!$B$13,Paramètres!$A$1:$I$89,3,0)*0.475*44/12</f>
        <v>9.0360968386439761E-16</v>
      </c>
      <c r="DI124" s="22">
        <f t="shared" si="69"/>
        <v>21.524793333455602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255.00000000000006</v>
      </c>
      <c r="DP124" s="17">
        <f>DO124*VLOOKUP('Données projet'!$B$14,Paramètres!$A$1:$I$89,3,0)*VLOOKUP('Données projet'!$B$14,Paramètres!$A$1:$I$89,5,0)</f>
        <v>186.96600000000004</v>
      </c>
      <c r="DQ124" s="13">
        <f t="shared" si="97"/>
        <v>46.868551400324648</v>
      </c>
      <c r="DR124" s="20">
        <f t="shared" si="70"/>
        <v>407.26184368889881</v>
      </c>
      <c r="DS124" s="59">
        <f t="shared" si="71"/>
        <v>700.59517702223206</v>
      </c>
      <c r="DT124" s="59">
        <f ca="1">AVERAGE(OFFSET($DS$3,0,0,'Données projet'!$E$14+1,1))-AVERAGE(OFFSET($H$3,0,0,'Données projet'!$E$14+1,1))</f>
        <v>239.25212250019609</v>
      </c>
      <c r="DU124" s="59">
        <f t="shared" si="98"/>
        <v>213.58492101729695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689</v>
      </c>
      <c r="EK124" s="17">
        <f>EJ124*VLOOKUP('Données projet'!$B$15,Paramètres!$A$1:$I$89,3,0)*VLOOKUP('Données projet'!$B$15,Paramètres!$A$1:$I$89,5,0)</f>
        <v>412.02199999999999</v>
      </c>
      <c r="EL124" s="13">
        <f t="shared" si="99"/>
        <v>94.209724877926391</v>
      </c>
      <c r="EM124" s="20">
        <f t="shared" si="73"/>
        <v>881.686920829055</v>
      </c>
      <c r="EN124" s="59">
        <f t="shared" si="74"/>
        <v>1175.0202541623883</v>
      </c>
      <c r="EO124" s="59">
        <f ca="1">AVERAGE(OFFSET($EN$3,0,0,'Données projet'!$E$15+1,1))-AVERAGE(OFFSET($H$3,0,0,'Données projet'!$E$15+1,1))</f>
        <v>504.81063008331739</v>
      </c>
      <c r="EP124" s="59">
        <f t="shared" si="100"/>
        <v>441.82647565372287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43.453090738104152</v>
      </c>
      <c r="EW124" s="21">
        <f>EXP(-LN(2)/25)*EW123+(1-EXP(-LN(2)/25))/(LN(2)/25)*Calculateur!ER124*Calculateur!ET124*VLOOKUP('Données projet'!$B$15,Paramètres!$A$1:$I$89,3,0)*0.475*44/12</f>
        <v>4.7229460158571532</v>
      </c>
      <c r="EX124" s="21">
        <f>EXP(-LN(2)/2)*EX123+(1-EXP(-LN(2)/2))/(LN(2)/2)*ER124*EU124*VLOOKUP('Données projet'!$B$15,Paramètres!$A$1:$I$89,3,0)*0.475*44/12</f>
        <v>1.0523858223633976E-15</v>
      </c>
      <c r="EY124" s="22">
        <f t="shared" si="75"/>
        <v>48.176036753961306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541.99999999999989</v>
      </c>
      <c r="FF124" s="17">
        <f>FE124*VLOOKUP('Données projet'!$B$16,Paramètres!$A$1:$I$89,3,0)*VLOOKUP('Données projet'!$B$16,Paramètres!$A$1:$I$89,5,0)</f>
        <v>310.02399999999994</v>
      </c>
      <c r="FG124" s="13">
        <f t="shared" si="101"/>
        <v>73.27384230442388</v>
      </c>
      <c r="FH124" s="20">
        <f t="shared" si="76"/>
        <v>667.57707534687154</v>
      </c>
      <c r="FI124" s="59">
        <f t="shared" si="77"/>
        <v>960.91040868020491</v>
      </c>
      <c r="FJ124" s="59">
        <f ca="1">AVERAGE(OFFSET($FI$3,0,0,'Données projet'!$E$16+1,1))-AVERAGE(OFFSET($H$3,0,0,'Données projet'!$E$16+1,1))</f>
        <v>393.41577134252316</v>
      </c>
      <c r="FK124" s="59">
        <f t="shared" si="102"/>
        <v>255.54039659391475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50.881600278244896</v>
      </c>
      <c r="FR124" s="21">
        <f>EXP(-LN(2)/25)*FR123+(1-EXP(-LN(2)/25))/(LN(2)/25)*Calculateur!FM124*Calculateur!FO124*VLOOKUP('Données projet'!$B$16,Paramètres!$A$1:$I$89,3,0)*0.475*44/12</f>
        <v>2.1433500195744015</v>
      </c>
      <c r="FS124" s="21">
        <f>EXP(-LN(2)/2)*FS123+(1-EXP(-LN(2)/2))/(LN(2)/2)*FM124*FP124*VLOOKUP('Données projet'!$B$16,Paramètres!$A$1:$I$89,3,0)*0.475*44/12</f>
        <v>7.3213183592900567E-15</v>
      </c>
      <c r="FT124" s="22">
        <f t="shared" si="78"/>
        <v>53.024950297819302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853.00000000000011</v>
      </c>
      <c r="GA124" s="17">
        <f>FZ124*VLOOKUP('Données projet'!$B$17,Paramètres!$A$1:$I$89,3,0)*VLOOKUP('Données projet'!$B$17,Paramètres!$A$1:$I$89,5,0)</f>
        <v>399.20400000000006</v>
      </c>
      <c r="GB124" s="13">
        <f t="shared" si="103"/>
        <v>91.615269732888521</v>
      </c>
      <c r="GC124" s="20">
        <f t="shared" si="79"/>
        <v>854.8435614514475</v>
      </c>
      <c r="GD124" s="59">
        <f t="shared" si="80"/>
        <v>1148.1768947847809</v>
      </c>
      <c r="GE124" s="59">
        <f ca="1">AVERAGE(OFFSET($GD$3,0,0,'Données projet'!$E$17+1,1))-AVERAGE(OFFSET($H$3,0,0,'Données projet'!$E$17+1,1))</f>
        <v>488.67934252295686</v>
      </c>
      <c r="GF124" s="59">
        <f t="shared" si="104"/>
        <v>424.50324471331095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61.532517685574632</v>
      </c>
      <c r="GM124" s="21">
        <f>EXP(-LN(2)/25)*GM123+(1-EXP(-LN(2)/25))/(LN(2)/25)*Calculateur!GH124*Calculateur!GJ124*VLOOKUP('Données projet'!$B$17,Paramètres!$A$1:$I$89,3,0)*0.475*44/12</f>
        <v>3.9294750358864041</v>
      </c>
      <c r="GN124" s="21">
        <f>EXP(-LN(2)/2)*GN123+(1-EXP(-LN(2)/2))/(LN(2)/2)*GH124*GK124*VLOOKUP('Données projet'!$B$17,Paramètres!$A$1:$I$89,3,0)*0.475*44/12</f>
        <v>1.6306572709327848E-14</v>
      </c>
      <c r="GO124" s="21">
        <f t="shared" si="81"/>
        <v>65.461992721461044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789</v>
      </c>
      <c r="GV124" s="17">
        <f>GU124*VLOOKUP('Données projet'!$B$18,Paramètres!$A$1:$I$89,3,0)*VLOOKUP('Données projet'!$B$18,Paramètres!$A$1:$I$89,5,0)</f>
        <v>379.50900000000001</v>
      </c>
      <c r="GW124" s="13">
        <f t="shared" si="105"/>
        <v>87.609801106074272</v>
      </c>
      <c r="GX124" s="20">
        <f t="shared" si="82"/>
        <v>813.56524525974601</v>
      </c>
      <c r="GY124" s="59">
        <f t="shared" si="83"/>
        <v>1106.8985785930793</v>
      </c>
      <c r="GZ124" s="59">
        <f ca="1">AVERAGE(OFFSET($GY$3,0,0,'Données projet'!$E$18+1,1))-AVERAGE(OFFSET($H$3,0,0,'Données projet'!$E$18+1,1))</f>
        <v>458.80976193248841</v>
      </c>
      <c r="HA124" s="59">
        <f t="shared" si="106"/>
        <v>396.07405370178759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62.306464725638456</v>
      </c>
      <c r="HH124" s="21">
        <f>EXP(-LN(2)/25)*HH123+(1-EXP(-LN(2)/25))/(LN(2)/25)*Calculateur!HC124*Calculateur!HE124*VLOOKUP('Données projet'!$B$18,Paramètres!$A$1:$I$89,3,0)*0.475*44/12</f>
        <v>3.6714792001968961</v>
      </c>
      <c r="HI124" s="21">
        <f>EXP(-LN(2)/2)*HI123+(1-EXP(-LN(2)/2))/(LN(2)/2)*HC124*HF124*VLOOKUP('Données projet'!$B$18,Paramètres!$A$1:$I$89,3,0)*0.475*44/12</f>
        <v>7.5246883137147861E-15</v>
      </c>
      <c r="HJ124" s="22">
        <f t="shared" si="84"/>
        <v>65.977943925835362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267</v>
      </c>
      <c r="O125" s="13">
        <f>N125*VLOOKUP('Données projet'!$B$9,Paramètres!$A$1:$I$89,3,0)*VLOOKUP('Données projet'!$B$9,Paramètres!$A$1:$I$89,5,0)</f>
        <v>241.58159999999998</v>
      </c>
      <c r="P125" s="13">
        <f t="shared" si="87"/>
        <v>58.779689232021951</v>
      </c>
      <c r="Q125" s="20">
        <f t="shared" si="107"/>
        <v>523.12924541243819</v>
      </c>
      <c r="R125" s="59">
        <f t="shared" si="55"/>
        <v>816.46257874577145</v>
      </c>
      <c r="S125" s="59">
        <f ca="1">AVERAGE(OFFSET($R$3,0,0,'Données projet'!$E$9+1,1))-AVERAGE(OFFSET($H$3,0,0,'Données projet'!$E$9+1,1))</f>
        <v>364.3481978218424</v>
      </c>
      <c r="T125" s="59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65.801829512212024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65.801829512212024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636.99999999999977</v>
      </c>
      <c r="AJ125" s="13">
        <f>AI125*VLOOKUP('Données projet'!$B$10,Paramètres!$A$1:$I$89,3,0)*VLOOKUP('Données projet'!$B$10,Paramètres!$A$1:$I$89,5,0)</f>
        <v>356.08299999999991</v>
      </c>
      <c r="AK125" s="13">
        <f t="shared" si="89"/>
        <v>82.813805255716545</v>
      </c>
      <c r="AL125" s="20">
        <f t="shared" si="58"/>
        <v>764.41193582037283</v>
      </c>
      <c r="AM125" s="59">
        <f t="shared" si="59"/>
        <v>1057.7452691537062</v>
      </c>
      <c r="AN125" s="59">
        <f ca="1">AVERAGE(OFFSET($AM$3,0,0,'Données projet'!$E$10+1,1))-AVERAGE(OFFSET($H$3,0,0,'Données projet'!$E$10+1,1))</f>
        <v>443.34220761968419</v>
      </c>
      <c r="AO125" s="59">
        <f t="shared" si="90"/>
        <v>546.58234447298014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28.627110985404087</v>
      </c>
      <c r="AV125" s="21">
        <f>EXP(-LN(2)/25)*AV124+(1-EXP(-LN(2)/25))/(LN(2)/25)*Calculateur!AQ125*Calculateur!AS125*VLOOKUP('Données projet'!$B$10,Paramètres!$A$1:$I$89,3,0)*0.475*44/12</f>
        <v>1.7115629289602912</v>
      </c>
      <c r="AW125" s="21">
        <f>EXP(-LN(2)/2)*AW124+(1-EXP(-LN(2)/2))/(LN(2)/2)*AQ125*AT125*VLOOKUP('Données projet'!$B$10,Paramètres!$A$1:$I$89,3,0)*0.475*44/12</f>
        <v>8.585909712258341E-14</v>
      </c>
      <c r="AX125" s="21">
        <f t="shared" si="60"/>
        <v>30.338673914364463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403.99999999999989</v>
      </c>
      <c r="BE125" s="13">
        <f>BD125*VLOOKUP('Données projet'!$B$11,Paramètres!$A$1:$I$89,3,0)*VLOOKUP('Données projet'!$B$11,Paramètres!$A$1:$I$89,5,0)</f>
        <v>346.63199999999995</v>
      </c>
      <c r="BF125" s="13">
        <f t="shared" si="91"/>
        <v>80.868615263336864</v>
      </c>
      <c r="BG125" s="20">
        <f t="shared" si="61"/>
        <v>744.56357158364483</v>
      </c>
      <c r="BH125" s="59">
        <f t="shared" si="62"/>
        <v>1037.8969049169782</v>
      </c>
      <c r="BI125" s="59">
        <f ca="1">AVERAGE(OFFSET($BH$3,0,0,'Données projet'!$E$11+1,1))-AVERAGE(OFFSET($H$3,0,0,'Données projet'!$E$11+1,1))</f>
        <v>447.15627913956871</v>
      </c>
      <c r="BJ125" s="59">
        <f t="shared" si="92"/>
        <v>256.77417912163997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96.074009122902737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96.074009122902737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245.99999999999994</v>
      </c>
      <c r="BZ125" s="13">
        <f>BY125*VLOOKUP('Données projet'!$B$12,Paramètres!$A$1:$I$89,3,0)*VLOOKUP('Données projet'!$B$12,Paramètres!$A$1:$I$89,5,0)</f>
        <v>234.09359999999998</v>
      </c>
      <c r="CA125" s="13">
        <f t="shared" si="93"/>
        <v>57.166902703920208</v>
      </c>
      <c r="CB125" s="20">
        <f t="shared" si="64"/>
        <v>507.27870887599425</v>
      </c>
      <c r="CC125" s="59">
        <f t="shared" si="65"/>
        <v>800.61204220932757</v>
      </c>
      <c r="CD125" s="59">
        <f ca="1">AVERAGE(OFFSET($CC$3,0,0,'Données projet'!$E$12+1,1))-AVERAGE(OFFSET($H$3,0,0,'Données projet'!$E$12+1,1))</f>
        <v>448.94764480536713</v>
      </c>
      <c r="CE125" s="59">
        <f t="shared" si="94"/>
        <v>469.26760321719695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67.884148941208167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67.884148941208167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187.80389738728508</v>
      </c>
      <c r="CZ125" s="59">
        <f t="shared" si="96"/>
        <v>439.28159165815265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19.972056836073751</v>
      </c>
      <c r="DG125" s="21">
        <f>EXP(-LN(2)/25)*DG124+(1-EXP(-LN(2)/25))/(LN(2)/25)*Calculateur!DB125*Calculateur!DD125*VLOOKUP('Données projet'!$B$13,Paramètres!$A$1:$I$89,3,0)*0.475*44/12</f>
        <v>1.1217271738866654</v>
      </c>
      <c r="DH125" s="21">
        <f>EXP(-LN(2)/2)*DH124+(1-EXP(-LN(2)/2))/(LN(2)/2)*DB125*DE125*VLOOKUP('Données projet'!$B$13,Paramètres!$A$1:$I$89,3,0)*0.475*44/12</f>
        <v>6.3894853500634799E-16</v>
      </c>
      <c r="DI125" s="22">
        <f t="shared" si="69"/>
        <v>21.093784009960416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255.00000000000006</v>
      </c>
      <c r="DP125" s="17">
        <f>DO125*VLOOKUP('Données projet'!$B$14,Paramètres!$A$1:$I$89,3,0)*VLOOKUP('Données projet'!$B$14,Paramètres!$A$1:$I$89,5,0)</f>
        <v>186.96600000000004</v>
      </c>
      <c r="DQ125" s="13">
        <f t="shared" si="97"/>
        <v>46.868551400324648</v>
      </c>
      <c r="DR125" s="20">
        <f t="shared" si="70"/>
        <v>407.26184368889881</v>
      </c>
      <c r="DS125" s="59">
        <f t="shared" si="71"/>
        <v>700.59517702223206</v>
      </c>
      <c r="DT125" s="59">
        <f ca="1">AVERAGE(OFFSET($DS$3,0,0,'Données projet'!$E$14+1,1))-AVERAGE(OFFSET($H$3,0,0,'Données projet'!$E$14+1,1))</f>
        <v>239.25212250019609</v>
      </c>
      <c r="DU125" s="59">
        <f t="shared" si="98"/>
        <v>213.58492101729695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689</v>
      </c>
      <c r="EK125" s="17">
        <f>EJ125*VLOOKUP('Données projet'!$B$15,Paramètres!$A$1:$I$89,3,0)*VLOOKUP('Données projet'!$B$15,Paramètres!$A$1:$I$89,5,0)</f>
        <v>412.02199999999999</v>
      </c>
      <c r="EL125" s="13">
        <f t="shared" si="99"/>
        <v>94.209724877926391</v>
      </c>
      <c r="EM125" s="20">
        <f t="shared" si="73"/>
        <v>881.686920829055</v>
      </c>
      <c r="EN125" s="59">
        <f t="shared" si="74"/>
        <v>1175.0202541623883</v>
      </c>
      <c r="EO125" s="59">
        <f ca="1">AVERAGE(OFFSET($EN$3,0,0,'Données projet'!$E$15+1,1))-AVERAGE(OFFSET($H$3,0,0,'Données projet'!$E$15+1,1))</f>
        <v>504.81063008331739</v>
      </c>
      <c r="EP125" s="59">
        <f t="shared" si="100"/>
        <v>441.82647565372287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42.601002132498252</v>
      </c>
      <c r="EW125" s="21">
        <f>EXP(-LN(2)/25)*EW124+(1-EXP(-LN(2)/25))/(LN(2)/25)*Calculateur!ER125*Calculateur!ET125*VLOOKUP('Données projet'!$B$15,Paramètres!$A$1:$I$89,3,0)*0.475*44/12</f>
        <v>4.5937968086846031</v>
      </c>
      <c r="EX125" s="21">
        <f>EXP(-LN(2)/2)*EX124+(1-EXP(-LN(2)/2))/(LN(2)/2)*ER125*EU125*VLOOKUP('Données projet'!$B$15,Paramètres!$A$1:$I$89,3,0)*0.475*44/12</f>
        <v>7.4414915141773986E-16</v>
      </c>
      <c r="EY125" s="22">
        <f t="shared" si="75"/>
        <v>47.194798941182853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541.99999999999989</v>
      </c>
      <c r="FF125" s="17">
        <f>FE125*VLOOKUP('Données projet'!$B$16,Paramètres!$A$1:$I$89,3,0)*VLOOKUP('Données projet'!$B$16,Paramètres!$A$1:$I$89,5,0)</f>
        <v>310.02399999999994</v>
      </c>
      <c r="FG125" s="13">
        <f t="shared" si="101"/>
        <v>73.27384230442388</v>
      </c>
      <c r="FH125" s="20">
        <f t="shared" si="76"/>
        <v>667.57707534687154</v>
      </c>
      <c r="FI125" s="59">
        <f t="shared" si="77"/>
        <v>960.91040868020491</v>
      </c>
      <c r="FJ125" s="59">
        <f ca="1">AVERAGE(OFFSET($FI$3,0,0,'Données projet'!$E$16+1,1))-AVERAGE(OFFSET($H$3,0,0,'Données projet'!$E$16+1,1))</f>
        <v>393.41577134252316</v>
      </c>
      <c r="FK125" s="59">
        <f t="shared" si="102"/>
        <v>255.54039659391475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49.883843131500264</v>
      </c>
      <c r="FR125" s="21">
        <f>EXP(-LN(2)/25)*FR124+(1-EXP(-LN(2)/25))/(LN(2)/25)*Calculateur!FM125*Calculateur!FO125*VLOOKUP('Données projet'!$B$16,Paramètres!$A$1:$I$89,3,0)*0.475*44/12</f>
        <v>2.0847400005752608</v>
      </c>
      <c r="FS125" s="21">
        <f>EXP(-LN(2)/2)*FS124+(1-EXP(-LN(2)/2))/(LN(2)/2)*FM125*FP125*VLOOKUP('Données projet'!$B$16,Paramètres!$A$1:$I$89,3,0)*0.475*44/12</f>
        <v>5.1769538590795673E-15</v>
      </c>
      <c r="FT125" s="22">
        <f t="shared" si="78"/>
        <v>51.96858313207553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853.00000000000011</v>
      </c>
      <c r="GA125" s="17">
        <f>FZ125*VLOOKUP('Données projet'!$B$17,Paramètres!$A$1:$I$89,3,0)*VLOOKUP('Données projet'!$B$17,Paramètres!$A$1:$I$89,5,0)</f>
        <v>399.20400000000006</v>
      </c>
      <c r="GB125" s="13">
        <f t="shared" si="103"/>
        <v>91.615269732888521</v>
      </c>
      <c r="GC125" s="20">
        <f t="shared" si="79"/>
        <v>854.8435614514475</v>
      </c>
      <c r="GD125" s="59">
        <f t="shared" si="80"/>
        <v>1148.1768947847809</v>
      </c>
      <c r="GE125" s="59">
        <f ca="1">AVERAGE(OFFSET($GD$3,0,0,'Données projet'!$E$17+1,1))-AVERAGE(OFFSET($H$3,0,0,'Données projet'!$E$17+1,1))</f>
        <v>488.67934252295686</v>
      </c>
      <c r="GF125" s="59">
        <f t="shared" si="104"/>
        <v>424.50324471331095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60.325902544890411</v>
      </c>
      <c r="GM125" s="21">
        <f>EXP(-LN(2)/25)*GM124+(1-EXP(-LN(2)/25))/(LN(2)/25)*Calculateur!GH125*Calculateur!GJ125*VLOOKUP('Données projet'!$B$17,Paramètres!$A$1:$I$89,3,0)*0.475*44/12</f>
        <v>3.8220233343879793</v>
      </c>
      <c r="GN125" s="21">
        <f>EXP(-LN(2)/2)*GN124+(1-EXP(-LN(2)/2))/(LN(2)/2)*GH125*GK125*VLOOKUP('Données projet'!$B$17,Paramètres!$A$1:$I$89,3,0)*0.475*44/12</f>
        <v>1.1530488140677215E-14</v>
      </c>
      <c r="GO125" s="21">
        <f t="shared" si="81"/>
        <v>64.147925879278404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789</v>
      </c>
      <c r="GV125" s="17">
        <f>GU125*VLOOKUP('Données projet'!$B$18,Paramètres!$A$1:$I$89,3,0)*VLOOKUP('Données projet'!$B$18,Paramètres!$A$1:$I$89,5,0)</f>
        <v>379.50900000000001</v>
      </c>
      <c r="GW125" s="13">
        <f t="shared" si="105"/>
        <v>87.609801106074272</v>
      </c>
      <c r="GX125" s="20">
        <f t="shared" si="82"/>
        <v>813.56524525974601</v>
      </c>
      <c r="GY125" s="59">
        <f t="shared" si="83"/>
        <v>1106.8985785930793</v>
      </c>
      <c r="GZ125" s="59">
        <f ca="1">AVERAGE(OFFSET($GY$3,0,0,'Données projet'!$E$18+1,1))-AVERAGE(OFFSET($H$3,0,0,'Données projet'!$E$18+1,1))</f>
        <v>458.80976193248841</v>
      </c>
      <c r="HA125" s="59">
        <f t="shared" si="106"/>
        <v>396.07405370178759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61.084672955559668</v>
      </c>
      <c r="HH125" s="21">
        <f>EXP(-LN(2)/25)*HH124+(1-EXP(-LN(2)/25))/(LN(2)/25)*Calculateur!HC125*Calculateur!HE125*VLOOKUP('Données projet'!$B$18,Paramètres!$A$1:$I$89,3,0)*0.475*44/12</f>
        <v>3.5710824083928121</v>
      </c>
      <c r="HI125" s="21">
        <f>EXP(-LN(2)/2)*HI124+(1-EXP(-LN(2)/2))/(LN(2)/2)*HC125*HF125*VLOOKUP('Données projet'!$B$18,Paramètres!$A$1:$I$89,3,0)*0.475*44/12</f>
        <v>5.3207581329428926E-15</v>
      </c>
      <c r="HJ125" s="22">
        <f t="shared" si="84"/>
        <v>64.65575536395248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267</v>
      </c>
      <c r="O126" s="13">
        <f>N126*VLOOKUP('Données projet'!$B$9,Paramètres!$A$1:$I$89,3,0)*VLOOKUP('Données projet'!$B$9,Paramètres!$A$1:$I$89,5,0)</f>
        <v>241.58159999999998</v>
      </c>
      <c r="P126" s="13">
        <f t="shared" si="87"/>
        <v>58.779689232021951</v>
      </c>
      <c r="Q126" s="20">
        <f t="shared" si="107"/>
        <v>523.12924541243819</v>
      </c>
      <c r="R126" s="59">
        <f t="shared" si="55"/>
        <v>816.46257874577145</v>
      </c>
      <c r="S126" s="59">
        <f ca="1">AVERAGE(OFFSET($R$3,0,0,'Données projet'!$E$9+1,1))-AVERAGE(OFFSET($H$3,0,0,'Données projet'!$E$9+1,1))</f>
        <v>364.3481978218424</v>
      </c>
      <c r="T126" s="59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64.511495770630532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64.511495770630532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636.99999999999977</v>
      </c>
      <c r="AJ126" s="13">
        <f>AI126*VLOOKUP('Données projet'!$B$10,Paramètres!$A$1:$I$89,3,0)*VLOOKUP('Données projet'!$B$10,Paramètres!$A$1:$I$89,5,0)</f>
        <v>356.08299999999991</v>
      </c>
      <c r="AK126" s="13">
        <f t="shared" si="89"/>
        <v>82.813805255716545</v>
      </c>
      <c r="AL126" s="20">
        <f t="shared" si="58"/>
        <v>764.41193582037283</v>
      </c>
      <c r="AM126" s="59">
        <f t="shared" si="59"/>
        <v>1057.7452691537062</v>
      </c>
      <c r="AN126" s="59">
        <f ca="1">AVERAGE(OFFSET($AM$3,0,0,'Données projet'!$E$10+1,1))-AVERAGE(OFFSET($H$3,0,0,'Données projet'!$E$10+1,1))</f>
        <v>443.34220761968419</v>
      </c>
      <c r="AO126" s="59">
        <f t="shared" si="90"/>
        <v>546.58234447298014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28.065750799793904</v>
      </c>
      <c r="AV126" s="21">
        <f>EXP(-LN(2)/25)*AV125+(1-EXP(-LN(2)/25))/(LN(2)/25)*Calculateur!AQ126*Calculateur!AS126*VLOOKUP('Données projet'!$B$10,Paramètres!$A$1:$I$89,3,0)*0.475*44/12</f>
        <v>1.6647601506606895</v>
      </c>
      <c r="AW126" s="21">
        <f>EXP(-LN(2)/2)*AW125+(1-EXP(-LN(2)/2))/(LN(2)/2)*AQ126*AT126*VLOOKUP('Données projet'!$B$10,Paramètres!$A$1:$I$89,3,0)*0.475*44/12</f>
        <v>6.0711549801933119E-14</v>
      </c>
      <c r="AX126" s="21">
        <f t="shared" si="60"/>
        <v>29.730510950454654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403.99999999999989</v>
      </c>
      <c r="BE126" s="13">
        <f>BD126*VLOOKUP('Données projet'!$B$11,Paramètres!$A$1:$I$89,3,0)*VLOOKUP('Données projet'!$B$11,Paramètres!$A$1:$I$89,5,0)</f>
        <v>346.63199999999995</v>
      </c>
      <c r="BF126" s="13">
        <f t="shared" si="91"/>
        <v>80.868615263336864</v>
      </c>
      <c r="BG126" s="20">
        <f t="shared" si="61"/>
        <v>744.56357158364483</v>
      </c>
      <c r="BH126" s="59">
        <f t="shared" si="62"/>
        <v>1037.8969049169782</v>
      </c>
      <c r="BI126" s="59">
        <f ca="1">AVERAGE(OFFSET($BH$3,0,0,'Données projet'!$E$11+1,1))-AVERAGE(OFFSET($H$3,0,0,'Données projet'!$E$11+1,1))</f>
        <v>447.15627913956871</v>
      </c>
      <c r="BJ126" s="59">
        <f t="shared" si="92"/>
        <v>256.77417912163997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94.190056403361979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94.190056403361979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245.99999999999994</v>
      </c>
      <c r="BZ126" s="13">
        <f>BY126*VLOOKUP('Données projet'!$B$12,Paramètres!$A$1:$I$89,3,0)*VLOOKUP('Données projet'!$B$12,Paramètres!$A$1:$I$89,5,0)</f>
        <v>234.09359999999998</v>
      </c>
      <c r="CA126" s="13">
        <f t="shared" si="93"/>
        <v>57.166902703920208</v>
      </c>
      <c r="CB126" s="20">
        <f t="shared" si="64"/>
        <v>507.27870887599425</v>
      </c>
      <c r="CC126" s="59">
        <f t="shared" si="65"/>
        <v>800.61204220932757</v>
      </c>
      <c r="CD126" s="59">
        <f ca="1">AVERAGE(OFFSET($CC$3,0,0,'Données projet'!$E$12+1,1))-AVERAGE(OFFSET($H$3,0,0,'Données projet'!$E$12+1,1))</f>
        <v>448.94764480536713</v>
      </c>
      <c r="CE126" s="59">
        <f t="shared" si="94"/>
        <v>469.26760321719695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66.552982185713503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66.552982185713503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187.80389738728508</v>
      </c>
      <c r="CZ126" s="59">
        <f t="shared" si="96"/>
        <v>439.28159165815265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19.580416983270165</v>
      </c>
      <c r="DG126" s="21">
        <f>EXP(-LN(2)/25)*DG125+(1-EXP(-LN(2)/25))/(LN(2)/25)*Calculateur!DB126*Calculateur!DD126*VLOOKUP('Données projet'!$B$13,Paramètres!$A$1:$I$89,3,0)*0.475*44/12</f>
        <v>1.0910534853276663</v>
      </c>
      <c r="DH126" s="21">
        <f>EXP(-LN(2)/2)*DH125+(1-EXP(-LN(2)/2))/(LN(2)/2)*DB126*DE126*VLOOKUP('Données projet'!$B$13,Paramètres!$A$1:$I$89,3,0)*0.475*44/12</f>
        <v>4.5180484193219881E-16</v>
      </c>
      <c r="DI126" s="22">
        <f t="shared" si="69"/>
        <v>20.671470468597832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255.00000000000006</v>
      </c>
      <c r="DP126" s="17">
        <f>DO126*VLOOKUP('Données projet'!$B$14,Paramètres!$A$1:$I$89,3,0)*VLOOKUP('Données projet'!$B$14,Paramètres!$A$1:$I$89,5,0)</f>
        <v>186.96600000000004</v>
      </c>
      <c r="DQ126" s="13">
        <f t="shared" si="97"/>
        <v>46.868551400324648</v>
      </c>
      <c r="DR126" s="20">
        <f t="shared" si="70"/>
        <v>407.26184368889881</v>
      </c>
      <c r="DS126" s="59">
        <f t="shared" si="71"/>
        <v>700.59517702223206</v>
      </c>
      <c r="DT126" s="59">
        <f ca="1">AVERAGE(OFFSET($DS$3,0,0,'Données projet'!$E$14+1,1))-AVERAGE(OFFSET($H$3,0,0,'Données projet'!$E$14+1,1))</f>
        <v>239.25212250019609</v>
      </c>
      <c r="DU126" s="59">
        <f t="shared" si="98"/>
        <v>213.58492101729695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689</v>
      </c>
      <c r="EK126" s="17">
        <f>EJ126*VLOOKUP('Données projet'!$B$15,Paramètres!$A$1:$I$89,3,0)*VLOOKUP('Données projet'!$B$15,Paramètres!$A$1:$I$89,5,0)</f>
        <v>412.02199999999999</v>
      </c>
      <c r="EL126" s="13">
        <f t="shared" si="99"/>
        <v>94.209724877926391</v>
      </c>
      <c r="EM126" s="20">
        <f t="shared" si="73"/>
        <v>881.686920829055</v>
      </c>
      <c r="EN126" s="59">
        <f t="shared" si="74"/>
        <v>1175.0202541623883</v>
      </c>
      <c r="EO126" s="59">
        <f ca="1">AVERAGE(OFFSET($EN$3,0,0,'Données projet'!$E$15+1,1))-AVERAGE(OFFSET($H$3,0,0,'Données projet'!$E$15+1,1))</f>
        <v>504.81063008331739</v>
      </c>
      <c r="EP126" s="59">
        <f t="shared" si="100"/>
        <v>441.82647565372287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41.765622464725553</v>
      </c>
      <c r="EW126" s="21">
        <f>EXP(-LN(2)/25)*EW125+(1-EXP(-LN(2)/25))/(LN(2)/25)*Calculateur!ER126*Calculateur!ET126*VLOOKUP('Données projet'!$B$15,Paramètres!$A$1:$I$89,3,0)*0.475*44/12</f>
        <v>4.4681791933738477</v>
      </c>
      <c r="EX126" s="21">
        <f>EXP(-LN(2)/2)*EX125+(1-EXP(-LN(2)/2))/(LN(2)/2)*ER126*EU126*VLOOKUP('Données projet'!$B$15,Paramètres!$A$1:$I$89,3,0)*0.475*44/12</f>
        <v>5.2619291118169879E-16</v>
      </c>
      <c r="EY126" s="22">
        <f t="shared" si="75"/>
        <v>46.233801658099402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541.99999999999989</v>
      </c>
      <c r="FF126" s="17">
        <f>FE126*VLOOKUP('Données projet'!$B$16,Paramètres!$A$1:$I$89,3,0)*VLOOKUP('Données projet'!$B$16,Paramètres!$A$1:$I$89,5,0)</f>
        <v>310.02399999999994</v>
      </c>
      <c r="FG126" s="13">
        <f t="shared" si="101"/>
        <v>73.27384230442388</v>
      </c>
      <c r="FH126" s="20">
        <f t="shared" si="76"/>
        <v>667.57707534687154</v>
      </c>
      <c r="FI126" s="59">
        <f t="shared" si="77"/>
        <v>960.91040868020491</v>
      </c>
      <c r="FJ126" s="59">
        <f ca="1">AVERAGE(OFFSET($FI$3,0,0,'Données projet'!$E$16+1,1))-AVERAGE(OFFSET($H$3,0,0,'Données projet'!$E$16+1,1))</f>
        <v>393.41577134252316</v>
      </c>
      <c r="FK126" s="59">
        <f t="shared" si="102"/>
        <v>255.54039659391475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48.905651393831519</v>
      </c>
      <c r="FR126" s="21">
        <f>EXP(-LN(2)/25)*FR125+(1-EXP(-LN(2)/25))/(LN(2)/25)*Calculateur!FM126*Calculateur!FO126*VLOOKUP('Données projet'!$B$16,Paramètres!$A$1:$I$89,3,0)*0.475*44/12</f>
        <v>2.0277326756278184</v>
      </c>
      <c r="FS126" s="21">
        <f>EXP(-LN(2)/2)*FS125+(1-EXP(-LN(2)/2))/(LN(2)/2)*FM126*FP126*VLOOKUP('Données projet'!$B$16,Paramètres!$A$1:$I$89,3,0)*0.475*44/12</f>
        <v>3.6606591796450283E-15</v>
      </c>
      <c r="FT126" s="22">
        <f t="shared" si="78"/>
        <v>50.933384069459343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853.00000000000011</v>
      </c>
      <c r="GA126" s="17">
        <f>FZ126*VLOOKUP('Données projet'!$B$17,Paramètres!$A$1:$I$89,3,0)*VLOOKUP('Données projet'!$B$17,Paramètres!$A$1:$I$89,5,0)</f>
        <v>399.20400000000006</v>
      </c>
      <c r="GB126" s="13">
        <f t="shared" si="103"/>
        <v>91.615269732888521</v>
      </c>
      <c r="GC126" s="20">
        <f t="shared" si="79"/>
        <v>854.8435614514475</v>
      </c>
      <c r="GD126" s="59">
        <f t="shared" si="80"/>
        <v>1148.1768947847809</v>
      </c>
      <c r="GE126" s="59">
        <f ca="1">AVERAGE(OFFSET($GD$3,0,0,'Données projet'!$E$17+1,1))-AVERAGE(OFFSET($H$3,0,0,'Données projet'!$E$17+1,1))</f>
        <v>488.67934252295686</v>
      </c>
      <c r="GF126" s="59">
        <f t="shared" si="104"/>
        <v>424.50324471331095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59.142948391152444</v>
      </c>
      <c r="GM126" s="21">
        <f>EXP(-LN(2)/25)*GM125+(1-EXP(-LN(2)/25))/(LN(2)/25)*Calculateur!GH126*Calculateur!GJ126*VLOOKUP('Données projet'!$B$17,Paramètres!$A$1:$I$89,3,0)*0.475*44/12</f>
        <v>3.7175099053176681</v>
      </c>
      <c r="GN126" s="21">
        <f>EXP(-LN(2)/2)*GN125+(1-EXP(-LN(2)/2))/(LN(2)/2)*GH126*GK126*VLOOKUP('Données projet'!$B$17,Paramètres!$A$1:$I$89,3,0)*0.475*44/12</f>
        <v>8.1532863546639242E-15</v>
      </c>
      <c r="GO126" s="21">
        <f t="shared" si="81"/>
        <v>62.860458296470121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789</v>
      </c>
      <c r="GV126" s="17">
        <f>GU126*VLOOKUP('Données projet'!$B$18,Paramètres!$A$1:$I$89,3,0)*VLOOKUP('Données projet'!$B$18,Paramètres!$A$1:$I$89,5,0)</f>
        <v>379.50900000000001</v>
      </c>
      <c r="GW126" s="13">
        <f t="shared" si="105"/>
        <v>87.609801106074272</v>
      </c>
      <c r="GX126" s="20">
        <f t="shared" si="82"/>
        <v>813.56524525974601</v>
      </c>
      <c r="GY126" s="59">
        <f t="shared" si="83"/>
        <v>1106.8985785930793</v>
      </c>
      <c r="GZ126" s="59">
        <f ca="1">AVERAGE(OFFSET($GY$3,0,0,'Données projet'!$E$18+1,1))-AVERAGE(OFFSET($H$3,0,0,'Données projet'!$E$18+1,1))</f>
        <v>458.80976193248841</v>
      </c>
      <c r="HA126" s="59">
        <f t="shared" si="106"/>
        <v>396.07405370178759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59.886839776872726</v>
      </c>
      <c r="HH126" s="21">
        <f>EXP(-LN(2)/25)*HH125+(1-EXP(-LN(2)/25))/(LN(2)/25)*Calculateur!HC126*Calculateur!HE126*VLOOKUP('Données projet'!$B$18,Paramètres!$A$1:$I$89,3,0)*0.475*44/12</f>
        <v>3.4734309721402488</v>
      </c>
      <c r="HI126" s="21">
        <f>EXP(-LN(2)/2)*HI125+(1-EXP(-LN(2)/2))/(LN(2)/2)*HC126*HF126*VLOOKUP('Données projet'!$B$18,Paramètres!$A$1:$I$89,3,0)*0.475*44/12</f>
        <v>3.7623441568573931E-15</v>
      </c>
      <c r="HJ126" s="22">
        <f t="shared" si="84"/>
        <v>63.360270749012983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267</v>
      </c>
      <c r="O127" s="13">
        <f>N127*VLOOKUP('Données projet'!$B$9,Paramètres!$A$1:$I$89,3,0)*VLOOKUP('Données projet'!$B$9,Paramètres!$A$1:$I$89,5,0)</f>
        <v>241.58159999999998</v>
      </c>
      <c r="P127" s="13">
        <f t="shared" si="87"/>
        <v>58.779689232021951</v>
      </c>
      <c r="Q127" s="20">
        <f t="shared" si="107"/>
        <v>523.12924541243819</v>
      </c>
      <c r="R127" s="59">
        <f t="shared" si="55"/>
        <v>816.46257874577145</v>
      </c>
      <c r="S127" s="59">
        <f ca="1">AVERAGE(OFFSET($R$3,0,0,'Données projet'!$E$9+1,1))-AVERAGE(OFFSET($H$3,0,0,'Données projet'!$E$9+1,1))</f>
        <v>364.3481978218424</v>
      </c>
      <c r="T127" s="59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63.246464686695582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63.246464686695582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636.99999999999977</v>
      </c>
      <c r="AJ127" s="13">
        <f>AI127*VLOOKUP('Données projet'!$B$10,Paramètres!$A$1:$I$89,3,0)*VLOOKUP('Données projet'!$B$10,Paramètres!$A$1:$I$89,5,0)</f>
        <v>356.08299999999991</v>
      </c>
      <c r="AK127" s="13">
        <f t="shared" si="89"/>
        <v>82.813805255716545</v>
      </c>
      <c r="AL127" s="20">
        <f t="shared" si="58"/>
        <v>764.41193582037283</v>
      </c>
      <c r="AM127" s="59">
        <f t="shared" si="59"/>
        <v>1057.7452691537062</v>
      </c>
      <c r="AN127" s="59">
        <f ca="1">AVERAGE(OFFSET($AM$3,0,0,'Données projet'!$E$10+1,1))-AVERAGE(OFFSET($H$3,0,0,'Données projet'!$E$10+1,1))</f>
        <v>443.34220761968419</v>
      </c>
      <c r="AO127" s="59">
        <f t="shared" si="90"/>
        <v>546.58234447298014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27.515398545027629</v>
      </c>
      <c r="AV127" s="21">
        <f>EXP(-LN(2)/25)*AV126+(1-EXP(-LN(2)/25))/(LN(2)/25)*Calculateur!AQ127*Calculateur!AS127*VLOOKUP('Données projet'!$B$10,Paramètres!$A$1:$I$89,3,0)*0.475*44/12</f>
        <v>1.6192371967949415</v>
      </c>
      <c r="AW127" s="21">
        <f>EXP(-LN(2)/2)*AW126+(1-EXP(-LN(2)/2))/(LN(2)/2)*AQ127*AT127*VLOOKUP('Données projet'!$B$10,Paramètres!$A$1:$I$89,3,0)*0.475*44/12</f>
        <v>4.2929548561291705E-14</v>
      </c>
      <c r="AX127" s="21">
        <f t="shared" si="60"/>
        <v>29.134635741822613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403.99999999999989</v>
      </c>
      <c r="BE127" s="13">
        <f>BD127*VLOOKUP('Données projet'!$B$11,Paramètres!$A$1:$I$89,3,0)*VLOOKUP('Données projet'!$B$11,Paramètres!$A$1:$I$89,5,0)</f>
        <v>346.63199999999995</v>
      </c>
      <c r="BF127" s="13">
        <f t="shared" si="91"/>
        <v>80.868615263336864</v>
      </c>
      <c r="BG127" s="20">
        <f t="shared" si="61"/>
        <v>744.56357158364483</v>
      </c>
      <c r="BH127" s="59">
        <f t="shared" si="62"/>
        <v>1037.8969049169782</v>
      </c>
      <c r="BI127" s="59">
        <f ca="1">AVERAGE(OFFSET($BH$3,0,0,'Données projet'!$E$11+1,1))-AVERAGE(OFFSET($H$3,0,0,'Données projet'!$E$11+1,1))</f>
        <v>447.15627913956871</v>
      </c>
      <c r="BJ127" s="59">
        <f t="shared" si="92"/>
        <v>256.77417912163997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92.343046847553708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92.343046847553708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245.99999999999994</v>
      </c>
      <c r="BZ127" s="13">
        <f>BY127*VLOOKUP('Données projet'!$B$12,Paramètres!$A$1:$I$89,3,0)*VLOOKUP('Données projet'!$B$12,Paramètres!$A$1:$I$89,5,0)</f>
        <v>234.09359999999998</v>
      </c>
      <c r="CA127" s="13">
        <f t="shared" si="93"/>
        <v>57.166902703920208</v>
      </c>
      <c r="CB127" s="20">
        <f t="shared" si="64"/>
        <v>507.27870887599425</v>
      </c>
      <c r="CC127" s="59">
        <f t="shared" si="65"/>
        <v>800.61204220932757</v>
      </c>
      <c r="CD127" s="59">
        <f ca="1">AVERAGE(OFFSET($CC$3,0,0,'Données projet'!$E$12+1,1))-AVERAGE(OFFSET($H$3,0,0,'Données projet'!$E$12+1,1))</f>
        <v>448.94764480536713</v>
      </c>
      <c r="CE127" s="59">
        <f t="shared" si="94"/>
        <v>469.26760321719695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65.247918798362534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65.247918798362534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187.80389738728508</v>
      </c>
      <c r="CZ127" s="59">
        <f t="shared" si="96"/>
        <v>439.28159165815265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19.196456949103336</v>
      </c>
      <c r="DG127" s="21">
        <f>EXP(-LN(2)/25)*DG126+(1-EXP(-LN(2)/25))/(LN(2)/25)*Calculateur!DB127*Calculateur!DD127*VLOOKUP('Données projet'!$B$13,Paramètres!$A$1:$I$89,3,0)*0.475*44/12</f>
        <v>1.061218570395372</v>
      </c>
      <c r="DH127" s="21">
        <f>EXP(-LN(2)/2)*DH126+(1-EXP(-LN(2)/2))/(LN(2)/2)*DB127*DE127*VLOOKUP('Données projet'!$B$13,Paramètres!$A$1:$I$89,3,0)*0.475*44/12</f>
        <v>3.1947426750317399E-16</v>
      </c>
      <c r="DI127" s="22">
        <f t="shared" si="69"/>
        <v>20.257675519498708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255.00000000000006</v>
      </c>
      <c r="DP127" s="17">
        <f>DO127*VLOOKUP('Données projet'!$B$14,Paramètres!$A$1:$I$89,3,0)*VLOOKUP('Données projet'!$B$14,Paramètres!$A$1:$I$89,5,0)</f>
        <v>186.96600000000004</v>
      </c>
      <c r="DQ127" s="13">
        <f t="shared" si="97"/>
        <v>46.868551400324648</v>
      </c>
      <c r="DR127" s="20">
        <f t="shared" si="70"/>
        <v>407.26184368889881</v>
      </c>
      <c r="DS127" s="59">
        <f t="shared" si="71"/>
        <v>700.59517702223206</v>
      </c>
      <c r="DT127" s="59">
        <f ca="1">AVERAGE(OFFSET($DS$3,0,0,'Données projet'!$E$14+1,1))-AVERAGE(OFFSET($H$3,0,0,'Données projet'!$E$14+1,1))</f>
        <v>239.25212250019609</v>
      </c>
      <c r="DU127" s="59">
        <f t="shared" si="98"/>
        <v>213.58492101729695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689</v>
      </c>
      <c r="EK127" s="17">
        <f>EJ127*VLOOKUP('Données projet'!$B$15,Paramètres!$A$1:$I$89,3,0)*VLOOKUP('Données projet'!$B$15,Paramètres!$A$1:$I$89,5,0)</f>
        <v>412.02199999999999</v>
      </c>
      <c r="EL127" s="13">
        <f t="shared" si="99"/>
        <v>94.209724877926391</v>
      </c>
      <c r="EM127" s="20">
        <f t="shared" si="73"/>
        <v>881.686920829055</v>
      </c>
      <c r="EN127" s="59">
        <f t="shared" si="74"/>
        <v>1175.0202541623883</v>
      </c>
      <c r="EO127" s="59">
        <f ca="1">AVERAGE(OFFSET($EN$3,0,0,'Données projet'!$E$15+1,1))-AVERAGE(OFFSET($H$3,0,0,'Données projet'!$E$15+1,1))</f>
        <v>504.81063008331739</v>
      </c>
      <c r="EP127" s="59">
        <f t="shared" si="100"/>
        <v>441.82647565372287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40.946624082706592</v>
      </c>
      <c r="EW127" s="21">
        <f>EXP(-LN(2)/25)*EW126+(1-EXP(-LN(2)/25))/(LN(2)/25)*Calculateur!ER127*Calculateur!ET127*VLOOKUP('Données projet'!$B$15,Paramètres!$A$1:$I$89,3,0)*0.475*44/12</f>
        <v>4.345996598359708</v>
      </c>
      <c r="EX127" s="21">
        <f>EXP(-LN(2)/2)*EX126+(1-EXP(-LN(2)/2))/(LN(2)/2)*ER127*EU127*VLOOKUP('Données projet'!$B$15,Paramètres!$A$1:$I$89,3,0)*0.475*44/12</f>
        <v>3.7207457570886993E-16</v>
      </c>
      <c r="EY127" s="22">
        <f t="shared" si="75"/>
        <v>45.292620681066296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541.99999999999989</v>
      </c>
      <c r="FF127" s="17">
        <f>FE127*VLOOKUP('Données projet'!$B$16,Paramètres!$A$1:$I$89,3,0)*VLOOKUP('Données projet'!$B$16,Paramètres!$A$1:$I$89,5,0)</f>
        <v>310.02399999999994</v>
      </c>
      <c r="FG127" s="13">
        <f t="shared" si="101"/>
        <v>73.27384230442388</v>
      </c>
      <c r="FH127" s="20">
        <f t="shared" si="76"/>
        <v>667.57707534687154</v>
      </c>
      <c r="FI127" s="59">
        <f t="shared" si="77"/>
        <v>960.91040868020491</v>
      </c>
      <c r="FJ127" s="59">
        <f ca="1">AVERAGE(OFFSET($FI$3,0,0,'Données projet'!$E$16+1,1))-AVERAGE(OFFSET($H$3,0,0,'Données projet'!$E$16+1,1))</f>
        <v>393.41577134252316</v>
      </c>
      <c r="FK127" s="59">
        <f t="shared" si="102"/>
        <v>255.54039659391475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47.946641399500415</v>
      </c>
      <c r="FR127" s="21">
        <f>EXP(-LN(2)/25)*FR126+(1-EXP(-LN(2)/25))/(LN(2)/25)*Calculateur!FM127*Calculateur!FO127*VLOOKUP('Données projet'!$B$16,Paramètres!$A$1:$I$89,3,0)*0.475*44/12</f>
        <v>1.9722842189789487</v>
      </c>
      <c r="FS127" s="21">
        <f>EXP(-LN(2)/2)*FS126+(1-EXP(-LN(2)/2))/(LN(2)/2)*FM127*FP127*VLOOKUP('Données projet'!$B$16,Paramètres!$A$1:$I$89,3,0)*0.475*44/12</f>
        <v>2.5884769295397836E-15</v>
      </c>
      <c r="FT127" s="22">
        <f t="shared" si="78"/>
        <v>49.918925618479363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853.00000000000011</v>
      </c>
      <c r="GA127" s="17">
        <f>FZ127*VLOOKUP('Données projet'!$B$17,Paramètres!$A$1:$I$89,3,0)*VLOOKUP('Données projet'!$B$17,Paramètres!$A$1:$I$89,5,0)</f>
        <v>399.20400000000006</v>
      </c>
      <c r="GB127" s="13">
        <f t="shared" si="103"/>
        <v>91.615269732888521</v>
      </c>
      <c r="GC127" s="20">
        <f t="shared" si="79"/>
        <v>854.8435614514475</v>
      </c>
      <c r="GD127" s="59">
        <f t="shared" si="80"/>
        <v>1148.1768947847809</v>
      </c>
      <c r="GE127" s="59">
        <f ca="1">AVERAGE(OFFSET($GD$3,0,0,'Données projet'!$E$17+1,1))-AVERAGE(OFFSET($H$3,0,0,'Données projet'!$E$17+1,1))</f>
        <v>488.67934252295686</v>
      </c>
      <c r="GF127" s="59">
        <f t="shared" si="104"/>
        <v>424.50324471331095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57.983191246838487</v>
      </c>
      <c r="GM127" s="21">
        <f>EXP(-LN(2)/25)*GM126+(1-EXP(-LN(2)/25))/(LN(2)/25)*Calculateur!GH127*Calculateur!GJ127*VLOOKUP('Données projet'!$B$17,Paramètres!$A$1:$I$89,3,0)*0.475*44/12</f>
        <v>3.6158544014614069</v>
      </c>
      <c r="GN127" s="21">
        <f>EXP(-LN(2)/2)*GN126+(1-EXP(-LN(2)/2))/(LN(2)/2)*GH127*GK127*VLOOKUP('Données projet'!$B$17,Paramètres!$A$1:$I$89,3,0)*0.475*44/12</f>
        <v>5.7652440703386073E-15</v>
      </c>
      <c r="GO127" s="21">
        <f t="shared" si="81"/>
        <v>61.599045648299899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789</v>
      </c>
      <c r="GV127" s="17">
        <f>GU127*VLOOKUP('Données projet'!$B$18,Paramètres!$A$1:$I$89,3,0)*VLOOKUP('Données projet'!$B$18,Paramètres!$A$1:$I$89,5,0)</f>
        <v>379.50900000000001</v>
      </c>
      <c r="GW127" s="13">
        <f t="shared" si="105"/>
        <v>87.609801106074272</v>
      </c>
      <c r="GX127" s="20">
        <f t="shared" si="82"/>
        <v>813.56524525974601</v>
      </c>
      <c r="GY127" s="59">
        <f t="shared" si="83"/>
        <v>1106.8985785930793</v>
      </c>
      <c r="GZ127" s="59">
        <f ca="1">AVERAGE(OFFSET($GY$3,0,0,'Données projet'!$E$18+1,1))-AVERAGE(OFFSET($H$3,0,0,'Données projet'!$E$18+1,1))</f>
        <v>458.80976193248841</v>
      </c>
      <c r="HA127" s="59">
        <f t="shared" si="106"/>
        <v>396.07405370178759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58.712495376213738</v>
      </c>
      <c r="HH127" s="21">
        <f>EXP(-LN(2)/25)*HH126+(1-EXP(-LN(2)/25))/(LN(2)/25)*Calculateur!HC127*Calculateur!HE127*VLOOKUP('Données projet'!$B$18,Paramètres!$A$1:$I$89,3,0)*0.475*44/12</f>
        <v>3.3784498195472774</v>
      </c>
      <c r="HI127" s="21">
        <f>EXP(-LN(2)/2)*HI126+(1-EXP(-LN(2)/2))/(LN(2)/2)*HC127*HF127*VLOOKUP('Données projet'!$B$18,Paramètres!$A$1:$I$89,3,0)*0.475*44/12</f>
        <v>2.6603790664714463E-15</v>
      </c>
      <c r="HJ127" s="22">
        <f t="shared" si="84"/>
        <v>62.090945195761016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267</v>
      </c>
      <c r="O128" s="13">
        <f>N128*VLOOKUP('Données projet'!$B$9,Paramètres!$A$1:$I$89,3,0)*VLOOKUP('Données projet'!$B$9,Paramètres!$A$1:$I$89,5,0)</f>
        <v>241.58159999999998</v>
      </c>
      <c r="P128" s="13">
        <f t="shared" si="87"/>
        <v>58.779689232021951</v>
      </c>
      <c r="Q128" s="20">
        <f t="shared" si="107"/>
        <v>523.12924541243819</v>
      </c>
      <c r="R128" s="59">
        <f t="shared" si="55"/>
        <v>816.46257874577145</v>
      </c>
      <c r="S128" s="59">
        <f ca="1">AVERAGE(OFFSET($R$3,0,0,'Données projet'!$E$9+1,1))-AVERAGE(OFFSET($H$3,0,0,'Données projet'!$E$9+1,1))</f>
        <v>364.3481978218424</v>
      </c>
      <c r="T128" s="59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62.006240090723821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62.006240090723821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636.99999999999977</v>
      </c>
      <c r="AJ128" s="13">
        <f>AI128*VLOOKUP('Données projet'!$B$10,Paramètres!$A$1:$I$89,3,0)*VLOOKUP('Données projet'!$B$10,Paramètres!$A$1:$I$89,5,0)</f>
        <v>356.08299999999991</v>
      </c>
      <c r="AK128" s="13">
        <f t="shared" si="89"/>
        <v>82.813805255716545</v>
      </c>
      <c r="AL128" s="20">
        <f t="shared" si="58"/>
        <v>764.41193582037283</v>
      </c>
      <c r="AM128" s="59">
        <f t="shared" si="59"/>
        <v>1057.7452691537062</v>
      </c>
      <c r="AN128" s="59">
        <f ca="1">AVERAGE(OFFSET($AM$3,0,0,'Données projet'!$E$10+1,1))-AVERAGE(OFFSET($H$3,0,0,'Données projet'!$E$10+1,1))</f>
        <v>443.34220761968419</v>
      </c>
      <c r="AO128" s="59">
        <f t="shared" si="90"/>
        <v>546.58234447298014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26.975838362295594</v>
      </c>
      <c r="AV128" s="21">
        <f>EXP(-LN(2)/25)*AV127+(1-EXP(-LN(2)/25))/(LN(2)/25)*Calculateur!AQ128*Calculateur!AS128*VLOOKUP('Données projet'!$B$10,Paramètres!$A$1:$I$89,3,0)*0.475*44/12</f>
        <v>1.5749590704966006</v>
      </c>
      <c r="AW128" s="21">
        <f>EXP(-LN(2)/2)*AW127+(1-EXP(-LN(2)/2))/(LN(2)/2)*AQ128*AT128*VLOOKUP('Données projet'!$B$10,Paramètres!$A$1:$I$89,3,0)*0.475*44/12</f>
        <v>3.0355774900966559E-14</v>
      </c>
      <c r="AX128" s="21">
        <f t="shared" si="60"/>
        <v>28.550797432792226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403.99999999999989</v>
      </c>
      <c r="BE128" s="13">
        <f>BD128*VLOOKUP('Données projet'!$B$11,Paramètres!$A$1:$I$89,3,0)*VLOOKUP('Données projet'!$B$11,Paramètres!$A$1:$I$89,5,0)</f>
        <v>346.63199999999995</v>
      </c>
      <c r="BF128" s="13">
        <f t="shared" si="91"/>
        <v>80.868615263336864</v>
      </c>
      <c r="BG128" s="20">
        <f t="shared" si="61"/>
        <v>744.56357158364483</v>
      </c>
      <c r="BH128" s="59">
        <f t="shared" si="62"/>
        <v>1037.8969049169782</v>
      </c>
      <c r="BI128" s="59">
        <f ca="1">AVERAGE(OFFSET($BH$3,0,0,'Données projet'!$E$11+1,1))-AVERAGE(OFFSET($H$3,0,0,'Données projet'!$E$11+1,1))</f>
        <v>447.15627913956871</v>
      </c>
      <c r="BJ128" s="59">
        <f t="shared" si="92"/>
        <v>256.77417912163997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90.532256022570252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90.532256022570252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245.99999999999994</v>
      </c>
      <c r="BZ128" s="13">
        <f>BY128*VLOOKUP('Données projet'!$B$12,Paramètres!$A$1:$I$89,3,0)*VLOOKUP('Données projet'!$B$12,Paramètres!$A$1:$I$89,5,0)</f>
        <v>234.09359999999998</v>
      </c>
      <c r="CA128" s="13">
        <f t="shared" si="93"/>
        <v>57.166902703920208</v>
      </c>
      <c r="CB128" s="20">
        <f t="shared" si="64"/>
        <v>507.27870887599425</v>
      </c>
      <c r="CC128" s="59">
        <f t="shared" si="65"/>
        <v>800.61204220932757</v>
      </c>
      <c r="CD128" s="59">
        <f ca="1">AVERAGE(OFFSET($CC$3,0,0,'Données projet'!$E$12+1,1))-AVERAGE(OFFSET($H$3,0,0,'Données projet'!$E$12+1,1))</f>
        <v>448.94764480536713</v>
      </c>
      <c r="CE128" s="59">
        <f t="shared" si="94"/>
        <v>469.26760321719695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63.968446908027452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63.968446908027452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187.80389738728508</v>
      </c>
      <c r="CZ128" s="59">
        <f t="shared" si="96"/>
        <v>439.28159165815265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18.820026137014022</v>
      </c>
      <c r="DG128" s="21">
        <f>EXP(-LN(2)/25)*DG127+(1-EXP(-LN(2)/25))/(LN(2)/25)*Calculateur!DB128*Calculateur!DD128*VLOOKUP('Données projet'!$B$13,Paramètres!$A$1:$I$89,3,0)*0.475*44/12</f>
        <v>1.0321994927808513</v>
      </c>
      <c r="DH128" s="21">
        <f>EXP(-LN(2)/2)*DH127+(1-EXP(-LN(2)/2))/(LN(2)/2)*DB128*DE128*VLOOKUP('Données projet'!$B$13,Paramètres!$A$1:$I$89,3,0)*0.475*44/12</f>
        <v>2.259024209660994E-16</v>
      </c>
      <c r="DI128" s="22">
        <f t="shared" si="69"/>
        <v>19.852225629794873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255.00000000000006</v>
      </c>
      <c r="DP128" s="17">
        <f>DO128*VLOOKUP('Données projet'!$B$14,Paramètres!$A$1:$I$89,3,0)*VLOOKUP('Données projet'!$B$14,Paramètres!$A$1:$I$89,5,0)</f>
        <v>186.96600000000004</v>
      </c>
      <c r="DQ128" s="13">
        <f t="shared" si="97"/>
        <v>46.868551400324648</v>
      </c>
      <c r="DR128" s="20">
        <f t="shared" si="70"/>
        <v>407.26184368889881</v>
      </c>
      <c r="DS128" s="59">
        <f t="shared" si="71"/>
        <v>700.59517702223206</v>
      </c>
      <c r="DT128" s="59">
        <f ca="1">AVERAGE(OFFSET($DS$3,0,0,'Données projet'!$E$14+1,1))-AVERAGE(OFFSET($H$3,0,0,'Données projet'!$E$14+1,1))</f>
        <v>239.25212250019609</v>
      </c>
      <c r="DU128" s="59">
        <f t="shared" si="98"/>
        <v>213.58492101729695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689</v>
      </c>
      <c r="EK128" s="17">
        <f>EJ128*VLOOKUP('Données projet'!$B$15,Paramètres!$A$1:$I$89,3,0)*VLOOKUP('Données projet'!$B$15,Paramètres!$A$1:$I$89,5,0)</f>
        <v>412.02199999999999</v>
      </c>
      <c r="EL128" s="13">
        <f t="shared" si="99"/>
        <v>94.209724877926391</v>
      </c>
      <c r="EM128" s="20">
        <f t="shared" si="73"/>
        <v>881.686920829055</v>
      </c>
      <c r="EN128" s="59">
        <f t="shared" si="74"/>
        <v>1175.0202541623883</v>
      </c>
      <c r="EO128" s="59">
        <f ca="1">AVERAGE(OFFSET($EN$3,0,0,'Données projet'!$E$15+1,1))-AVERAGE(OFFSET($H$3,0,0,'Données projet'!$E$15+1,1))</f>
        <v>504.81063008331739</v>
      </c>
      <c r="EP128" s="59">
        <f t="shared" si="100"/>
        <v>441.82647565372287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40.143685759419334</v>
      </c>
      <c r="EW128" s="21">
        <f>EXP(-LN(2)/25)*EW127+(1-EXP(-LN(2)/25))/(LN(2)/25)*Calculateur!ER128*Calculateur!ET128*VLOOKUP('Données projet'!$B$15,Paramètres!$A$1:$I$89,3,0)*0.475*44/12</f>
        <v>4.2271550928315333</v>
      </c>
      <c r="EX128" s="21">
        <f>EXP(-LN(2)/2)*EX127+(1-EXP(-LN(2)/2))/(LN(2)/2)*ER128*EU128*VLOOKUP('Données projet'!$B$15,Paramètres!$A$1:$I$89,3,0)*0.475*44/12</f>
        <v>2.630964555908494E-16</v>
      </c>
      <c r="EY128" s="22">
        <f t="shared" si="75"/>
        <v>44.370840852250865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541.99999999999989</v>
      </c>
      <c r="FF128" s="17">
        <f>FE128*VLOOKUP('Données projet'!$B$16,Paramètres!$A$1:$I$89,3,0)*VLOOKUP('Données projet'!$B$16,Paramètres!$A$1:$I$89,5,0)</f>
        <v>310.02399999999994</v>
      </c>
      <c r="FG128" s="13">
        <f t="shared" si="101"/>
        <v>73.27384230442388</v>
      </c>
      <c r="FH128" s="20">
        <f t="shared" si="76"/>
        <v>667.57707534687154</v>
      </c>
      <c r="FI128" s="59">
        <f t="shared" si="77"/>
        <v>960.91040868020491</v>
      </c>
      <c r="FJ128" s="59">
        <f ca="1">AVERAGE(OFFSET($FI$3,0,0,'Données projet'!$E$16+1,1))-AVERAGE(OFFSET($H$3,0,0,'Données projet'!$E$16+1,1))</f>
        <v>393.41577134252316</v>
      </c>
      <c r="FK128" s="59">
        <f t="shared" si="102"/>
        <v>255.54039659391475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47.006437006219805</v>
      </c>
      <c r="FR128" s="21">
        <f>EXP(-LN(2)/25)*FR127+(1-EXP(-LN(2)/25))/(LN(2)/25)*Calculateur!FM128*Calculateur!FO128*VLOOKUP('Données projet'!$B$16,Paramètres!$A$1:$I$89,3,0)*0.475*44/12</f>
        <v>1.9183520032930499</v>
      </c>
      <c r="FS128" s="21">
        <f>EXP(-LN(2)/2)*FS127+(1-EXP(-LN(2)/2))/(LN(2)/2)*FM128*FP128*VLOOKUP('Données projet'!$B$16,Paramètres!$A$1:$I$89,3,0)*0.475*44/12</f>
        <v>1.8303295898225142E-15</v>
      </c>
      <c r="FT128" s="22">
        <f t="shared" si="78"/>
        <v>48.924789009512857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853.00000000000011</v>
      </c>
      <c r="GA128" s="17">
        <f>FZ128*VLOOKUP('Données projet'!$B$17,Paramètres!$A$1:$I$89,3,0)*VLOOKUP('Données projet'!$B$17,Paramètres!$A$1:$I$89,5,0)</f>
        <v>399.20400000000006</v>
      </c>
      <c r="GB128" s="13">
        <f t="shared" si="103"/>
        <v>91.615269732888521</v>
      </c>
      <c r="GC128" s="20">
        <f t="shared" si="79"/>
        <v>854.8435614514475</v>
      </c>
      <c r="GD128" s="59">
        <f t="shared" si="80"/>
        <v>1148.1768947847809</v>
      </c>
      <c r="GE128" s="59">
        <f ca="1">AVERAGE(OFFSET($GD$3,0,0,'Données projet'!$E$17+1,1))-AVERAGE(OFFSET($H$3,0,0,'Données projet'!$E$17+1,1))</f>
        <v>488.67934252295686</v>
      </c>
      <c r="GF128" s="59">
        <f t="shared" si="104"/>
        <v>424.50324471331095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56.846176232742515</v>
      </c>
      <c r="GM128" s="21">
        <f>EXP(-LN(2)/25)*GM127+(1-EXP(-LN(2)/25))/(LN(2)/25)*Calculateur!GH128*Calculateur!GJ128*VLOOKUP('Données projet'!$B$17,Paramètres!$A$1:$I$89,3,0)*0.475*44/12</f>
        <v>3.5169786727039258</v>
      </c>
      <c r="GN128" s="21">
        <f>EXP(-LN(2)/2)*GN127+(1-EXP(-LN(2)/2))/(LN(2)/2)*GH128*GK128*VLOOKUP('Données projet'!$B$17,Paramètres!$A$1:$I$89,3,0)*0.475*44/12</f>
        <v>4.0766431773319621E-15</v>
      </c>
      <c r="GO128" s="21">
        <f t="shared" si="81"/>
        <v>60.36315490544645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789</v>
      </c>
      <c r="GV128" s="17">
        <f>GU128*VLOOKUP('Données projet'!$B$18,Paramètres!$A$1:$I$89,3,0)*VLOOKUP('Données projet'!$B$18,Paramètres!$A$1:$I$89,5,0)</f>
        <v>379.50900000000001</v>
      </c>
      <c r="GW128" s="13">
        <f t="shared" si="105"/>
        <v>87.609801106074272</v>
      </c>
      <c r="GX128" s="20">
        <f t="shared" si="82"/>
        <v>813.56524525974601</v>
      </c>
      <c r="GY128" s="59">
        <f t="shared" si="83"/>
        <v>1106.8985785930793</v>
      </c>
      <c r="GZ128" s="59">
        <f ca="1">AVERAGE(OFFSET($GY$3,0,0,'Données projet'!$E$18+1,1))-AVERAGE(OFFSET($H$3,0,0,'Données projet'!$E$18+1,1))</f>
        <v>458.80976193248841</v>
      </c>
      <c r="HA128" s="59">
        <f t="shared" si="106"/>
        <v>396.07405370178759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57.561179152972315</v>
      </c>
      <c r="HH128" s="21">
        <f>EXP(-LN(2)/25)*HH127+(1-EXP(-LN(2)/25))/(LN(2)/25)*Calculateur!HC128*Calculateur!HE128*VLOOKUP('Données projet'!$B$18,Paramètres!$A$1:$I$89,3,0)*0.475*44/12</f>
        <v>3.2860659315668026</v>
      </c>
      <c r="HI128" s="21">
        <f>EXP(-LN(2)/2)*HI127+(1-EXP(-LN(2)/2))/(LN(2)/2)*HC128*HF128*VLOOKUP('Données projet'!$B$18,Paramètres!$A$1:$I$89,3,0)*0.475*44/12</f>
        <v>1.8811720784286965E-15</v>
      </c>
      <c r="HJ128" s="22">
        <f t="shared" si="84"/>
        <v>60.847245084539118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267</v>
      </c>
      <c r="O129" s="13">
        <f>N129*VLOOKUP('Données projet'!$B$9,Paramètres!$A$1:$I$89,3,0)*VLOOKUP('Données projet'!$B$9,Paramètres!$A$1:$I$89,5,0)</f>
        <v>241.58159999999998</v>
      </c>
      <c r="P129" s="13">
        <f t="shared" si="87"/>
        <v>58.779689232021951</v>
      </c>
      <c r="Q129" s="20">
        <f t="shared" si="107"/>
        <v>523.12924541243819</v>
      </c>
      <c r="R129" s="59">
        <f t="shared" si="55"/>
        <v>816.46257874577145</v>
      </c>
      <c r="S129" s="59">
        <f ca="1">AVERAGE(OFFSET($R$3,0,0,'Données projet'!$E$9+1,1))-AVERAGE(OFFSET($H$3,0,0,'Données projet'!$E$9+1,1))</f>
        <v>364.3481978218424</v>
      </c>
      <c r="T129" s="59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60.790335542616759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60.790335542616759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636.99999999999977</v>
      </c>
      <c r="AJ129" s="13">
        <f>AI129*VLOOKUP('Données projet'!$B$10,Paramètres!$A$1:$I$89,3,0)*VLOOKUP('Données projet'!$B$10,Paramètres!$A$1:$I$89,5,0)</f>
        <v>356.08299999999991</v>
      </c>
      <c r="AK129" s="13">
        <f t="shared" si="89"/>
        <v>82.813805255716545</v>
      </c>
      <c r="AL129" s="20">
        <f t="shared" si="58"/>
        <v>764.41193582037283</v>
      </c>
      <c r="AM129" s="59">
        <f t="shared" si="59"/>
        <v>1057.7452691537062</v>
      </c>
      <c r="AN129" s="59">
        <f ca="1">AVERAGE(OFFSET($AM$3,0,0,'Données projet'!$E$10+1,1))-AVERAGE(OFFSET($H$3,0,0,'Données projet'!$E$10+1,1))</f>
        <v>443.34220761968419</v>
      </c>
      <c r="AO129" s="59">
        <f t="shared" si="90"/>
        <v>546.58234447298014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26.446858625647717</v>
      </c>
      <c r="AV129" s="21">
        <f>EXP(-LN(2)/25)*AV128+(1-EXP(-LN(2)/25))/(LN(2)/25)*Calculateur!AQ129*Calculateur!AS129*VLOOKUP('Données projet'!$B$10,Paramètres!$A$1:$I$89,3,0)*0.475*44/12</f>
        <v>1.5318917318903731</v>
      </c>
      <c r="AW129" s="21">
        <f>EXP(-LN(2)/2)*AW128+(1-EXP(-LN(2)/2))/(LN(2)/2)*AQ129*AT129*VLOOKUP('Données projet'!$B$10,Paramètres!$A$1:$I$89,3,0)*0.475*44/12</f>
        <v>2.1464774280645853E-14</v>
      </c>
      <c r="AX129" s="21">
        <f t="shared" si="60"/>
        <v>27.978750357538111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403.99999999999989</v>
      </c>
      <c r="BE129" s="13">
        <f>BD129*VLOOKUP('Données projet'!$B$11,Paramètres!$A$1:$I$89,3,0)*VLOOKUP('Données projet'!$B$11,Paramètres!$A$1:$I$89,5,0)</f>
        <v>346.63199999999995</v>
      </c>
      <c r="BF129" s="13">
        <f t="shared" si="91"/>
        <v>80.868615263336864</v>
      </c>
      <c r="BG129" s="20">
        <f t="shared" si="61"/>
        <v>744.56357158364483</v>
      </c>
      <c r="BH129" s="59">
        <f t="shared" si="62"/>
        <v>1037.8969049169782</v>
      </c>
      <c r="BI129" s="59">
        <f ca="1">AVERAGE(OFFSET($BH$3,0,0,'Données projet'!$E$11+1,1))-AVERAGE(OFFSET($H$3,0,0,'Données projet'!$E$11+1,1))</f>
        <v>447.15627913956871</v>
      </c>
      <c r="BJ129" s="59">
        <f t="shared" si="92"/>
        <v>256.77417912163997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88.756973701191384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88.756973701191384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245.99999999999994</v>
      </c>
      <c r="BZ129" s="13">
        <f>BY129*VLOOKUP('Données projet'!$B$12,Paramètres!$A$1:$I$89,3,0)*VLOOKUP('Données projet'!$B$12,Paramètres!$A$1:$I$89,5,0)</f>
        <v>234.09359999999998</v>
      </c>
      <c r="CA129" s="13">
        <f t="shared" si="93"/>
        <v>57.166902703920208</v>
      </c>
      <c r="CB129" s="20">
        <f t="shared" si="64"/>
        <v>507.27870887599425</v>
      </c>
      <c r="CC129" s="59">
        <f t="shared" si="65"/>
        <v>800.61204220932757</v>
      </c>
      <c r="CD129" s="59">
        <f ca="1">AVERAGE(OFFSET($CC$3,0,0,'Données projet'!$E$12+1,1))-AVERAGE(OFFSET($H$3,0,0,'Données projet'!$E$12+1,1))</f>
        <v>448.94764480536713</v>
      </c>
      <c r="CE129" s="59">
        <f t="shared" si="94"/>
        <v>469.26760321719695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62.714064681061046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62.714064681061046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187.80389738728508</v>
      </c>
      <c r="CZ129" s="59">
        <f t="shared" si="96"/>
        <v>439.28159165815265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18.450976903549655</v>
      </c>
      <c r="DG129" s="21">
        <f>EXP(-LN(2)/25)*DG128+(1-EXP(-LN(2)/25))/(LN(2)/25)*Calculateur!DB129*Calculateur!DD129*VLOOKUP('Données projet'!$B$13,Paramètres!$A$1:$I$89,3,0)*0.475*44/12</f>
        <v>1.0039739433697468</v>
      </c>
      <c r="DH129" s="21">
        <f>EXP(-LN(2)/2)*DH128+(1-EXP(-LN(2)/2))/(LN(2)/2)*DB129*DE129*VLOOKUP('Données projet'!$B$13,Paramètres!$A$1:$I$89,3,0)*0.475*44/12</f>
        <v>1.59737133751587E-16</v>
      </c>
      <c r="DI129" s="22">
        <f t="shared" si="69"/>
        <v>19.454950846919402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255.00000000000006</v>
      </c>
      <c r="DP129" s="17">
        <f>DO129*VLOOKUP('Données projet'!$B$14,Paramètres!$A$1:$I$89,3,0)*VLOOKUP('Données projet'!$B$14,Paramètres!$A$1:$I$89,5,0)</f>
        <v>186.96600000000004</v>
      </c>
      <c r="DQ129" s="13">
        <f t="shared" si="97"/>
        <v>46.868551400324648</v>
      </c>
      <c r="DR129" s="20">
        <f t="shared" si="70"/>
        <v>407.26184368889881</v>
      </c>
      <c r="DS129" s="59">
        <f t="shared" si="71"/>
        <v>700.59517702223206</v>
      </c>
      <c r="DT129" s="59">
        <f ca="1">AVERAGE(OFFSET($DS$3,0,0,'Données projet'!$E$14+1,1))-AVERAGE(OFFSET($H$3,0,0,'Données projet'!$E$14+1,1))</f>
        <v>239.25212250019609</v>
      </c>
      <c r="DU129" s="59">
        <f t="shared" si="98"/>
        <v>213.58492101729695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689</v>
      </c>
      <c r="EK129" s="17">
        <f>EJ129*VLOOKUP('Données projet'!$B$15,Paramètres!$A$1:$I$89,3,0)*VLOOKUP('Données projet'!$B$15,Paramètres!$A$1:$I$89,5,0)</f>
        <v>412.02199999999999</v>
      </c>
      <c r="EL129" s="13">
        <f t="shared" si="99"/>
        <v>94.209724877926391</v>
      </c>
      <c r="EM129" s="20">
        <f t="shared" si="73"/>
        <v>881.686920829055</v>
      </c>
      <c r="EN129" s="59">
        <f t="shared" si="74"/>
        <v>1175.0202541623883</v>
      </c>
      <c r="EO129" s="59">
        <f ca="1">AVERAGE(OFFSET($EN$3,0,0,'Données projet'!$E$15+1,1))-AVERAGE(OFFSET($H$3,0,0,'Données projet'!$E$15+1,1))</f>
        <v>504.81063008331739</v>
      </c>
      <c r="EP129" s="59">
        <f t="shared" si="100"/>
        <v>441.82647565372287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39.356492566907718</v>
      </c>
      <c r="EW129" s="21">
        <f>EXP(-LN(2)/25)*EW128+(1-EXP(-LN(2)/25))/(LN(2)/25)*Calculateur!ER129*Calculateur!ET129*VLOOKUP('Données projet'!$B$15,Paramètres!$A$1:$I$89,3,0)*0.475*44/12</f>
        <v>4.1115633145216304</v>
      </c>
      <c r="EX129" s="21">
        <f>EXP(-LN(2)/2)*EX128+(1-EXP(-LN(2)/2))/(LN(2)/2)*ER129*EU129*VLOOKUP('Données projet'!$B$15,Paramètres!$A$1:$I$89,3,0)*0.475*44/12</f>
        <v>1.8603728785443497E-16</v>
      </c>
      <c r="EY129" s="22">
        <f t="shared" si="75"/>
        <v>43.468055881429351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541.99999999999989</v>
      </c>
      <c r="FF129" s="17">
        <f>FE129*VLOOKUP('Données projet'!$B$16,Paramètres!$A$1:$I$89,3,0)*VLOOKUP('Données projet'!$B$16,Paramètres!$A$1:$I$89,5,0)</f>
        <v>310.02399999999994</v>
      </c>
      <c r="FG129" s="13">
        <f t="shared" si="101"/>
        <v>73.27384230442388</v>
      </c>
      <c r="FH129" s="20">
        <f t="shared" si="76"/>
        <v>667.57707534687154</v>
      </c>
      <c r="FI129" s="59">
        <f t="shared" si="77"/>
        <v>960.91040868020491</v>
      </c>
      <c r="FJ129" s="59">
        <f ca="1">AVERAGE(OFFSET($FI$3,0,0,'Données projet'!$E$16+1,1))-AVERAGE(OFFSET($H$3,0,0,'Données projet'!$E$16+1,1))</f>
        <v>393.41577134252316</v>
      </c>
      <c r="FK129" s="59">
        <f t="shared" si="102"/>
        <v>255.54039659391475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46.084669447623376</v>
      </c>
      <c r="FR129" s="21">
        <f>EXP(-LN(2)/25)*FR128+(1-EXP(-LN(2)/25))/(LN(2)/25)*Calculateur!FM129*Calculateur!FO129*VLOOKUP('Données projet'!$B$16,Paramètres!$A$1:$I$89,3,0)*0.475*44/12</f>
        <v>1.8658945668812541</v>
      </c>
      <c r="FS129" s="21">
        <f>EXP(-LN(2)/2)*FS128+(1-EXP(-LN(2)/2))/(LN(2)/2)*FM129*FP129*VLOOKUP('Données projet'!$B$16,Paramètres!$A$1:$I$89,3,0)*0.475*44/12</f>
        <v>1.2942384647698918E-15</v>
      </c>
      <c r="FT129" s="22">
        <f t="shared" si="78"/>
        <v>47.950564014504629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853.00000000000011</v>
      </c>
      <c r="GA129" s="17">
        <f>FZ129*VLOOKUP('Données projet'!$B$17,Paramètres!$A$1:$I$89,3,0)*VLOOKUP('Données projet'!$B$17,Paramètres!$A$1:$I$89,5,0)</f>
        <v>399.20400000000006</v>
      </c>
      <c r="GB129" s="13">
        <f t="shared" si="103"/>
        <v>91.615269732888521</v>
      </c>
      <c r="GC129" s="20">
        <f t="shared" si="79"/>
        <v>854.8435614514475</v>
      </c>
      <c r="GD129" s="59">
        <f t="shared" si="80"/>
        <v>1148.1768947847809</v>
      </c>
      <c r="GE129" s="59">
        <f ca="1">AVERAGE(OFFSET($GD$3,0,0,'Données projet'!$E$17+1,1))-AVERAGE(OFFSET($H$3,0,0,'Données projet'!$E$17+1,1))</f>
        <v>488.67934252295686</v>
      </c>
      <c r="GF129" s="59">
        <f t="shared" si="104"/>
        <v>424.50324471331095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55.731457389562287</v>
      </c>
      <c r="GM129" s="21">
        <f>EXP(-LN(2)/25)*GM128+(1-EXP(-LN(2)/25))/(LN(2)/25)*Calculateur!GH129*Calculateur!GJ129*VLOOKUP('Données projet'!$B$17,Paramètres!$A$1:$I$89,3,0)*0.475*44/12</f>
        <v>3.4208067059489666</v>
      </c>
      <c r="GN129" s="21">
        <f>EXP(-LN(2)/2)*GN128+(1-EXP(-LN(2)/2))/(LN(2)/2)*GH129*GK129*VLOOKUP('Données projet'!$B$17,Paramètres!$A$1:$I$89,3,0)*0.475*44/12</f>
        <v>2.8826220351693037E-15</v>
      </c>
      <c r="GO129" s="21">
        <f t="shared" si="81"/>
        <v>59.152264095511256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789</v>
      </c>
      <c r="GV129" s="17">
        <f>GU129*VLOOKUP('Données projet'!$B$18,Paramètres!$A$1:$I$89,3,0)*VLOOKUP('Données projet'!$B$18,Paramètres!$A$1:$I$89,5,0)</f>
        <v>379.50900000000001</v>
      </c>
      <c r="GW129" s="13">
        <f t="shared" si="105"/>
        <v>87.609801106074272</v>
      </c>
      <c r="GX129" s="20">
        <f t="shared" si="82"/>
        <v>813.56524525974601</v>
      </c>
      <c r="GY129" s="59">
        <f t="shared" si="83"/>
        <v>1106.8985785930793</v>
      </c>
      <c r="GZ129" s="59">
        <f ca="1">AVERAGE(OFFSET($GY$3,0,0,'Données projet'!$E$18+1,1))-AVERAGE(OFFSET($H$3,0,0,'Données projet'!$E$18+1,1))</f>
        <v>458.80976193248841</v>
      </c>
      <c r="HA129" s="59">
        <f t="shared" si="106"/>
        <v>396.07405370178759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56.432439538635101</v>
      </c>
      <c r="HH129" s="21">
        <f>EXP(-LN(2)/25)*HH128+(1-EXP(-LN(2)/25))/(LN(2)/25)*Calculateur!HC129*Calculateur!HE129*VLOOKUP('Données projet'!$B$18,Paramètres!$A$1:$I$89,3,0)*0.475*44/12</f>
        <v>3.1962082858614114</v>
      </c>
      <c r="HI129" s="21">
        <f>EXP(-LN(2)/2)*HI128+(1-EXP(-LN(2)/2))/(LN(2)/2)*HC129*HF129*VLOOKUP('Données projet'!$B$18,Paramètres!$A$1:$I$89,3,0)*0.475*44/12</f>
        <v>1.3301895332357231E-15</v>
      </c>
      <c r="HJ129" s="22">
        <f t="shared" si="84"/>
        <v>59.628647824496511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267</v>
      </c>
      <c r="O130" s="13">
        <f>N130*VLOOKUP('Données projet'!$B$9,Paramètres!$A$1:$I$89,3,0)*VLOOKUP('Données projet'!$B$9,Paramètres!$A$1:$I$89,5,0)</f>
        <v>241.58159999999998</v>
      </c>
      <c r="P130" s="13">
        <f t="shared" si="87"/>
        <v>58.779689232021951</v>
      </c>
      <c r="Q130" s="20">
        <f t="shared" si="107"/>
        <v>523.12924541243819</v>
      </c>
      <c r="R130" s="59">
        <f t="shared" si="55"/>
        <v>816.46257874577145</v>
      </c>
      <c r="S130" s="59">
        <f ca="1">AVERAGE(OFFSET($R$3,0,0,'Données projet'!$E$9+1,1))-AVERAGE(OFFSET($H$3,0,0,'Données projet'!$E$9+1,1))</f>
        <v>364.3481978218424</v>
      </c>
      <c r="T130" s="59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59.598274141069531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59.598274141069531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636.99999999999977</v>
      </c>
      <c r="AJ130" s="13">
        <f>AI130*VLOOKUP('Données projet'!$B$10,Paramètres!$A$1:$I$89,3,0)*VLOOKUP('Données projet'!$B$10,Paramètres!$A$1:$I$89,5,0)</f>
        <v>356.08299999999991</v>
      </c>
      <c r="AK130" s="13">
        <f t="shared" si="89"/>
        <v>82.813805255716545</v>
      </c>
      <c r="AL130" s="20">
        <f t="shared" si="58"/>
        <v>764.41193582037283</v>
      </c>
      <c r="AM130" s="59">
        <f t="shared" si="59"/>
        <v>1057.7452691537062</v>
      </c>
      <c r="AN130" s="59">
        <f ca="1">AVERAGE(OFFSET($AM$3,0,0,'Données projet'!$E$10+1,1))-AVERAGE(OFFSET($H$3,0,0,'Données projet'!$E$10+1,1))</f>
        <v>443.34220761968419</v>
      </c>
      <c r="AO130" s="59">
        <f t="shared" si="90"/>
        <v>546.58234447298014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25.928251858989725</v>
      </c>
      <c r="AV130" s="21">
        <f>EXP(-LN(2)/25)*AV129+(1-EXP(-LN(2)/25))/(LN(2)/25)*Calculateur!AQ130*Calculateur!AS130*VLOOKUP('Données projet'!$B$10,Paramètres!$A$1:$I$89,3,0)*0.475*44/12</f>
        <v>1.4900020719231459</v>
      </c>
      <c r="AW130" s="21">
        <f>EXP(-LN(2)/2)*AW129+(1-EXP(-LN(2)/2))/(LN(2)/2)*AQ130*AT130*VLOOKUP('Données projet'!$B$10,Paramètres!$A$1:$I$89,3,0)*0.475*44/12</f>
        <v>1.517788745048328E-14</v>
      </c>
      <c r="AX130" s="21">
        <f t="shared" si="60"/>
        <v>27.418253930912886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403.99999999999989</v>
      </c>
      <c r="BE130" s="13">
        <f>BD130*VLOOKUP('Données projet'!$B$11,Paramètres!$A$1:$I$89,3,0)*VLOOKUP('Données projet'!$B$11,Paramètres!$A$1:$I$89,5,0)</f>
        <v>346.63199999999995</v>
      </c>
      <c r="BF130" s="13">
        <f t="shared" si="91"/>
        <v>80.868615263336864</v>
      </c>
      <c r="BG130" s="20">
        <f t="shared" si="61"/>
        <v>744.56357158364483</v>
      </c>
      <c r="BH130" s="59">
        <f t="shared" si="62"/>
        <v>1037.8969049169782</v>
      </c>
      <c r="BI130" s="59">
        <f ca="1">AVERAGE(OFFSET($BH$3,0,0,'Données projet'!$E$11+1,1))-AVERAGE(OFFSET($H$3,0,0,'Données projet'!$E$11+1,1))</f>
        <v>447.15627913956871</v>
      </c>
      <c r="BJ130" s="59">
        <f t="shared" si="92"/>
        <v>256.77417912163997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87.016503583319448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87.016503583319448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245.99999999999994</v>
      </c>
      <c r="BZ130" s="13">
        <f>BY130*VLOOKUP('Données projet'!$B$12,Paramètres!$A$1:$I$89,3,0)*VLOOKUP('Données projet'!$B$12,Paramètres!$A$1:$I$89,5,0)</f>
        <v>234.09359999999998</v>
      </c>
      <c r="CA130" s="13">
        <f t="shared" si="93"/>
        <v>57.166902703920208</v>
      </c>
      <c r="CB130" s="20">
        <f t="shared" si="64"/>
        <v>507.27870887599425</v>
      </c>
      <c r="CC130" s="59">
        <f t="shared" si="65"/>
        <v>800.61204220932757</v>
      </c>
      <c r="CD130" s="59">
        <f ca="1">AVERAGE(OFFSET($CC$3,0,0,'Données projet'!$E$12+1,1))-AVERAGE(OFFSET($H$3,0,0,'Données projet'!$E$12+1,1))</f>
        <v>448.94764480536713</v>
      </c>
      <c r="CE130" s="59">
        <f t="shared" si="94"/>
        <v>469.26760321719695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61.484280124467844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61.484280124467844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187.80389738728508</v>
      </c>
      <c r="CZ130" s="59">
        <f t="shared" si="96"/>
        <v>439.28159165815265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18.08916450045572</v>
      </c>
      <c r="DG130" s="21">
        <f>EXP(-LN(2)/25)*DG129+(1-EXP(-LN(2)/25))/(LN(2)/25)*Calculateur!DB130*Calculateur!DD130*VLOOKUP('Données projet'!$B$13,Paramètres!$A$1:$I$89,3,0)*0.475*44/12</f>
        <v>0.97652022309160602</v>
      </c>
      <c r="DH130" s="21">
        <f>EXP(-LN(2)/2)*DH129+(1-EXP(-LN(2)/2))/(LN(2)/2)*DB130*DE130*VLOOKUP('Données projet'!$B$13,Paramètres!$A$1:$I$89,3,0)*0.475*44/12</f>
        <v>1.129512104830497E-16</v>
      </c>
      <c r="DI130" s="22">
        <f t="shared" si="69"/>
        <v>19.065684723547324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255.00000000000006</v>
      </c>
      <c r="DP130" s="17">
        <f>DO130*VLOOKUP('Données projet'!$B$14,Paramètres!$A$1:$I$89,3,0)*VLOOKUP('Données projet'!$B$14,Paramètres!$A$1:$I$89,5,0)</f>
        <v>186.96600000000004</v>
      </c>
      <c r="DQ130" s="13">
        <f t="shared" si="97"/>
        <v>46.868551400324648</v>
      </c>
      <c r="DR130" s="20">
        <f t="shared" si="70"/>
        <v>407.26184368889881</v>
      </c>
      <c r="DS130" s="59">
        <f t="shared" si="71"/>
        <v>700.59517702223206</v>
      </c>
      <c r="DT130" s="59">
        <f ca="1">AVERAGE(OFFSET($DS$3,0,0,'Données projet'!$E$14+1,1))-AVERAGE(OFFSET($H$3,0,0,'Données projet'!$E$14+1,1))</f>
        <v>239.25212250019609</v>
      </c>
      <c r="DU130" s="59">
        <f t="shared" si="98"/>
        <v>213.58492101729695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689</v>
      </c>
      <c r="EK130" s="17">
        <f>EJ130*VLOOKUP('Données projet'!$B$15,Paramètres!$A$1:$I$89,3,0)*VLOOKUP('Données projet'!$B$15,Paramètres!$A$1:$I$89,5,0)</f>
        <v>412.02199999999999</v>
      </c>
      <c r="EL130" s="13">
        <f t="shared" si="99"/>
        <v>94.209724877926391</v>
      </c>
      <c r="EM130" s="20">
        <f t="shared" si="73"/>
        <v>881.686920829055</v>
      </c>
      <c r="EN130" s="59">
        <f t="shared" si="74"/>
        <v>1175.0202541623883</v>
      </c>
      <c r="EO130" s="59">
        <f ca="1">AVERAGE(OFFSET($EN$3,0,0,'Données projet'!$E$15+1,1))-AVERAGE(OFFSET($H$3,0,0,'Données projet'!$E$15+1,1))</f>
        <v>504.81063008331739</v>
      </c>
      <c r="EP130" s="59">
        <f t="shared" si="100"/>
        <v>441.82647565372287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38.584735752760821</v>
      </c>
      <c r="EW130" s="21">
        <f>EXP(-LN(2)/25)*EW129+(1-EXP(-LN(2)/25))/(LN(2)/25)*Calculateur!ER130*Calculateur!ET130*VLOOKUP('Données projet'!$B$15,Paramètres!$A$1:$I$89,3,0)*0.475*44/12</f>
        <v>3.9991323994683188</v>
      </c>
      <c r="EX130" s="21">
        <f>EXP(-LN(2)/2)*EX129+(1-EXP(-LN(2)/2))/(LN(2)/2)*ER130*EU130*VLOOKUP('Données projet'!$B$15,Paramètres!$A$1:$I$89,3,0)*0.475*44/12</f>
        <v>1.315482277954247E-16</v>
      </c>
      <c r="EY130" s="22">
        <f t="shared" si="75"/>
        <v>42.583868152229137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541.99999999999989</v>
      </c>
      <c r="FF130" s="17">
        <f>FE130*VLOOKUP('Données projet'!$B$16,Paramètres!$A$1:$I$89,3,0)*VLOOKUP('Données projet'!$B$16,Paramètres!$A$1:$I$89,5,0)</f>
        <v>310.02399999999994</v>
      </c>
      <c r="FG130" s="13">
        <f t="shared" si="101"/>
        <v>73.27384230442388</v>
      </c>
      <c r="FH130" s="20">
        <f t="shared" si="76"/>
        <v>667.57707534687154</v>
      </c>
      <c r="FI130" s="59">
        <f t="shared" si="77"/>
        <v>960.91040868020491</v>
      </c>
      <c r="FJ130" s="59">
        <f ca="1">AVERAGE(OFFSET($FI$3,0,0,'Données projet'!$E$16+1,1))-AVERAGE(OFFSET($H$3,0,0,'Données projet'!$E$16+1,1))</f>
        <v>393.41577134252316</v>
      </c>
      <c r="FK130" s="59">
        <f t="shared" si="102"/>
        <v>255.54039659391475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45.180977188628326</v>
      </c>
      <c r="FR130" s="21">
        <f>EXP(-LN(2)/25)*FR129+(1-EXP(-LN(2)/25))/(LN(2)/25)*Calculateur!FM130*Calculateur!FO130*VLOOKUP('Données projet'!$B$16,Paramètres!$A$1:$I$89,3,0)*0.475*44/12</f>
        <v>1.8148715818267556</v>
      </c>
      <c r="FS130" s="21">
        <f>EXP(-LN(2)/2)*FS129+(1-EXP(-LN(2)/2))/(LN(2)/2)*FM130*FP130*VLOOKUP('Données projet'!$B$16,Paramètres!$A$1:$I$89,3,0)*0.475*44/12</f>
        <v>9.1516479491125708E-16</v>
      </c>
      <c r="FT130" s="22">
        <f t="shared" si="78"/>
        <v>46.995848770455083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853.00000000000011</v>
      </c>
      <c r="GA130" s="17">
        <f>FZ130*VLOOKUP('Données projet'!$B$17,Paramètres!$A$1:$I$89,3,0)*VLOOKUP('Données projet'!$B$17,Paramètres!$A$1:$I$89,5,0)</f>
        <v>399.20400000000006</v>
      </c>
      <c r="GB130" s="13">
        <f t="shared" si="103"/>
        <v>91.615269732888521</v>
      </c>
      <c r="GC130" s="20">
        <f t="shared" si="79"/>
        <v>854.8435614514475</v>
      </c>
      <c r="GD130" s="59">
        <f t="shared" si="80"/>
        <v>1148.1768947847809</v>
      </c>
      <c r="GE130" s="59">
        <f ca="1">AVERAGE(OFFSET($GD$3,0,0,'Données projet'!$E$17+1,1))-AVERAGE(OFFSET($H$3,0,0,'Données projet'!$E$17+1,1))</f>
        <v>488.67934252295686</v>
      </c>
      <c r="GF130" s="59">
        <f t="shared" si="104"/>
        <v>424.50324471331095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54.638597502985462</v>
      </c>
      <c r="GM130" s="21">
        <f>EXP(-LN(2)/25)*GM129+(1-EXP(-LN(2)/25))/(LN(2)/25)*Calculateur!GH130*Calculateur!GJ130*VLOOKUP('Données projet'!$B$17,Paramètres!$A$1:$I$89,3,0)*0.475*44/12</f>
        <v>3.3272645666823859</v>
      </c>
      <c r="GN130" s="21">
        <f>EXP(-LN(2)/2)*GN129+(1-EXP(-LN(2)/2))/(LN(2)/2)*GH130*GK130*VLOOKUP('Données projet'!$B$17,Paramètres!$A$1:$I$89,3,0)*0.475*44/12</f>
        <v>2.0383215886659811E-15</v>
      </c>
      <c r="GO130" s="21">
        <f t="shared" si="81"/>
        <v>57.96586206966785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789</v>
      </c>
      <c r="GV130" s="17">
        <f>GU130*VLOOKUP('Données projet'!$B$18,Paramètres!$A$1:$I$89,3,0)*VLOOKUP('Données projet'!$B$18,Paramètres!$A$1:$I$89,5,0)</f>
        <v>379.50900000000001</v>
      </c>
      <c r="GW130" s="13">
        <f t="shared" si="105"/>
        <v>87.609801106074272</v>
      </c>
      <c r="GX130" s="20">
        <f t="shared" si="82"/>
        <v>813.56524525974601</v>
      </c>
      <c r="GY130" s="59">
        <f t="shared" si="83"/>
        <v>1106.8985785930793</v>
      </c>
      <c r="GZ130" s="59">
        <f ca="1">AVERAGE(OFFSET($GY$3,0,0,'Données projet'!$E$18+1,1))-AVERAGE(OFFSET($H$3,0,0,'Données projet'!$E$18+1,1))</f>
        <v>458.80976193248841</v>
      </c>
      <c r="HA130" s="59">
        <f t="shared" si="106"/>
        <v>396.07405370178759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55.325833819671857</v>
      </c>
      <c r="HH130" s="21">
        <f>EXP(-LN(2)/25)*HH129+(1-EXP(-LN(2)/25))/(LN(2)/25)*Calculateur!HC130*Calculateur!HE130*VLOOKUP('Données projet'!$B$18,Paramètres!$A$1:$I$89,3,0)*0.475*44/12</f>
        <v>3.1088078022032422</v>
      </c>
      <c r="HI130" s="21">
        <f>EXP(-LN(2)/2)*HI129+(1-EXP(-LN(2)/2))/(LN(2)/2)*HC130*HF130*VLOOKUP('Données projet'!$B$18,Paramètres!$A$1:$I$89,3,0)*0.475*44/12</f>
        <v>9.4058603921434827E-16</v>
      </c>
      <c r="HJ130" s="22">
        <f t="shared" si="84"/>
        <v>58.434641621875102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267</v>
      </c>
      <c r="O131" s="13">
        <f>N131*VLOOKUP('Données projet'!$B$9,Paramètres!$A$1:$I$89,3,0)*VLOOKUP('Données projet'!$B$9,Paramètres!$A$1:$I$89,5,0)</f>
        <v>241.58159999999998</v>
      </c>
      <c r="P131" s="13">
        <f t="shared" si="87"/>
        <v>58.779689232021951</v>
      </c>
      <c r="Q131" s="20">
        <f t="shared" ref="Q131:Q153" si="108">(O131+P131)*0.475*44/12</f>
        <v>523.12924541243819</v>
      </c>
      <c r="R131" s="59">
        <f t="shared" ref="R131:R194" si="109">Q131+(I131+J131)*44/12</f>
        <v>816.46257874577145</v>
      </c>
      <c r="S131" s="59">
        <f ca="1">AVERAGE(OFFSET($R$3,0,0,'Données projet'!$E$9+1,1))-AVERAGE(OFFSET($H$3,0,0,'Données projet'!$E$9+1,1))</f>
        <v>364.3481978218424</v>
      </c>
      <c r="T131" s="59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58.429588336520986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58.429588336520986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636.99999999999977</v>
      </c>
      <c r="AJ131" s="13">
        <f>AI131*VLOOKUP('Données projet'!$B$10,Paramètres!$A$1:$I$89,3,0)*VLOOKUP('Données projet'!$B$10,Paramètres!$A$1:$I$89,5,0)</f>
        <v>356.08299999999991</v>
      </c>
      <c r="AK131" s="13">
        <f t="shared" si="89"/>
        <v>82.813805255716545</v>
      </c>
      <c r="AL131" s="20">
        <f t="shared" si="58"/>
        <v>764.41193582037283</v>
      </c>
      <c r="AM131" s="59">
        <f t="shared" si="59"/>
        <v>1057.7452691537062</v>
      </c>
      <c r="AN131" s="59">
        <f ca="1">AVERAGE(OFFSET($AM$3,0,0,'Données projet'!$E$10+1,1))-AVERAGE(OFFSET($H$3,0,0,'Données projet'!$E$10+1,1))</f>
        <v>443.34220761968419</v>
      </c>
      <c r="AO131" s="59">
        <f t="shared" si="90"/>
        <v>546.58234447298014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25.419814654707</v>
      </c>
      <c r="AV131" s="21">
        <f>EXP(-LN(2)/25)*AV130+(1-EXP(-LN(2)/25))/(LN(2)/25)*Calculateur!AQ131*Calculateur!AS131*VLOOKUP('Données projet'!$B$10,Paramètres!$A$1:$I$89,3,0)*0.475*44/12</f>
        <v>1.4492578869106041</v>
      </c>
      <c r="AW131" s="21">
        <f>EXP(-LN(2)/2)*AW130+(1-EXP(-LN(2)/2))/(LN(2)/2)*AQ131*AT131*VLOOKUP('Données projet'!$B$10,Paramètres!$A$1:$I$89,3,0)*0.475*44/12</f>
        <v>1.0732387140322926E-14</v>
      </c>
      <c r="AX131" s="21">
        <f t="shared" si="60"/>
        <v>26.869072541617616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403.99999999999989</v>
      </c>
      <c r="BE131" s="13">
        <f>BD131*VLOOKUP('Données projet'!$B$11,Paramètres!$A$1:$I$89,3,0)*VLOOKUP('Données projet'!$B$11,Paramètres!$A$1:$I$89,5,0)</f>
        <v>346.63199999999995</v>
      </c>
      <c r="BF131" s="13">
        <f t="shared" si="91"/>
        <v>80.868615263336864</v>
      </c>
      <c r="BG131" s="20">
        <f t="shared" si="61"/>
        <v>744.56357158364483</v>
      </c>
      <c r="BH131" s="59">
        <f t="shared" si="62"/>
        <v>1037.8969049169782</v>
      </c>
      <c r="BI131" s="59">
        <f ca="1">AVERAGE(OFFSET($BH$3,0,0,'Données projet'!$E$11+1,1))-AVERAGE(OFFSET($H$3,0,0,'Données projet'!$E$11+1,1))</f>
        <v>447.15627913956871</v>
      </c>
      <c r="BJ131" s="59">
        <f t="shared" si="92"/>
        <v>256.77417912163997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85.310163022877035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85.310163022877035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245.99999999999994</v>
      </c>
      <c r="BZ131" s="13">
        <f>BY131*VLOOKUP('Données projet'!$B$12,Paramètres!$A$1:$I$89,3,0)*VLOOKUP('Données projet'!$B$12,Paramètres!$A$1:$I$89,5,0)</f>
        <v>234.09359999999998</v>
      </c>
      <c r="CA131" s="13">
        <f t="shared" si="93"/>
        <v>57.166902703920208</v>
      </c>
      <c r="CB131" s="20">
        <f t="shared" si="64"/>
        <v>507.27870887599425</v>
      </c>
      <c r="CC131" s="59">
        <f t="shared" si="65"/>
        <v>800.61204220932757</v>
      </c>
      <c r="CD131" s="59">
        <f ca="1">AVERAGE(OFFSET($CC$3,0,0,'Données projet'!$E$12+1,1))-AVERAGE(OFFSET($H$3,0,0,'Données projet'!$E$12+1,1))</f>
        <v>448.94764480536713</v>
      </c>
      <c r="CE131" s="59">
        <f t="shared" si="94"/>
        <v>469.26760321719695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60.278610892934921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60.278610892934921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187.80389738728508</v>
      </c>
      <c r="CZ131" s="59">
        <f t="shared" si="96"/>
        <v>439.28159165815265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17.734447017902681</v>
      </c>
      <c r="DG131" s="21">
        <f>EXP(-LN(2)/25)*DG130+(1-EXP(-LN(2)/25))/(LN(2)/25)*Calculateur!DB131*Calculateur!DD131*VLOOKUP('Données projet'!$B$13,Paramètres!$A$1:$I$89,3,0)*0.475*44/12</f>
        <v>0.94981722623819942</v>
      </c>
      <c r="DH131" s="21">
        <f>EXP(-LN(2)/2)*DH130+(1-EXP(-LN(2)/2))/(LN(2)/2)*DB131*DE131*VLOOKUP('Données projet'!$B$13,Paramètres!$A$1:$I$89,3,0)*0.475*44/12</f>
        <v>7.9868566875793499E-17</v>
      </c>
      <c r="DI131" s="22">
        <f t="shared" si="69"/>
        <v>18.684264244140881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255.00000000000006</v>
      </c>
      <c r="DP131" s="17">
        <f>DO131*VLOOKUP('Données projet'!$B$14,Paramètres!$A$1:$I$89,3,0)*VLOOKUP('Données projet'!$B$14,Paramètres!$A$1:$I$89,5,0)</f>
        <v>186.96600000000004</v>
      </c>
      <c r="DQ131" s="13">
        <f t="shared" si="97"/>
        <v>46.868551400324648</v>
      </c>
      <c r="DR131" s="20">
        <f t="shared" si="70"/>
        <v>407.26184368889881</v>
      </c>
      <c r="DS131" s="59">
        <f t="shared" si="71"/>
        <v>700.59517702223206</v>
      </c>
      <c r="DT131" s="59">
        <f ca="1">AVERAGE(OFFSET($DS$3,0,0,'Données projet'!$E$14+1,1))-AVERAGE(OFFSET($H$3,0,0,'Données projet'!$E$14+1,1))</f>
        <v>239.25212250019609</v>
      </c>
      <c r="DU131" s="59">
        <f t="shared" si="98"/>
        <v>213.58492101729695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689</v>
      </c>
      <c r="EK131" s="17">
        <f>EJ131*VLOOKUP('Données projet'!$B$15,Paramètres!$A$1:$I$89,3,0)*VLOOKUP('Données projet'!$B$15,Paramètres!$A$1:$I$89,5,0)</f>
        <v>412.02199999999999</v>
      </c>
      <c r="EL131" s="13">
        <f t="shared" si="99"/>
        <v>94.209724877926391</v>
      </c>
      <c r="EM131" s="20">
        <f t="shared" si="73"/>
        <v>881.686920829055</v>
      </c>
      <c r="EN131" s="59">
        <f t="shared" si="74"/>
        <v>1175.0202541623883</v>
      </c>
      <c r="EO131" s="59">
        <f ca="1">AVERAGE(OFFSET($EN$3,0,0,'Données projet'!$E$15+1,1))-AVERAGE(OFFSET($H$3,0,0,'Données projet'!$E$15+1,1))</f>
        <v>504.81063008331739</v>
      </c>
      <c r="EP131" s="59">
        <f t="shared" si="100"/>
        <v>441.82647565372287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37.828112619014163</v>
      </c>
      <c r="EW131" s="21">
        <f>EXP(-LN(2)/25)*EW130+(1-EXP(-LN(2)/25))/(LN(2)/25)*Calculateur!ER131*Calculateur!ET131*VLOOKUP('Données projet'!$B$15,Paramètres!$A$1:$I$89,3,0)*0.475*44/12</f>
        <v>3.8897759136996251</v>
      </c>
      <c r="EX131" s="21">
        <f>EXP(-LN(2)/2)*EX130+(1-EXP(-LN(2)/2))/(LN(2)/2)*ER131*EU131*VLOOKUP('Données projet'!$B$15,Paramètres!$A$1:$I$89,3,0)*0.475*44/12</f>
        <v>9.3018643927217483E-17</v>
      </c>
      <c r="EY131" s="22">
        <f t="shared" si="75"/>
        <v>41.717888532713786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541.99999999999989</v>
      </c>
      <c r="FF131" s="17">
        <f>FE131*VLOOKUP('Données projet'!$B$16,Paramètres!$A$1:$I$89,3,0)*VLOOKUP('Données projet'!$B$16,Paramètres!$A$1:$I$89,5,0)</f>
        <v>310.02399999999994</v>
      </c>
      <c r="FG131" s="13">
        <f t="shared" si="101"/>
        <v>73.27384230442388</v>
      </c>
      <c r="FH131" s="20">
        <f t="shared" si="76"/>
        <v>667.57707534687154</v>
      </c>
      <c r="FI131" s="59">
        <f t="shared" si="77"/>
        <v>960.91040868020491</v>
      </c>
      <c r="FJ131" s="59">
        <f ca="1">AVERAGE(OFFSET($FI$3,0,0,'Données projet'!$E$16+1,1))-AVERAGE(OFFSET($H$3,0,0,'Données projet'!$E$16+1,1))</f>
        <v>393.41577134252316</v>
      </c>
      <c r="FK131" s="59">
        <f t="shared" si="102"/>
        <v>255.54039659391475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44.295005783634316</v>
      </c>
      <c r="FR131" s="21">
        <f>EXP(-LN(2)/25)*FR130+(1-EXP(-LN(2)/25))/(LN(2)/25)*Calculateur!FM131*Calculateur!FO131*VLOOKUP('Données projet'!$B$16,Paramètres!$A$1:$I$89,3,0)*0.475*44/12</f>
        <v>1.7652438229817544</v>
      </c>
      <c r="FS131" s="21">
        <f>EXP(-LN(2)/2)*FS130+(1-EXP(-LN(2)/2))/(LN(2)/2)*FM131*FP131*VLOOKUP('Données projet'!$B$16,Paramètres!$A$1:$I$89,3,0)*0.475*44/12</f>
        <v>6.4711923238494591E-16</v>
      </c>
      <c r="FT131" s="22">
        <f t="shared" si="78"/>
        <v>46.060249606616068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853.00000000000011</v>
      </c>
      <c r="GA131" s="17">
        <f>FZ131*VLOOKUP('Données projet'!$B$17,Paramètres!$A$1:$I$89,3,0)*VLOOKUP('Données projet'!$B$17,Paramètres!$A$1:$I$89,5,0)</f>
        <v>399.20400000000006</v>
      </c>
      <c r="GB131" s="13">
        <f t="shared" si="103"/>
        <v>91.615269732888521</v>
      </c>
      <c r="GC131" s="20">
        <f t="shared" si="79"/>
        <v>854.8435614514475</v>
      </c>
      <c r="GD131" s="59">
        <f t="shared" si="80"/>
        <v>1148.1768947847809</v>
      </c>
      <c r="GE131" s="59">
        <f ca="1">AVERAGE(OFFSET($GD$3,0,0,'Données projet'!$E$17+1,1))-AVERAGE(OFFSET($H$3,0,0,'Données projet'!$E$17+1,1))</f>
        <v>488.67934252295686</v>
      </c>
      <c r="GF131" s="59">
        <f t="shared" si="104"/>
        <v>424.50324471331095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53.567167932205699</v>
      </c>
      <c r="GM131" s="21">
        <f>EXP(-LN(2)/25)*GM130+(1-EXP(-LN(2)/25))/(LN(2)/25)*Calculateur!GH131*Calculateur!GJ131*VLOOKUP('Données projet'!$B$17,Paramètres!$A$1:$I$89,3,0)*0.475*44/12</f>
        <v>3.2362803421332171</v>
      </c>
      <c r="GN131" s="21">
        <f>EXP(-LN(2)/2)*GN130+(1-EXP(-LN(2)/2))/(LN(2)/2)*GH131*GK131*VLOOKUP('Données projet'!$B$17,Paramètres!$A$1:$I$89,3,0)*0.475*44/12</f>
        <v>1.4413110175846518E-15</v>
      </c>
      <c r="GO131" s="21">
        <f t="shared" si="81"/>
        <v>56.803448274338919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789</v>
      </c>
      <c r="GV131" s="17">
        <f>GU131*VLOOKUP('Données projet'!$B$18,Paramètres!$A$1:$I$89,3,0)*VLOOKUP('Données projet'!$B$18,Paramètres!$A$1:$I$89,5,0)</f>
        <v>379.50900000000001</v>
      </c>
      <c r="GW131" s="13">
        <f t="shared" si="105"/>
        <v>87.609801106074272</v>
      </c>
      <c r="GX131" s="20">
        <f t="shared" si="82"/>
        <v>813.56524525974601</v>
      </c>
      <c r="GY131" s="59">
        <f t="shared" si="83"/>
        <v>1106.8985785930793</v>
      </c>
      <c r="GZ131" s="59">
        <f ca="1">AVERAGE(OFFSET($GY$3,0,0,'Données projet'!$E$18+1,1))-AVERAGE(OFFSET($H$3,0,0,'Données projet'!$E$18+1,1))</f>
        <v>458.80976193248841</v>
      </c>
      <c r="HA131" s="59">
        <f t="shared" si="106"/>
        <v>396.07405370178759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54.240927963894634</v>
      </c>
      <c r="HH131" s="21">
        <f>EXP(-LN(2)/25)*HH130+(1-EXP(-LN(2)/25))/(LN(2)/25)*Calculateur!HC131*Calculateur!HE131*VLOOKUP('Données projet'!$B$18,Paramètres!$A$1:$I$89,3,0)*0.475*44/12</f>
        <v>3.0237972893668976</v>
      </c>
      <c r="HI131" s="21">
        <f>EXP(-LN(2)/2)*HI130+(1-EXP(-LN(2)/2))/(LN(2)/2)*HC131*HF131*VLOOKUP('Données projet'!$B$18,Paramètres!$A$1:$I$89,3,0)*0.475*44/12</f>
        <v>6.6509476661786157E-16</v>
      </c>
      <c r="HJ131" s="22">
        <f t="shared" si="84"/>
        <v>57.264725253261531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267</v>
      </c>
      <c r="O132" s="13">
        <f>N132*VLOOKUP('Données projet'!$B$9,Paramètres!$A$1:$I$89,3,0)*VLOOKUP('Données projet'!$B$9,Paramètres!$A$1:$I$89,5,0)</f>
        <v>241.58159999999998</v>
      </c>
      <c r="P132" s="13">
        <f t="shared" si="87"/>
        <v>58.779689232021951</v>
      </c>
      <c r="Q132" s="20">
        <f t="shared" si="108"/>
        <v>523.12924541243819</v>
      </c>
      <c r="R132" s="59">
        <f t="shared" si="109"/>
        <v>816.46257874577145</v>
      </c>
      <c r="S132" s="59">
        <f ca="1">AVERAGE(OFFSET($R$3,0,0,'Données projet'!$E$9+1,1))-AVERAGE(OFFSET($H$3,0,0,'Données projet'!$E$9+1,1))</f>
        <v>364.3481978218424</v>
      </c>
      <c r="T132" s="59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57.28381974777168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57.28381974777168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636.99999999999977</v>
      </c>
      <c r="AJ132" s="13">
        <f>AI132*VLOOKUP('Données projet'!$B$10,Paramètres!$A$1:$I$89,3,0)*VLOOKUP('Données projet'!$B$10,Paramètres!$A$1:$I$89,5,0)</f>
        <v>356.08299999999991</v>
      </c>
      <c r="AK132" s="13">
        <f t="shared" si="89"/>
        <v>82.813805255716545</v>
      </c>
      <c r="AL132" s="20">
        <f t="shared" ref="AL132:AL153" si="112">(AJ132+AK132)*0.475*44/12</f>
        <v>764.41193582037283</v>
      </c>
      <c r="AM132" s="59">
        <f t="shared" ref="AM132:AM195" si="113">AL132+(AD132+AE132)*44/12</f>
        <v>1057.7452691537062</v>
      </c>
      <c r="AN132" s="59">
        <f ca="1">AVERAGE(OFFSET($AM$3,0,0,'Données projet'!$E$10+1,1))-AVERAGE(OFFSET($H$3,0,0,'Données projet'!$E$10+1,1))</f>
        <v>443.34220761968419</v>
      </c>
      <c r="AO132" s="59">
        <f t="shared" si="90"/>
        <v>546.58234447298014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24.921347593884189</v>
      </c>
      <c r="AV132" s="21">
        <f>EXP(-LN(2)/25)*AV131+(1-EXP(-LN(2)/25))/(LN(2)/25)*Calculateur!AQ132*Calculateur!AS132*VLOOKUP('Données projet'!$B$10,Paramètres!$A$1:$I$89,3,0)*0.475*44/12</f>
        <v>1.4096278537798737</v>
      </c>
      <c r="AW132" s="21">
        <f>EXP(-LN(2)/2)*AW131+(1-EXP(-LN(2)/2))/(LN(2)/2)*AQ132*AT132*VLOOKUP('Données projet'!$B$10,Paramètres!$A$1:$I$89,3,0)*0.475*44/12</f>
        <v>7.5889437252416399E-15</v>
      </c>
      <c r="AX132" s="21">
        <f t="shared" ref="AX132:AX153" si="114">SUM(AU132:AW132)</f>
        <v>26.33097544766407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403.99999999999989</v>
      </c>
      <c r="BE132" s="13">
        <f>BD132*VLOOKUP('Données projet'!$B$11,Paramètres!$A$1:$I$89,3,0)*VLOOKUP('Données projet'!$B$11,Paramètres!$A$1:$I$89,5,0)</f>
        <v>346.63199999999995</v>
      </c>
      <c r="BF132" s="13">
        <f t="shared" si="91"/>
        <v>80.868615263336864</v>
      </c>
      <c r="BG132" s="20">
        <f t="shared" ref="BG132:BG153" si="115">(BE132+BF132)*0.475*44/12</f>
        <v>744.56357158364483</v>
      </c>
      <c r="BH132" s="59">
        <f t="shared" ref="BH132:BH195" si="116">BG132+(AY132+AZ132)*44/12</f>
        <v>1037.8969049169782</v>
      </c>
      <c r="BI132" s="59">
        <f ca="1">AVERAGE(OFFSET($BH$3,0,0,'Données projet'!$E$11+1,1))-AVERAGE(OFFSET($H$3,0,0,'Données projet'!$E$11+1,1))</f>
        <v>447.15627913956871</v>
      </c>
      <c r="BJ132" s="59">
        <f t="shared" si="92"/>
        <v>256.77417912163997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83.637282760059918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83.637282760059918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245.99999999999994</v>
      </c>
      <c r="BZ132" s="13">
        <f>BY132*VLOOKUP('Données projet'!$B$12,Paramètres!$A$1:$I$89,3,0)*VLOOKUP('Données projet'!$B$12,Paramètres!$A$1:$I$89,5,0)</f>
        <v>234.09359999999998</v>
      </c>
      <c r="CA132" s="13">
        <f t="shared" si="93"/>
        <v>57.166902703920208</v>
      </c>
      <c r="CB132" s="20">
        <f t="shared" ref="CB132:CB153" si="118">(BZ132+CA132)*0.475*44/12</f>
        <v>507.27870887599425</v>
      </c>
      <c r="CC132" s="59">
        <f t="shared" ref="CC132:CC195" si="119">CB132+(BT132+BU132)*44/12</f>
        <v>800.61204220932757</v>
      </c>
      <c r="CD132" s="59">
        <f ca="1">AVERAGE(OFFSET($CC$3,0,0,'Données projet'!$E$12+1,1))-AVERAGE(OFFSET($H$3,0,0,'Données projet'!$E$12+1,1))</f>
        <v>448.94764480536713</v>
      </c>
      <c r="CE132" s="59">
        <f t="shared" si="94"/>
        <v>469.26760321719695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59.096584099646741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59.096584099646741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187.80389738728508</v>
      </c>
      <c r="CZ132" s="59">
        <f t="shared" si="96"/>
        <v>439.28159165815265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17.386685328826207</v>
      </c>
      <c r="DG132" s="21">
        <f>EXP(-LN(2)/25)*DG131+(1-EXP(-LN(2)/25))/(LN(2)/25)*Calculateur!DB132*Calculateur!DD132*VLOOKUP('Données projet'!$B$13,Paramètres!$A$1:$I$89,3,0)*0.475*44/12</f>
        <v>0.92384442423799873</v>
      </c>
      <c r="DH132" s="21">
        <f>EXP(-LN(2)/2)*DH131+(1-EXP(-LN(2)/2))/(LN(2)/2)*DB132*DE132*VLOOKUP('Données projet'!$B$13,Paramètres!$A$1:$I$89,3,0)*0.475*44/12</f>
        <v>5.6475605241524851E-17</v>
      </c>
      <c r="DI132" s="22">
        <f t="shared" ref="DI132:DI153" si="123">SUM(DF132:DH132)</f>
        <v>18.310529753064205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255.00000000000006</v>
      </c>
      <c r="DP132" s="17">
        <f>DO132*VLOOKUP('Données projet'!$B$14,Paramètres!$A$1:$I$89,3,0)*VLOOKUP('Données projet'!$B$14,Paramètres!$A$1:$I$89,5,0)</f>
        <v>186.96600000000004</v>
      </c>
      <c r="DQ132" s="13">
        <f t="shared" si="97"/>
        <v>46.868551400324648</v>
      </c>
      <c r="DR132" s="20">
        <f t="shared" ref="DR132:DR153" si="124">(DP132+DQ132)*0.475*44/12</f>
        <v>407.26184368889881</v>
      </c>
      <c r="DS132" s="59">
        <f t="shared" ref="DS132:DS195" si="125">DR132+(DJ132+DK132)*44/12</f>
        <v>700.59517702223206</v>
      </c>
      <c r="DT132" s="59">
        <f ca="1">AVERAGE(OFFSET($DS$3,0,0,'Données projet'!$E$14+1,1))-AVERAGE(OFFSET($H$3,0,0,'Données projet'!$E$14+1,1))</f>
        <v>239.25212250019609</v>
      </c>
      <c r="DU132" s="59">
        <f t="shared" si="98"/>
        <v>213.58492101729695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689</v>
      </c>
      <c r="EK132" s="17">
        <f>EJ132*VLOOKUP('Données projet'!$B$15,Paramètres!$A$1:$I$89,3,0)*VLOOKUP('Données projet'!$B$15,Paramètres!$A$1:$I$89,5,0)</f>
        <v>412.02199999999999</v>
      </c>
      <c r="EL132" s="13">
        <f t="shared" si="99"/>
        <v>94.209724877926391</v>
      </c>
      <c r="EM132" s="20">
        <f t="shared" ref="EM132:EM153" si="127">(EK132+EL132)*0.475*44/12</f>
        <v>881.686920829055</v>
      </c>
      <c r="EN132" s="59">
        <f t="shared" ref="EN132:EN195" si="128">EM132+(EE132+EF132)*44/12</f>
        <v>1175.0202541623883</v>
      </c>
      <c r="EO132" s="59">
        <f ca="1">AVERAGE(OFFSET($EN$3,0,0,'Données projet'!$E$15+1,1))-AVERAGE(OFFSET($H$3,0,0,'Données projet'!$E$15+1,1))</f>
        <v>504.81063008331739</v>
      </c>
      <c r="EP132" s="59">
        <f t="shared" si="100"/>
        <v>441.82647565372287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37.086326403425737</v>
      </c>
      <c r="EW132" s="21">
        <f>EXP(-LN(2)/25)*EW131+(1-EXP(-LN(2)/25))/(LN(2)/25)*Calculateur!ER132*Calculateur!ET132*VLOOKUP('Données projet'!$B$15,Paramètres!$A$1:$I$89,3,0)*0.475*44/12</f>
        <v>3.7834097867850836</v>
      </c>
      <c r="EX132" s="21">
        <f>EXP(-LN(2)/2)*EX131+(1-EXP(-LN(2)/2))/(LN(2)/2)*ER132*EU132*VLOOKUP('Données projet'!$B$15,Paramètres!$A$1:$I$89,3,0)*0.475*44/12</f>
        <v>6.5774113897712349E-17</v>
      </c>
      <c r="EY132" s="22">
        <f t="shared" ref="EY132:EY153" si="129">SUM(EV132:EX132)</f>
        <v>40.869736190210823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541.99999999999989</v>
      </c>
      <c r="FF132" s="17">
        <f>FE132*VLOOKUP('Données projet'!$B$16,Paramètres!$A$1:$I$89,3,0)*VLOOKUP('Données projet'!$B$16,Paramètres!$A$1:$I$89,5,0)</f>
        <v>310.02399999999994</v>
      </c>
      <c r="FG132" s="13">
        <f t="shared" si="101"/>
        <v>73.27384230442388</v>
      </c>
      <c r="FH132" s="20">
        <f t="shared" ref="FH132:FH153" si="130">(FF132+FG132)*0.475*44/12</f>
        <v>667.57707534687154</v>
      </c>
      <c r="FI132" s="59">
        <f t="shared" ref="FI132:FI195" si="131">FH132+(EZ132+FA132)*44/12</f>
        <v>960.91040868020491</v>
      </c>
      <c r="FJ132" s="59">
        <f ca="1">AVERAGE(OFFSET($FI$3,0,0,'Données projet'!$E$16+1,1))-AVERAGE(OFFSET($H$3,0,0,'Données projet'!$E$16+1,1))</f>
        <v>393.41577134252316</v>
      </c>
      <c r="FK132" s="59">
        <f t="shared" si="102"/>
        <v>255.54039659391475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43.426407737503041</v>
      </c>
      <c r="FR132" s="21">
        <f>EXP(-LN(2)/25)*FR131+(1-EXP(-LN(2)/25))/(LN(2)/25)*Calculateur!FM132*Calculateur!FO132*VLOOKUP('Données projet'!$B$16,Paramètres!$A$1:$I$89,3,0)*0.475*44/12</f>
        <v>1.7169731378121802</v>
      </c>
      <c r="FS132" s="21">
        <f>EXP(-LN(2)/2)*FS131+(1-EXP(-LN(2)/2))/(LN(2)/2)*FM132*FP132*VLOOKUP('Données projet'!$B$16,Paramètres!$A$1:$I$89,3,0)*0.475*44/12</f>
        <v>4.5758239745562854E-16</v>
      </c>
      <c r="FT132" s="22">
        <f t="shared" ref="FT132:FT153" si="132">SUM(FQ132:FS132)</f>
        <v>45.143380875315223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853.00000000000011</v>
      </c>
      <c r="GA132" s="17">
        <f>FZ132*VLOOKUP('Données projet'!$B$17,Paramètres!$A$1:$I$89,3,0)*VLOOKUP('Données projet'!$B$17,Paramètres!$A$1:$I$89,5,0)</f>
        <v>399.20400000000006</v>
      </c>
      <c r="GB132" s="13">
        <f t="shared" si="103"/>
        <v>91.615269732888521</v>
      </c>
      <c r="GC132" s="20">
        <f t="shared" ref="GC132:GC153" si="133">(GA132+GB132)*0.475*44/12</f>
        <v>854.8435614514475</v>
      </c>
      <c r="GD132" s="59">
        <f t="shared" ref="GD132:GD195" si="134">GC132+(FU132+FV132)*44/12</f>
        <v>1148.1768947847809</v>
      </c>
      <c r="GE132" s="59">
        <f ca="1">AVERAGE(OFFSET($GD$3,0,0,'Données projet'!$E$17+1,1))-AVERAGE(OFFSET($H$3,0,0,'Données projet'!$E$17+1,1))</f>
        <v>488.67934252295686</v>
      </c>
      <c r="GF132" s="59">
        <f t="shared" si="104"/>
        <v>424.50324471331095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52.516748441801418</v>
      </c>
      <c r="GM132" s="21">
        <f>EXP(-LN(2)/25)*GM131+(1-EXP(-LN(2)/25))/(LN(2)/25)*Calculateur!GH132*Calculateur!GJ132*VLOOKUP('Données projet'!$B$17,Paramètres!$A$1:$I$89,3,0)*0.475*44/12</f>
        <v>3.1477840859889978</v>
      </c>
      <c r="GN132" s="21">
        <f>EXP(-LN(2)/2)*GN131+(1-EXP(-LN(2)/2))/(LN(2)/2)*GH132*GK132*VLOOKUP('Données projet'!$B$17,Paramètres!$A$1:$I$89,3,0)*0.475*44/12</f>
        <v>1.0191607943329905E-15</v>
      </c>
      <c r="GO132" s="21">
        <f t="shared" ref="GO132:GO153" si="135">SUM(GL132:GN132)</f>
        <v>55.664532527790413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789</v>
      </c>
      <c r="GV132" s="17">
        <f>GU132*VLOOKUP('Données projet'!$B$18,Paramètres!$A$1:$I$89,3,0)*VLOOKUP('Données projet'!$B$18,Paramètres!$A$1:$I$89,5,0)</f>
        <v>379.50900000000001</v>
      </c>
      <c r="GW132" s="13">
        <f t="shared" si="105"/>
        <v>87.609801106074272</v>
      </c>
      <c r="GX132" s="20">
        <f t="shared" ref="GX132:GX153" si="136">(GV132+GW132)*0.475*44/12</f>
        <v>813.56524525974601</v>
      </c>
      <c r="GY132" s="59">
        <f t="shared" ref="GY132:GY195" si="137">GX132+(GP132+GQ132)*44/12</f>
        <v>1106.8985785930793</v>
      </c>
      <c r="GZ132" s="59">
        <f ca="1">AVERAGE(OFFSET($GY$3,0,0,'Données projet'!$E$18+1,1))-AVERAGE(OFFSET($H$3,0,0,'Données projet'!$E$18+1,1))</f>
        <v>458.80976193248841</v>
      </c>
      <c r="HA132" s="59">
        <f t="shared" si="106"/>
        <v>396.07405370178759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53.177296450221974</v>
      </c>
      <c r="HH132" s="21">
        <f>EXP(-LN(2)/25)*HH131+(1-EXP(-LN(2)/25))/(LN(2)/25)*Calculateur!HC132*Calculateur!HE132*VLOOKUP('Données projet'!$B$18,Paramètres!$A$1:$I$89,3,0)*0.475*44/12</f>
        <v>2.9411113934745714</v>
      </c>
      <c r="HI132" s="21">
        <f>EXP(-LN(2)/2)*HI131+(1-EXP(-LN(2)/2))/(LN(2)/2)*HC132*HF132*VLOOKUP('Données projet'!$B$18,Paramètres!$A$1:$I$89,3,0)*0.475*44/12</f>
        <v>4.7029301960717413E-16</v>
      </c>
      <c r="HJ132" s="22">
        <f t="shared" ref="HJ132:HJ153" si="138">SUM(HG132:HI132)</f>
        <v>56.118407843696545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267</v>
      </c>
      <c r="O133" s="13">
        <f>N133*VLOOKUP('Données projet'!$B$9,Paramètres!$A$1:$I$89,3,0)*VLOOKUP('Données projet'!$B$9,Paramètres!$A$1:$I$89,5,0)</f>
        <v>241.58159999999998</v>
      </c>
      <c r="P133" s="13">
        <f t="shared" ref="P133:P196" si="141">EXP(-1.0587+0.8836*LN(O133)+0.284)</f>
        <v>58.779689232021951</v>
      </c>
      <c r="Q133" s="20">
        <f t="shared" si="108"/>
        <v>523.12924541243819</v>
      </c>
      <c r="R133" s="59">
        <f t="shared" si="109"/>
        <v>816.46257874577145</v>
      </c>
      <c r="S133" s="59">
        <f ca="1">AVERAGE(OFFSET($R$3,0,0,'Données projet'!$E$9+1,1))-AVERAGE(OFFSET($H$3,0,0,'Données projet'!$E$9+1,1))</f>
        <v>364.3481978218424</v>
      </c>
      <c r="T133" s="59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56.160518982197914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56.160518982197914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636.99999999999977</v>
      </c>
      <c r="AJ133" s="13">
        <f>AI133*VLOOKUP('Données projet'!$B$10,Paramètres!$A$1:$I$89,3,0)*VLOOKUP('Données projet'!$B$10,Paramètres!$A$1:$I$89,5,0)</f>
        <v>356.08299999999991</v>
      </c>
      <c r="AK133" s="13">
        <f t="shared" ref="AK133:AK153" si="143">EXP(-1.0587+0.8836*LN(AJ133)+0.284)</f>
        <v>82.813805255716545</v>
      </c>
      <c r="AL133" s="20">
        <f t="shared" si="112"/>
        <v>764.41193582037283</v>
      </c>
      <c r="AM133" s="59">
        <f t="shared" si="113"/>
        <v>1057.7452691537062</v>
      </c>
      <c r="AN133" s="59">
        <f ca="1">AVERAGE(OFFSET($AM$3,0,0,'Données projet'!$E$10+1,1))-AVERAGE(OFFSET($H$3,0,0,'Données projet'!$E$10+1,1))</f>
        <v>443.34220761968419</v>
      </c>
      <c r="AO133" s="59">
        <f t="shared" ref="AO133:AO196" si="144">$AO$3</f>
        <v>546.58234447298014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24.432655168089227</v>
      </c>
      <c r="AV133" s="21">
        <f>EXP(-LN(2)/25)*AV132+(1-EXP(-LN(2)/25))/(LN(2)/25)*Calculateur!AQ133*Calculateur!AS133*VLOOKUP('Données projet'!$B$10,Paramètres!$A$1:$I$89,3,0)*0.475*44/12</f>
        <v>1.3710815059891559</v>
      </c>
      <c r="AW133" s="21">
        <f>EXP(-LN(2)/2)*AW132+(1-EXP(-LN(2)/2))/(LN(2)/2)*AQ133*AT133*VLOOKUP('Données projet'!$B$10,Paramètres!$A$1:$I$89,3,0)*0.475*44/12</f>
        <v>5.3661935701614631E-15</v>
      </c>
      <c r="AX133" s="21">
        <f t="shared" si="114"/>
        <v>25.80373667407839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403.99999999999989</v>
      </c>
      <c r="BE133" s="13">
        <f>BD133*VLOOKUP('Données projet'!$B$11,Paramètres!$A$1:$I$89,3,0)*VLOOKUP('Données projet'!$B$11,Paramètres!$A$1:$I$89,5,0)</f>
        <v>346.63199999999995</v>
      </c>
      <c r="BF133" s="13">
        <f t="shared" ref="BF133:BF153" si="145">EXP(-1.0587+0.8836*LN(BE133)+0.284)</f>
        <v>80.868615263336864</v>
      </c>
      <c r="BG133" s="20">
        <f t="shared" si="115"/>
        <v>744.56357158364483</v>
      </c>
      <c r="BH133" s="59">
        <f t="shared" si="116"/>
        <v>1037.8969049169782</v>
      </c>
      <c r="BI133" s="59">
        <f ca="1">AVERAGE(OFFSET($BH$3,0,0,'Données projet'!$E$11+1,1))-AVERAGE(OFFSET($H$3,0,0,'Données projet'!$E$11+1,1))</f>
        <v>447.15627913956871</v>
      </c>
      <c r="BJ133" s="59">
        <f t="shared" ref="BJ133:BJ196" si="146">$BJ$3</f>
        <v>256.77417912163997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81.99720665884044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81.99720665884044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245.99999999999994</v>
      </c>
      <c r="BZ133" s="13">
        <f>BY133*VLOOKUP('Données projet'!$B$12,Paramètres!$A$1:$I$89,3,0)*VLOOKUP('Données projet'!$B$12,Paramètres!$A$1:$I$89,5,0)</f>
        <v>234.09359999999998</v>
      </c>
      <c r="CA133" s="13">
        <f t="shared" ref="CA133:CA153" si="147">EXP(-1.0587+0.8836*LN(BZ133)+0.284)</f>
        <v>57.166902703920208</v>
      </c>
      <c r="CB133" s="20">
        <f t="shared" si="118"/>
        <v>507.27870887599425</v>
      </c>
      <c r="CC133" s="59">
        <f t="shared" si="119"/>
        <v>800.61204220932757</v>
      </c>
      <c r="CD133" s="59">
        <f ca="1">AVERAGE(OFFSET($CC$3,0,0,'Données projet'!$E$12+1,1))-AVERAGE(OFFSET($H$3,0,0,'Données projet'!$E$12+1,1))</f>
        <v>448.94764480536713</v>
      </c>
      <c r="CE133" s="59">
        <f t="shared" ref="CE133:CE196" si="148">$CE$3</f>
        <v>469.26760321719695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57.937736130809789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57.937736130809789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187.80389738728508</v>
      </c>
      <c r="CZ133" s="59">
        <f t="shared" ref="CZ133:CZ196" si="150">$CZ$3</f>
        <v>439.28159165815265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17.045743034358836</v>
      </c>
      <c r="DG133" s="21">
        <f>EXP(-LN(2)/25)*DG132+(1-EXP(-LN(2)/25))/(LN(2)/25)*Calculateur!DB133*Calculateur!DD133*VLOOKUP('Données projet'!$B$13,Paramètres!$A$1:$I$89,3,0)*0.475*44/12</f>
        <v>0.89858184987434386</v>
      </c>
      <c r="DH133" s="21">
        <f>EXP(-LN(2)/2)*DH132+(1-EXP(-LN(2)/2))/(LN(2)/2)*DB133*DE133*VLOOKUP('Données projet'!$B$13,Paramètres!$A$1:$I$89,3,0)*0.475*44/12</f>
        <v>3.9934283437896749E-17</v>
      </c>
      <c r="DI133" s="22">
        <f t="shared" si="123"/>
        <v>17.944324884233179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255.00000000000006</v>
      </c>
      <c r="DP133" s="17">
        <f>DO133*VLOOKUP('Données projet'!$B$14,Paramètres!$A$1:$I$89,3,0)*VLOOKUP('Données projet'!$B$14,Paramètres!$A$1:$I$89,5,0)</f>
        <v>186.96600000000004</v>
      </c>
      <c r="DQ133" s="13">
        <f t="shared" ref="DQ133:DQ153" si="151">EXP(-1.0587+0.8836*LN(DP133)+0.284)</f>
        <v>46.868551400324648</v>
      </c>
      <c r="DR133" s="20">
        <f t="shared" si="124"/>
        <v>407.26184368889881</v>
      </c>
      <c r="DS133" s="59">
        <f t="shared" si="125"/>
        <v>700.59517702223206</v>
      </c>
      <c r="DT133" s="59">
        <f ca="1">AVERAGE(OFFSET($DS$3,0,0,'Données projet'!$E$14+1,1))-AVERAGE(OFFSET($H$3,0,0,'Données projet'!$E$14+1,1))</f>
        <v>239.25212250019609</v>
      </c>
      <c r="DU133" s="59">
        <f t="shared" ref="DU133:DU196" si="152">$DU$3</f>
        <v>213.58492101729695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689</v>
      </c>
      <c r="EK133" s="17">
        <f>EJ133*VLOOKUP('Données projet'!$B$15,Paramètres!$A$1:$I$89,3,0)*VLOOKUP('Données projet'!$B$15,Paramètres!$A$1:$I$89,5,0)</f>
        <v>412.02199999999999</v>
      </c>
      <c r="EL133" s="13">
        <f t="shared" ref="EL133:EL153" si="153">EXP(-1.0587+0.8836*LN(EK133)+0.284)</f>
        <v>94.209724877926391</v>
      </c>
      <c r="EM133" s="20">
        <f t="shared" si="127"/>
        <v>881.686920829055</v>
      </c>
      <c r="EN133" s="59">
        <f t="shared" si="128"/>
        <v>1175.0202541623883</v>
      </c>
      <c r="EO133" s="59">
        <f ca="1">AVERAGE(OFFSET($EN$3,0,0,'Données projet'!$E$15+1,1))-AVERAGE(OFFSET($H$3,0,0,'Données projet'!$E$15+1,1))</f>
        <v>504.81063008331739</v>
      </c>
      <c r="EP133" s="59">
        <f t="shared" ref="EP133:EP196" si="154">$EP$3</f>
        <v>441.82647565372287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36.359086163080086</v>
      </c>
      <c r="EW133" s="21">
        <f>EXP(-LN(2)/25)*EW132+(1-EXP(-LN(2)/25))/(LN(2)/25)*Calculateur!ER133*Calculateur!ET133*VLOOKUP('Données projet'!$B$15,Paramètres!$A$1:$I$89,3,0)*0.475*44/12</f>
        <v>3.679952247204572</v>
      </c>
      <c r="EX133" s="21">
        <f>EXP(-LN(2)/2)*EX132+(1-EXP(-LN(2)/2))/(LN(2)/2)*ER133*EU133*VLOOKUP('Données projet'!$B$15,Paramètres!$A$1:$I$89,3,0)*0.475*44/12</f>
        <v>4.6509321963608741E-17</v>
      </c>
      <c r="EY133" s="22">
        <f t="shared" si="129"/>
        <v>40.039038410284661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541.99999999999989</v>
      </c>
      <c r="FF133" s="17">
        <f>FE133*VLOOKUP('Données projet'!$B$16,Paramètres!$A$1:$I$89,3,0)*VLOOKUP('Données projet'!$B$16,Paramètres!$A$1:$I$89,5,0)</f>
        <v>310.02399999999994</v>
      </c>
      <c r="FG133" s="13">
        <f t="shared" ref="FG133:FG153" si="155">EXP(-1.0587+0.8836*LN(FF133)+0.284)</f>
        <v>73.27384230442388</v>
      </c>
      <c r="FH133" s="20">
        <f t="shared" si="130"/>
        <v>667.57707534687154</v>
      </c>
      <c r="FI133" s="59">
        <f t="shared" si="131"/>
        <v>960.91040868020491</v>
      </c>
      <c r="FJ133" s="59">
        <f ca="1">AVERAGE(OFFSET($FI$3,0,0,'Données projet'!$E$16+1,1))-AVERAGE(OFFSET($H$3,0,0,'Données projet'!$E$16+1,1))</f>
        <v>393.41577134252316</v>
      </c>
      <c r="FK133" s="59">
        <f t="shared" ref="FK133:FK196" si="156">$FK$3</f>
        <v>255.54039659391475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42.574842369263905</v>
      </c>
      <c r="FR133" s="21">
        <f>EXP(-LN(2)/25)*FR132+(1-EXP(-LN(2)/25))/(LN(2)/25)*Calculateur!FM133*Calculateur!FO133*VLOOKUP('Données projet'!$B$16,Paramètres!$A$1:$I$89,3,0)*0.475*44/12</f>
        <v>1.670022417067013</v>
      </c>
      <c r="FS133" s="21">
        <f>EXP(-LN(2)/2)*FS132+(1-EXP(-LN(2)/2))/(LN(2)/2)*FM133*FP133*VLOOKUP('Données projet'!$B$16,Paramètres!$A$1:$I$89,3,0)*0.475*44/12</f>
        <v>3.2355961619247296E-16</v>
      </c>
      <c r="FT133" s="22">
        <f t="shared" si="132"/>
        <v>44.244864786330915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853.00000000000011</v>
      </c>
      <c r="GA133" s="17">
        <f>FZ133*VLOOKUP('Données projet'!$B$17,Paramètres!$A$1:$I$89,3,0)*VLOOKUP('Données projet'!$B$17,Paramètres!$A$1:$I$89,5,0)</f>
        <v>399.20400000000006</v>
      </c>
      <c r="GB133" s="13">
        <f t="shared" ref="GB133:GB153" si="157">EXP(-1.0587+0.8836*LN(GA133)+0.284)</f>
        <v>91.615269732888521</v>
      </c>
      <c r="GC133" s="20">
        <f t="shared" si="133"/>
        <v>854.8435614514475</v>
      </c>
      <c r="GD133" s="59">
        <f t="shared" si="134"/>
        <v>1148.1768947847809</v>
      </c>
      <c r="GE133" s="59">
        <f ca="1">AVERAGE(OFFSET($GD$3,0,0,'Données projet'!$E$17+1,1))-AVERAGE(OFFSET($H$3,0,0,'Données projet'!$E$17+1,1))</f>
        <v>488.67934252295686</v>
      </c>
      <c r="GF133" s="59">
        <f t="shared" ref="GF133:GF196" si="158">$GF$3</f>
        <v>424.50324471331095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51.486927036911339</v>
      </c>
      <c r="GM133" s="21">
        <f>EXP(-LN(2)/25)*GM132+(1-EXP(-LN(2)/25))/(LN(2)/25)*Calculateur!GH133*Calculateur!GJ133*VLOOKUP('Données projet'!$B$17,Paramètres!$A$1:$I$89,3,0)*0.475*44/12</f>
        <v>3.0617077646228581</v>
      </c>
      <c r="GN133" s="21">
        <f>EXP(-LN(2)/2)*GN132+(1-EXP(-LN(2)/2))/(LN(2)/2)*GH133*GK133*VLOOKUP('Données projet'!$B$17,Paramètres!$A$1:$I$89,3,0)*0.475*44/12</f>
        <v>7.2065550879232592E-16</v>
      </c>
      <c r="GO133" s="21">
        <f t="shared" si="135"/>
        <v>54.548634801534199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789</v>
      </c>
      <c r="GV133" s="17">
        <f>GU133*VLOOKUP('Données projet'!$B$18,Paramètres!$A$1:$I$89,3,0)*VLOOKUP('Données projet'!$B$18,Paramètres!$A$1:$I$89,5,0)</f>
        <v>379.50900000000001</v>
      </c>
      <c r="GW133" s="13">
        <f t="shared" ref="GW133:GW153" si="159">EXP(-1.0587+0.8836*LN(GV133)+0.284)</f>
        <v>87.609801106074272</v>
      </c>
      <c r="GX133" s="20">
        <f t="shared" si="136"/>
        <v>813.56524525974601</v>
      </c>
      <c r="GY133" s="59">
        <f t="shared" si="137"/>
        <v>1106.8985785930793</v>
      </c>
      <c r="GZ133" s="59">
        <f ca="1">AVERAGE(OFFSET($GY$3,0,0,'Données projet'!$E$18+1,1))-AVERAGE(OFFSET($H$3,0,0,'Données projet'!$E$18+1,1))</f>
        <v>458.80976193248841</v>
      </c>
      <c r="HA133" s="59">
        <f t="shared" ref="HA133:HA196" si="160">$HA$3</f>
        <v>396.07405370178759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52.134522101781272</v>
      </c>
      <c r="HH133" s="21">
        <f>EXP(-LN(2)/25)*HH132+(1-EXP(-LN(2)/25))/(LN(2)/25)*Calculateur!HC133*Calculateur!HE133*VLOOKUP('Données projet'!$B$18,Paramètres!$A$1:$I$89,3,0)*0.475*44/12</f>
        <v>2.8606865477536831</v>
      </c>
      <c r="HI133" s="21">
        <f>EXP(-LN(2)/2)*HI132+(1-EXP(-LN(2)/2))/(LN(2)/2)*HC133*HF133*VLOOKUP('Données projet'!$B$18,Paramètres!$A$1:$I$89,3,0)*0.475*44/12</f>
        <v>3.3254738330893079E-16</v>
      </c>
      <c r="HJ133" s="22">
        <f t="shared" si="138"/>
        <v>54.995208649534952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267</v>
      </c>
      <c r="O134" s="13">
        <f>N134*VLOOKUP('Données projet'!$B$9,Paramètres!$A$1:$I$89,3,0)*VLOOKUP('Données projet'!$B$9,Paramètres!$A$1:$I$89,5,0)</f>
        <v>241.58159999999998</v>
      </c>
      <c r="P134" s="13">
        <f t="shared" si="141"/>
        <v>58.779689232021951</v>
      </c>
      <c r="Q134" s="20">
        <f t="shared" si="108"/>
        <v>523.12924541243819</v>
      </c>
      <c r="R134" s="59">
        <f t="shared" si="109"/>
        <v>816.46257874577145</v>
      </c>
      <c r="S134" s="59">
        <f ca="1">AVERAGE(OFFSET($R$3,0,0,'Données projet'!$E$9+1,1))-AVERAGE(OFFSET($H$3,0,0,'Données projet'!$E$9+1,1))</f>
        <v>364.3481978218424</v>
      </c>
      <c r="T134" s="59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55.059245459491237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55.059245459491237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636.99999999999977</v>
      </c>
      <c r="AJ134" s="13">
        <f>AI134*VLOOKUP('Données projet'!$B$10,Paramètres!$A$1:$I$89,3,0)*VLOOKUP('Données projet'!$B$10,Paramètres!$A$1:$I$89,5,0)</f>
        <v>356.08299999999991</v>
      </c>
      <c r="AK134" s="13">
        <f t="shared" si="143"/>
        <v>82.813805255716545</v>
      </c>
      <c r="AL134" s="20">
        <f t="shared" si="112"/>
        <v>764.41193582037283</v>
      </c>
      <c r="AM134" s="59">
        <f t="shared" si="113"/>
        <v>1057.7452691537062</v>
      </c>
      <c r="AN134" s="59">
        <f ca="1">AVERAGE(OFFSET($AM$3,0,0,'Données projet'!$E$10+1,1))-AVERAGE(OFFSET($H$3,0,0,'Données projet'!$E$10+1,1))</f>
        <v>443.34220761968419</v>
      </c>
      <c r="AO134" s="59">
        <f t="shared" si="144"/>
        <v>546.58234447298014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23.953545702691155</v>
      </c>
      <c r="AV134" s="21">
        <f>EXP(-LN(2)/25)*AV133+(1-EXP(-LN(2)/25))/(LN(2)/25)*Calculateur!AQ134*Calculateur!AS134*VLOOKUP('Données projet'!$B$10,Paramètres!$A$1:$I$89,3,0)*0.475*44/12</f>
        <v>1.3335892101058398</v>
      </c>
      <c r="AW134" s="21">
        <f>EXP(-LN(2)/2)*AW133+(1-EXP(-LN(2)/2))/(LN(2)/2)*AQ134*AT134*VLOOKUP('Données projet'!$B$10,Paramètres!$A$1:$I$89,3,0)*0.475*44/12</f>
        <v>3.7944718626208199E-15</v>
      </c>
      <c r="AX134" s="21">
        <f t="shared" si="114"/>
        <v>25.287134912796997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403.99999999999989</v>
      </c>
      <c r="BE134" s="13">
        <f>BD134*VLOOKUP('Données projet'!$B$11,Paramètres!$A$1:$I$89,3,0)*VLOOKUP('Données projet'!$B$11,Paramètres!$A$1:$I$89,5,0)</f>
        <v>346.63199999999995</v>
      </c>
      <c r="BF134" s="13">
        <f t="shared" si="145"/>
        <v>80.868615263336864</v>
      </c>
      <c r="BG134" s="20">
        <f t="shared" si="115"/>
        <v>744.56357158364483</v>
      </c>
      <c r="BH134" s="59">
        <f t="shared" si="116"/>
        <v>1037.8969049169782</v>
      </c>
      <c r="BI134" s="59">
        <f ca="1">AVERAGE(OFFSET($BH$3,0,0,'Données projet'!$E$11+1,1))-AVERAGE(OFFSET($H$3,0,0,'Données projet'!$E$11+1,1))</f>
        <v>447.15627913956871</v>
      </c>
      <c r="BJ134" s="59">
        <f t="shared" si="146"/>
        <v>256.77417912163997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80.389291449618227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80.389291449618227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245.99999999999994</v>
      </c>
      <c r="BZ134" s="13">
        <f>BY134*VLOOKUP('Données projet'!$B$12,Paramètres!$A$1:$I$89,3,0)*VLOOKUP('Données projet'!$B$12,Paramètres!$A$1:$I$89,5,0)</f>
        <v>234.09359999999998</v>
      </c>
      <c r="CA134" s="13">
        <f t="shared" si="147"/>
        <v>57.166902703920208</v>
      </c>
      <c r="CB134" s="20">
        <f t="shared" si="118"/>
        <v>507.27870887599425</v>
      </c>
      <c r="CC134" s="59">
        <f t="shared" si="119"/>
        <v>800.61204220932757</v>
      </c>
      <c r="CD134" s="59">
        <f ca="1">AVERAGE(OFFSET($CC$3,0,0,'Données projet'!$E$12+1,1))-AVERAGE(OFFSET($H$3,0,0,'Données projet'!$E$12+1,1))</f>
        <v>448.94764480536713</v>
      </c>
      <c r="CE134" s="59">
        <f t="shared" si="148"/>
        <v>469.26760321719695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56.801612463814259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56.801612463814259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187.80389738728508</v>
      </c>
      <c r="CZ134" s="59">
        <f t="shared" si="150"/>
        <v>439.28159165815265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16.711486410331702</v>
      </c>
      <c r="DG134" s="21">
        <f>EXP(-LN(2)/25)*DG133+(1-EXP(-LN(2)/25))/(LN(2)/25)*Calculateur!DB134*Calculateur!DD134*VLOOKUP('Données projet'!$B$13,Paramètres!$A$1:$I$89,3,0)*0.475*44/12</f>
        <v>0.87401008193516416</v>
      </c>
      <c r="DH134" s="21">
        <f>EXP(-LN(2)/2)*DH133+(1-EXP(-LN(2)/2))/(LN(2)/2)*DB134*DE134*VLOOKUP('Données projet'!$B$13,Paramètres!$A$1:$I$89,3,0)*0.475*44/12</f>
        <v>2.8237802620762425E-17</v>
      </c>
      <c r="DI134" s="22">
        <f t="shared" si="123"/>
        <v>17.585496492266866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255.00000000000006</v>
      </c>
      <c r="DP134" s="17">
        <f>DO134*VLOOKUP('Données projet'!$B$14,Paramètres!$A$1:$I$89,3,0)*VLOOKUP('Données projet'!$B$14,Paramètres!$A$1:$I$89,5,0)</f>
        <v>186.96600000000004</v>
      </c>
      <c r="DQ134" s="13">
        <f t="shared" si="151"/>
        <v>46.868551400324648</v>
      </c>
      <c r="DR134" s="20">
        <f t="shared" si="124"/>
        <v>407.26184368889881</v>
      </c>
      <c r="DS134" s="59">
        <f t="shared" si="125"/>
        <v>700.59517702223206</v>
      </c>
      <c r="DT134" s="59">
        <f ca="1">AVERAGE(OFFSET($DS$3,0,0,'Données projet'!$E$14+1,1))-AVERAGE(OFFSET($H$3,0,0,'Données projet'!$E$14+1,1))</f>
        <v>239.25212250019609</v>
      </c>
      <c r="DU134" s="59">
        <f t="shared" si="152"/>
        <v>213.58492101729695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689</v>
      </c>
      <c r="EK134" s="17">
        <f>EJ134*VLOOKUP('Données projet'!$B$15,Paramètres!$A$1:$I$89,3,0)*VLOOKUP('Données projet'!$B$15,Paramètres!$A$1:$I$89,5,0)</f>
        <v>412.02199999999999</v>
      </c>
      <c r="EL134" s="13">
        <f t="shared" si="153"/>
        <v>94.209724877926391</v>
      </c>
      <c r="EM134" s="20">
        <f t="shared" si="127"/>
        <v>881.686920829055</v>
      </c>
      <c r="EN134" s="59">
        <f t="shared" si="128"/>
        <v>1175.0202541623883</v>
      </c>
      <c r="EO134" s="59">
        <f ca="1">AVERAGE(OFFSET($EN$3,0,0,'Données projet'!$E$15+1,1))-AVERAGE(OFFSET($H$3,0,0,'Données projet'!$E$15+1,1))</f>
        <v>504.81063008331739</v>
      </c>
      <c r="EP134" s="59">
        <f t="shared" si="154"/>
        <v>441.82647565372287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35.64610666027486</v>
      </c>
      <c r="EW134" s="21">
        <f>EXP(-LN(2)/25)*EW133+(1-EXP(-LN(2)/25))/(LN(2)/25)*Calculateur!ER134*Calculateur!ET134*VLOOKUP('Données projet'!$B$15,Paramètres!$A$1:$I$89,3,0)*0.475*44/12</f>
        <v>3.5793237594844851</v>
      </c>
      <c r="EX134" s="21">
        <f>EXP(-LN(2)/2)*EX133+(1-EXP(-LN(2)/2))/(LN(2)/2)*ER134*EU134*VLOOKUP('Données projet'!$B$15,Paramètres!$A$1:$I$89,3,0)*0.475*44/12</f>
        <v>3.2887056948856174E-17</v>
      </c>
      <c r="EY134" s="22">
        <f t="shared" si="129"/>
        <v>39.225430419759348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541.99999999999989</v>
      </c>
      <c r="FF134" s="17">
        <f>FE134*VLOOKUP('Données projet'!$B$16,Paramètres!$A$1:$I$89,3,0)*VLOOKUP('Données projet'!$B$16,Paramètres!$A$1:$I$89,5,0)</f>
        <v>310.02399999999994</v>
      </c>
      <c r="FG134" s="13">
        <f t="shared" si="155"/>
        <v>73.27384230442388</v>
      </c>
      <c r="FH134" s="20">
        <f t="shared" si="130"/>
        <v>667.57707534687154</v>
      </c>
      <c r="FI134" s="59">
        <f t="shared" si="131"/>
        <v>960.91040868020491</v>
      </c>
      <c r="FJ134" s="59">
        <f ca="1">AVERAGE(OFFSET($FI$3,0,0,'Données projet'!$E$16+1,1))-AVERAGE(OFFSET($H$3,0,0,'Données projet'!$E$16+1,1))</f>
        <v>393.41577134252316</v>
      </c>
      <c r="FK134" s="59">
        <f t="shared" si="156"/>
        <v>255.54039659391475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41.73997567849235</v>
      </c>
      <c r="FR134" s="21">
        <f>EXP(-LN(2)/25)*FR133+(1-EXP(-LN(2)/25))/(LN(2)/25)*Calculateur!FM134*Calculateur!FO134*VLOOKUP('Données projet'!$B$16,Paramètres!$A$1:$I$89,3,0)*0.475*44/12</f>
        <v>1.6243555662496536</v>
      </c>
      <c r="FS134" s="21">
        <f>EXP(-LN(2)/2)*FS133+(1-EXP(-LN(2)/2))/(LN(2)/2)*FM134*FP134*VLOOKUP('Données projet'!$B$16,Paramètres!$A$1:$I$89,3,0)*0.475*44/12</f>
        <v>2.2879119872781427E-16</v>
      </c>
      <c r="FT134" s="22">
        <f t="shared" si="132"/>
        <v>43.364331244742004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853.00000000000011</v>
      </c>
      <c r="GA134" s="17">
        <f>FZ134*VLOOKUP('Données projet'!$B$17,Paramètres!$A$1:$I$89,3,0)*VLOOKUP('Données projet'!$B$17,Paramètres!$A$1:$I$89,5,0)</f>
        <v>399.20400000000006</v>
      </c>
      <c r="GB134" s="13">
        <f t="shared" si="157"/>
        <v>91.615269732888521</v>
      </c>
      <c r="GC134" s="20">
        <f t="shared" si="133"/>
        <v>854.8435614514475</v>
      </c>
      <c r="GD134" s="59">
        <f t="shared" si="134"/>
        <v>1148.1768947847809</v>
      </c>
      <c r="GE134" s="59">
        <f ca="1">AVERAGE(OFFSET($GD$3,0,0,'Données projet'!$E$17+1,1))-AVERAGE(OFFSET($H$3,0,0,'Données projet'!$E$17+1,1))</f>
        <v>488.67934252295686</v>
      </c>
      <c r="GF134" s="59">
        <f t="shared" si="158"/>
        <v>424.50324471331095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50.477299801642118</v>
      </c>
      <c r="GM134" s="21">
        <f>EXP(-LN(2)/25)*GM133+(1-EXP(-LN(2)/25))/(LN(2)/25)*Calculateur!GH134*Calculateur!GJ134*VLOOKUP('Données projet'!$B$17,Paramètres!$A$1:$I$89,3,0)*0.475*44/12</f>
        <v>2.9779852047910325</v>
      </c>
      <c r="GN134" s="21">
        <f>EXP(-LN(2)/2)*GN133+(1-EXP(-LN(2)/2))/(LN(2)/2)*GH134*GK134*VLOOKUP('Données projet'!$B$17,Paramètres!$A$1:$I$89,3,0)*0.475*44/12</f>
        <v>5.0958039716649526E-16</v>
      </c>
      <c r="GO134" s="21">
        <f t="shared" si="135"/>
        <v>53.455285006433151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789</v>
      </c>
      <c r="GV134" s="17">
        <f>GU134*VLOOKUP('Données projet'!$B$18,Paramètres!$A$1:$I$89,3,0)*VLOOKUP('Données projet'!$B$18,Paramètres!$A$1:$I$89,5,0)</f>
        <v>379.50900000000001</v>
      </c>
      <c r="GW134" s="13">
        <f t="shared" si="159"/>
        <v>87.609801106074272</v>
      </c>
      <c r="GX134" s="20">
        <f t="shared" si="136"/>
        <v>813.56524525974601</v>
      </c>
      <c r="GY134" s="59">
        <f t="shared" si="137"/>
        <v>1106.8985785930793</v>
      </c>
      <c r="GZ134" s="59">
        <f ca="1">AVERAGE(OFFSET($GY$3,0,0,'Données projet'!$E$18+1,1))-AVERAGE(OFFSET($H$3,0,0,'Données projet'!$E$18+1,1))</f>
        <v>458.80976193248841</v>
      </c>
      <c r="HA134" s="59">
        <f t="shared" si="160"/>
        <v>396.07405370178759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51.112195922283938</v>
      </c>
      <c r="HH134" s="21">
        <f>EXP(-LN(2)/25)*HH133+(1-EXP(-LN(2)/25))/(LN(2)/25)*Calculateur!HC134*Calculateur!HE134*VLOOKUP('Données projet'!$B$18,Paramètres!$A$1:$I$89,3,0)*0.475*44/12</f>
        <v>2.7824609236683915</v>
      </c>
      <c r="HI134" s="21">
        <f>EXP(-LN(2)/2)*HI133+(1-EXP(-LN(2)/2))/(LN(2)/2)*HC134*HF134*VLOOKUP('Données projet'!$B$18,Paramètres!$A$1:$I$89,3,0)*0.475*44/12</f>
        <v>2.3514650980358707E-16</v>
      </c>
      <c r="HJ134" s="22">
        <f t="shared" si="138"/>
        <v>53.894656845952326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267</v>
      </c>
      <c r="O135" s="13">
        <f>N135*VLOOKUP('Données projet'!$B$9,Paramètres!$A$1:$I$89,3,0)*VLOOKUP('Données projet'!$B$9,Paramètres!$A$1:$I$89,5,0)</f>
        <v>241.58159999999998</v>
      </c>
      <c r="P135" s="13">
        <f t="shared" si="141"/>
        <v>58.779689232021951</v>
      </c>
      <c r="Q135" s="20">
        <f t="shared" si="108"/>
        <v>523.12924541243819</v>
      </c>
      <c r="R135" s="59">
        <f t="shared" si="109"/>
        <v>816.46257874577145</v>
      </c>
      <c r="S135" s="59">
        <f ca="1">AVERAGE(OFFSET($R$3,0,0,'Données projet'!$E$9+1,1))-AVERAGE(OFFSET($H$3,0,0,'Données projet'!$E$9+1,1))</f>
        <v>364.3481978218424</v>
      </c>
      <c r="T135" s="59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53.979567238854315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53.979567238854315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636.99999999999977</v>
      </c>
      <c r="AJ135" s="13">
        <f>AI135*VLOOKUP('Données projet'!$B$10,Paramètres!$A$1:$I$89,3,0)*VLOOKUP('Données projet'!$B$10,Paramètres!$A$1:$I$89,5,0)</f>
        <v>356.08299999999991</v>
      </c>
      <c r="AK135" s="13">
        <f t="shared" si="143"/>
        <v>82.813805255716545</v>
      </c>
      <c r="AL135" s="20">
        <f t="shared" si="112"/>
        <v>764.41193582037283</v>
      </c>
      <c r="AM135" s="59">
        <f t="shared" si="113"/>
        <v>1057.7452691537062</v>
      </c>
      <c r="AN135" s="59">
        <f ca="1">AVERAGE(OFFSET($AM$3,0,0,'Données projet'!$E$10+1,1))-AVERAGE(OFFSET($H$3,0,0,'Données projet'!$E$10+1,1))</f>
        <v>443.34220761968419</v>
      </c>
      <c r="AO135" s="59">
        <f t="shared" si="144"/>
        <v>546.58234447298014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23.483831281681621</v>
      </c>
      <c r="AV135" s="21">
        <f>EXP(-LN(2)/25)*AV134+(1-EXP(-LN(2)/25))/(LN(2)/25)*Calculateur!AQ135*Calculateur!AS135*VLOOKUP('Données projet'!$B$10,Paramètres!$A$1:$I$89,3,0)*0.475*44/12</f>
        <v>1.297122143025087</v>
      </c>
      <c r="AW135" s="21">
        <f>EXP(-LN(2)/2)*AW134+(1-EXP(-LN(2)/2))/(LN(2)/2)*AQ135*AT135*VLOOKUP('Données projet'!$B$10,Paramètres!$A$1:$I$89,3,0)*0.475*44/12</f>
        <v>2.6830967850807316E-15</v>
      </c>
      <c r="AX135" s="21">
        <f t="shared" si="114"/>
        <v>24.780953424706713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403.99999999999989</v>
      </c>
      <c r="BE135" s="13">
        <f>BD135*VLOOKUP('Données projet'!$B$11,Paramètres!$A$1:$I$89,3,0)*VLOOKUP('Données projet'!$B$11,Paramètres!$A$1:$I$89,5,0)</f>
        <v>346.63199999999995</v>
      </c>
      <c r="BF135" s="13">
        <f t="shared" si="145"/>
        <v>80.868615263336864</v>
      </c>
      <c r="BG135" s="20">
        <f t="shared" si="115"/>
        <v>744.56357158364483</v>
      </c>
      <c r="BH135" s="59">
        <f t="shared" si="116"/>
        <v>1037.8969049169782</v>
      </c>
      <c r="BI135" s="59">
        <f ca="1">AVERAGE(OFFSET($BH$3,0,0,'Données projet'!$E$11+1,1))-AVERAGE(OFFSET($H$3,0,0,'Données projet'!$E$11+1,1))</f>
        <v>447.15627913956871</v>
      </c>
      <c r="BJ135" s="59">
        <f t="shared" si="146"/>
        <v>256.77417912163997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78.812906476917433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78.812906476917433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245.99999999999994</v>
      </c>
      <c r="BZ135" s="13">
        <f>BY135*VLOOKUP('Données projet'!$B$12,Paramètres!$A$1:$I$89,3,0)*VLOOKUP('Données projet'!$B$12,Paramètres!$A$1:$I$89,5,0)</f>
        <v>234.09359999999998</v>
      </c>
      <c r="CA135" s="13">
        <f t="shared" si="147"/>
        <v>57.166902703920208</v>
      </c>
      <c r="CB135" s="20">
        <f t="shared" si="118"/>
        <v>507.27870887599425</v>
      </c>
      <c r="CC135" s="59">
        <f t="shared" si="119"/>
        <v>800.61204220932757</v>
      </c>
      <c r="CD135" s="59">
        <f ca="1">AVERAGE(OFFSET($CC$3,0,0,'Données projet'!$E$12+1,1))-AVERAGE(OFFSET($H$3,0,0,'Données projet'!$E$12+1,1))</f>
        <v>448.94764480536713</v>
      </c>
      <c r="CE135" s="59">
        <f t="shared" si="148"/>
        <v>469.26760321719695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55.687767488961498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55.687767488961498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187.80389738728508</v>
      </c>
      <c r="CZ135" s="59">
        <f t="shared" si="150"/>
        <v>439.28159165815265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16.383784354825334</v>
      </c>
      <c r="DG135" s="21">
        <f>EXP(-LN(2)/25)*DG134+(1-EXP(-LN(2)/25))/(LN(2)/25)*Calculateur!DB135*Calculateur!DD135*VLOOKUP('Données projet'!$B$13,Paramètres!$A$1:$I$89,3,0)*0.475*44/12</f>
        <v>0.85011023028245447</v>
      </c>
      <c r="DH135" s="21">
        <f>EXP(-LN(2)/2)*DH134+(1-EXP(-LN(2)/2))/(LN(2)/2)*DB135*DE135*VLOOKUP('Données projet'!$B$13,Paramètres!$A$1:$I$89,3,0)*0.475*44/12</f>
        <v>1.9967141718948375E-17</v>
      </c>
      <c r="DI135" s="22">
        <f t="shared" si="123"/>
        <v>17.233894585107787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255.00000000000006</v>
      </c>
      <c r="DP135" s="17">
        <f>DO135*VLOOKUP('Données projet'!$B$14,Paramètres!$A$1:$I$89,3,0)*VLOOKUP('Données projet'!$B$14,Paramètres!$A$1:$I$89,5,0)</f>
        <v>186.96600000000004</v>
      </c>
      <c r="DQ135" s="13">
        <f t="shared" si="151"/>
        <v>46.868551400324648</v>
      </c>
      <c r="DR135" s="20">
        <f t="shared" si="124"/>
        <v>407.26184368889881</v>
      </c>
      <c r="DS135" s="59">
        <f t="shared" si="125"/>
        <v>700.59517702223206</v>
      </c>
      <c r="DT135" s="59">
        <f ca="1">AVERAGE(OFFSET($DS$3,0,0,'Données projet'!$E$14+1,1))-AVERAGE(OFFSET($H$3,0,0,'Données projet'!$E$14+1,1))</f>
        <v>239.25212250019609</v>
      </c>
      <c r="DU135" s="59">
        <f t="shared" si="152"/>
        <v>213.58492101729695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689</v>
      </c>
      <c r="EK135" s="17">
        <f>EJ135*VLOOKUP('Données projet'!$B$15,Paramètres!$A$1:$I$89,3,0)*VLOOKUP('Données projet'!$B$15,Paramètres!$A$1:$I$89,5,0)</f>
        <v>412.02199999999999</v>
      </c>
      <c r="EL135" s="13">
        <f t="shared" si="153"/>
        <v>94.209724877926391</v>
      </c>
      <c r="EM135" s="20">
        <f t="shared" si="127"/>
        <v>881.686920829055</v>
      </c>
      <c r="EN135" s="59">
        <f t="shared" si="128"/>
        <v>1175.0202541623883</v>
      </c>
      <c r="EO135" s="59">
        <f ca="1">AVERAGE(OFFSET($EN$3,0,0,'Données projet'!$E$15+1,1))-AVERAGE(OFFSET($H$3,0,0,'Données projet'!$E$15+1,1))</f>
        <v>504.81063008331739</v>
      </c>
      <c r="EP135" s="59">
        <f t="shared" si="154"/>
        <v>441.82647565372287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34.947108250645094</v>
      </c>
      <c r="EW135" s="21">
        <f>EXP(-LN(2)/25)*EW134+(1-EXP(-LN(2)/25))/(LN(2)/25)*Calculateur!ER135*Calculateur!ET135*VLOOKUP('Données projet'!$B$15,Paramètres!$A$1:$I$89,3,0)*0.475*44/12</f>
        <v>3.4814469630529259</v>
      </c>
      <c r="EX135" s="21">
        <f>EXP(-LN(2)/2)*EX134+(1-EXP(-LN(2)/2))/(LN(2)/2)*ER135*EU135*VLOOKUP('Données projet'!$B$15,Paramètres!$A$1:$I$89,3,0)*0.475*44/12</f>
        <v>2.3254660981804371E-17</v>
      </c>
      <c r="EY135" s="22">
        <f t="shared" si="129"/>
        <v>38.428555213698019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541.99999999999989</v>
      </c>
      <c r="FF135" s="17">
        <f>FE135*VLOOKUP('Données projet'!$B$16,Paramètres!$A$1:$I$89,3,0)*VLOOKUP('Données projet'!$B$16,Paramètres!$A$1:$I$89,5,0)</f>
        <v>310.02399999999994</v>
      </c>
      <c r="FG135" s="13">
        <f t="shared" si="155"/>
        <v>73.27384230442388</v>
      </c>
      <c r="FH135" s="20">
        <f t="shared" si="130"/>
        <v>667.57707534687154</v>
      </c>
      <c r="FI135" s="59">
        <f t="shared" si="131"/>
        <v>960.91040868020491</v>
      </c>
      <c r="FJ135" s="59">
        <f ca="1">AVERAGE(OFFSET($FI$3,0,0,'Données projet'!$E$16+1,1))-AVERAGE(OFFSET($H$3,0,0,'Données projet'!$E$16+1,1))</f>
        <v>393.41577134252316</v>
      </c>
      <c r="FK135" s="59">
        <f t="shared" si="156"/>
        <v>255.54039659391475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40.921480214308424</v>
      </c>
      <c r="FR135" s="21">
        <f>EXP(-LN(2)/25)*FR134+(1-EXP(-LN(2)/25))/(LN(2)/25)*Calculateur!FM135*Calculateur!FO135*VLOOKUP('Données projet'!$B$16,Paramètres!$A$1:$I$89,3,0)*0.475*44/12</f>
        <v>1.5799374778694102</v>
      </c>
      <c r="FS135" s="21">
        <f>EXP(-LN(2)/2)*FS134+(1-EXP(-LN(2)/2))/(LN(2)/2)*FM135*FP135*VLOOKUP('Données projet'!$B$16,Paramètres!$A$1:$I$89,3,0)*0.475*44/12</f>
        <v>1.6177980809623648E-16</v>
      </c>
      <c r="FT135" s="22">
        <f t="shared" si="132"/>
        <v>42.501417692177831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853.00000000000011</v>
      </c>
      <c r="GA135" s="17">
        <f>FZ135*VLOOKUP('Données projet'!$B$17,Paramètres!$A$1:$I$89,3,0)*VLOOKUP('Données projet'!$B$17,Paramètres!$A$1:$I$89,5,0)</f>
        <v>399.20400000000006</v>
      </c>
      <c r="GB135" s="13">
        <f t="shared" si="157"/>
        <v>91.615269732888521</v>
      </c>
      <c r="GC135" s="20">
        <f t="shared" si="133"/>
        <v>854.8435614514475</v>
      </c>
      <c r="GD135" s="59">
        <f t="shared" si="134"/>
        <v>1148.1768947847809</v>
      </c>
      <c r="GE135" s="59">
        <f ca="1">AVERAGE(OFFSET($GD$3,0,0,'Données projet'!$E$17+1,1))-AVERAGE(OFFSET($H$3,0,0,'Données projet'!$E$17+1,1))</f>
        <v>488.67934252295686</v>
      </c>
      <c r="GF135" s="59">
        <f t="shared" si="158"/>
        <v>424.50324471331095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49.487470740644724</v>
      </c>
      <c r="GM135" s="21">
        <f>EXP(-LN(2)/25)*GM134+(1-EXP(-LN(2)/25))/(LN(2)/25)*Calculateur!GH135*Calculateur!GJ135*VLOOKUP('Données projet'!$B$17,Paramètres!$A$1:$I$89,3,0)*0.475*44/12</f>
        <v>2.896552042760586</v>
      </c>
      <c r="GN135" s="21">
        <f>EXP(-LN(2)/2)*GN134+(1-EXP(-LN(2)/2))/(LN(2)/2)*GH135*GK135*VLOOKUP('Données projet'!$B$17,Paramètres!$A$1:$I$89,3,0)*0.475*44/12</f>
        <v>3.6032775439616296E-16</v>
      </c>
      <c r="GO135" s="21">
        <f t="shared" si="135"/>
        <v>52.384022783405314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789</v>
      </c>
      <c r="GV135" s="17">
        <f>GU135*VLOOKUP('Données projet'!$B$18,Paramètres!$A$1:$I$89,3,0)*VLOOKUP('Données projet'!$B$18,Paramètres!$A$1:$I$89,5,0)</f>
        <v>379.50900000000001</v>
      </c>
      <c r="GW135" s="13">
        <f t="shared" si="159"/>
        <v>87.609801106074272</v>
      </c>
      <c r="GX135" s="20">
        <f t="shared" si="136"/>
        <v>813.56524525974601</v>
      </c>
      <c r="GY135" s="59">
        <f t="shared" si="137"/>
        <v>1106.8985785930793</v>
      </c>
      <c r="GZ135" s="59">
        <f ca="1">AVERAGE(OFFSET($GY$3,0,0,'Données projet'!$E$18+1,1))-AVERAGE(OFFSET($H$3,0,0,'Données projet'!$E$18+1,1))</f>
        <v>458.80976193248841</v>
      </c>
      <c r="HA135" s="59">
        <f t="shared" si="160"/>
        <v>396.07405370178759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50.109916935609149</v>
      </c>
      <c r="HH135" s="21">
        <f>EXP(-LN(2)/25)*HH134+(1-EXP(-LN(2)/25))/(LN(2)/25)*Calculateur!HC135*Calculateur!HE135*VLOOKUP('Données projet'!$B$18,Paramètres!$A$1:$I$89,3,0)*0.475*44/12</f>
        <v>2.7063743833874185</v>
      </c>
      <c r="HI135" s="21">
        <f>EXP(-LN(2)/2)*HI134+(1-EXP(-LN(2)/2))/(LN(2)/2)*HC135*HF135*VLOOKUP('Données projet'!$B$18,Paramètres!$A$1:$I$89,3,0)*0.475*44/12</f>
        <v>1.6627369165446539E-16</v>
      </c>
      <c r="HJ135" s="22">
        <f t="shared" si="138"/>
        <v>52.816291318996569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267</v>
      </c>
      <c r="O136" s="13">
        <f>N136*VLOOKUP('Données projet'!$B$9,Paramètres!$A$1:$I$89,3,0)*VLOOKUP('Données projet'!$B$9,Paramètres!$A$1:$I$89,5,0)</f>
        <v>241.58159999999998</v>
      </c>
      <c r="P136" s="13">
        <f t="shared" si="141"/>
        <v>58.779689232021951</v>
      </c>
      <c r="Q136" s="20">
        <f t="shared" si="108"/>
        <v>523.12924541243819</v>
      </c>
      <c r="R136" s="59">
        <f t="shared" si="109"/>
        <v>816.46257874577145</v>
      </c>
      <c r="S136" s="59">
        <f ca="1">AVERAGE(OFFSET($R$3,0,0,'Données projet'!$E$9+1,1))-AVERAGE(OFFSET($H$3,0,0,'Données projet'!$E$9+1,1))</f>
        <v>364.3481978218424</v>
      </c>
      <c r="T136" s="59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52.921060849585395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52.921060849585395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636.99999999999977</v>
      </c>
      <c r="AJ136" s="13">
        <f>AI136*VLOOKUP('Données projet'!$B$10,Paramètres!$A$1:$I$89,3,0)*VLOOKUP('Données projet'!$B$10,Paramètres!$A$1:$I$89,5,0)</f>
        <v>356.08299999999991</v>
      </c>
      <c r="AK136" s="13">
        <f t="shared" si="143"/>
        <v>82.813805255716545</v>
      </c>
      <c r="AL136" s="20">
        <f t="shared" si="112"/>
        <v>764.41193582037283</v>
      </c>
      <c r="AM136" s="59">
        <f t="shared" si="113"/>
        <v>1057.7452691537062</v>
      </c>
      <c r="AN136" s="59">
        <f ca="1">AVERAGE(OFFSET($AM$3,0,0,'Données projet'!$E$10+1,1))-AVERAGE(OFFSET($H$3,0,0,'Données projet'!$E$10+1,1))</f>
        <v>443.34220761968419</v>
      </c>
      <c r="AO136" s="59">
        <f t="shared" si="144"/>
        <v>546.58234447298014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23.023327673970577</v>
      </c>
      <c r="AV136" s="21">
        <f>EXP(-LN(2)/25)*AV135+(1-EXP(-LN(2)/25))/(LN(2)/25)*Calculateur!AQ136*Calculateur!AS136*VLOOKUP('Données projet'!$B$10,Paramètres!$A$1:$I$89,3,0)*0.475*44/12</f>
        <v>1.261652269811377</v>
      </c>
      <c r="AW136" s="21">
        <f>EXP(-LN(2)/2)*AW135+(1-EXP(-LN(2)/2))/(LN(2)/2)*AQ136*AT136*VLOOKUP('Données projet'!$B$10,Paramètres!$A$1:$I$89,3,0)*0.475*44/12</f>
        <v>1.89723593131041E-15</v>
      </c>
      <c r="AX136" s="21">
        <f t="shared" si="114"/>
        <v>24.284979943781959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403.99999999999989</v>
      </c>
      <c r="BE136" s="13">
        <f>BD136*VLOOKUP('Données projet'!$B$11,Paramètres!$A$1:$I$89,3,0)*VLOOKUP('Données projet'!$B$11,Paramètres!$A$1:$I$89,5,0)</f>
        <v>346.63199999999995</v>
      </c>
      <c r="BF136" s="13">
        <f t="shared" si="145"/>
        <v>80.868615263336864</v>
      </c>
      <c r="BG136" s="20">
        <f t="shared" si="115"/>
        <v>744.56357158364483</v>
      </c>
      <c r="BH136" s="59">
        <f t="shared" si="116"/>
        <v>1037.8969049169782</v>
      </c>
      <c r="BI136" s="59">
        <f ca="1">AVERAGE(OFFSET($BH$3,0,0,'Données projet'!$E$11+1,1))-AVERAGE(OFFSET($H$3,0,0,'Données projet'!$E$11+1,1))</f>
        <v>447.15627913956871</v>
      </c>
      <c r="BJ136" s="59">
        <f t="shared" si="146"/>
        <v>256.77417912163997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77.267433452031398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77.267433452031398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245.99999999999994</v>
      </c>
      <c r="BZ136" s="13">
        <f>BY136*VLOOKUP('Données projet'!$B$12,Paramètres!$A$1:$I$89,3,0)*VLOOKUP('Données projet'!$B$12,Paramètres!$A$1:$I$89,5,0)</f>
        <v>234.09359999999998</v>
      </c>
      <c r="CA136" s="13">
        <f t="shared" si="147"/>
        <v>57.166902703920208</v>
      </c>
      <c r="CB136" s="20">
        <f t="shared" si="118"/>
        <v>507.27870887599425</v>
      </c>
      <c r="CC136" s="59">
        <f t="shared" si="119"/>
        <v>800.61204220932757</v>
      </c>
      <c r="CD136" s="59">
        <f ca="1">AVERAGE(OFFSET($CC$3,0,0,'Données projet'!$E$12+1,1))-AVERAGE(OFFSET($H$3,0,0,'Données projet'!$E$12+1,1))</f>
        <v>448.94764480536713</v>
      </c>
      <c r="CE136" s="59">
        <f t="shared" si="148"/>
        <v>469.26760321719695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54.595764334687246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54.595764334687246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187.80389738728508</v>
      </c>
      <c r="CZ136" s="59">
        <f t="shared" si="150"/>
        <v>439.28159165815265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16.062508336748927</v>
      </c>
      <c r="DG136" s="21">
        <f>EXP(-LN(2)/25)*DG135+(1-EXP(-LN(2)/25))/(LN(2)/25)*Calculateur!DB136*Calculateur!DD136*VLOOKUP('Données projet'!$B$13,Paramètres!$A$1:$I$89,3,0)*0.475*44/12</f>
        <v>0.82686392133002673</v>
      </c>
      <c r="DH136" s="21">
        <f>EXP(-LN(2)/2)*DH135+(1-EXP(-LN(2)/2))/(LN(2)/2)*DB136*DE136*VLOOKUP('Données projet'!$B$13,Paramètres!$A$1:$I$89,3,0)*0.475*44/12</f>
        <v>1.4118901310381213E-17</v>
      </c>
      <c r="DI136" s="22">
        <f t="shared" si="123"/>
        <v>16.889372258078954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255.00000000000006</v>
      </c>
      <c r="DP136" s="17">
        <f>DO136*VLOOKUP('Données projet'!$B$14,Paramètres!$A$1:$I$89,3,0)*VLOOKUP('Données projet'!$B$14,Paramètres!$A$1:$I$89,5,0)</f>
        <v>186.96600000000004</v>
      </c>
      <c r="DQ136" s="13">
        <f t="shared" si="151"/>
        <v>46.868551400324648</v>
      </c>
      <c r="DR136" s="20">
        <f t="shared" si="124"/>
        <v>407.26184368889881</v>
      </c>
      <c r="DS136" s="59">
        <f t="shared" si="125"/>
        <v>700.59517702223206</v>
      </c>
      <c r="DT136" s="59">
        <f ca="1">AVERAGE(OFFSET($DS$3,0,0,'Données projet'!$E$14+1,1))-AVERAGE(OFFSET($H$3,0,0,'Données projet'!$E$14+1,1))</f>
        <v>239.25212250019609</v>
      </c>
      <c r="DU136" s="59">
        <f t="shared" si="152"/>
        <v>213.58492101729695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689</v>
      </c>
      <c r="EK136" s="17">
        <f>EJ136*VLOOKUP('Données projet'!$B$15,Paramètres!$A$1:$I$89,3,0)*VLOOKUP('Données projet'!$B$15,Paramètres!$A$1:$I$89,5,0)</f>
        <v>412.02199999999999</v>
      </c>
      <c r="EL136" s="13">
        <f t="shared" si="153"/>
        <v>94.209724877926391</v>
      </c>
      <c r="EM136" s="20">
        <f t="shared" si="127"/>
        <v>881.686920829055</v>
      </c>
      <c r="EN136" s="59">
        <f t="shared" si="128"/>
        <v>1175.0202541623883</v>
      </c>
      <c r="EO136" s="59">
        <f ca="1">AVERAGE(OFFSET($EN$3,0,0,'Données projet'!$E$15+1,1))-AVERAGE(OFFSET($H$3,0,0,'Données projet'!$E$15+1,1))</f>
        <v>504.81063008331739</v>
      </c>
      <c r="EP136" s="59">
        <f t="shared" si="154"/>
        <v>441.82647565372287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34.261816773481236</v>
      </c>
      <c r="EW136" s="21">
        <f>EXP(-LN(2)/25)*EW135+(1-EXP(-LN(2)/25))/(LN(2)/25)*Calculateur!ER136*Calculateur!ET136*VLOOKUP('Données projet'!$B$15,Paramètres!$A$1:$I$89,3,0)*0.475*44/12</f>
        <v>3.3862466127669046</v>
      </c>
      <c r="EX136" s="21">
        <f>EXP(-LN(2)/2)*EX135+(1-EXP(-LN(2)/2))/(LN(2)/2)*ER136*EU136*VLOOKUP('Données projet'!$B$15,Paramètres!$A$1:$I$89,3,0)*0.475*44/12</f>
        <v>1.6443528474428087E-17</v>
      </c>
      <c r="EY136" s="22">
        <f t="shared" si="129"/>
        <v>37.64806338624814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541.99999999999989</v>
      </c>
      <c r="FF136" s="17">
        <f>FE136*VLOOKUP('Données projet'!$B$16,Paramètres!$A$1:$I$89,3,0)*VLOOKUP('Données projet'!$B$16,Paramètres!$A$1:$I$89,5,0)</f>
        <v>310.02399999999994</v>
      </c>
      <c r="FG136" s="13">
        <f t="shared" si="155"/>
        <v>73.27384230442388</v>
      </c>
      <c r="FH136" s="20">
        <f t="shared" si="130"/>
        <v>667.57707534687154</v>
      </c>
      <c r="FI136" s="59">
        <f t="shared" si="131"/>
        <v>960.91040868020491</v>
      </c>
      <c r="FJ136" s="59">
        <f ca="1">AVERAGE(OFFSET($FI$3,0,0,'Données projet'!$E$16+1,1))-AVERAGE(OFFSET($H$3,0,0,'Données projet'!$E$16+1,1))</f>
        <v>393.41577134252316</v>
      </c>
      <c r="FK136" s="59">
        <f t="shared" si="156"/>
        <v>255.54039659391475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40.119034946944204</v>
      </c>
      <c r="FR136" s="21">
        <f>EXP(-LN(2)/25)*FR135+(1-EXP(-LN(2)/25))/(LN(2)/25)*Calculateur!FM136*Calculateur!FO136*VLOOKUP('Données projet'!$B$16,Paramètres!$A$1:$I$89,3,0)*0.475*44/12</f>
        <v>1.5367340044517701</v>
      </c>
      <c r="FS136" s="21">
        <f>EXP(-LN(2)/2)*FS135+(1-EXP(-LN(2)/2))/(LN(2)/2)*FM136*FP136*VLOOKUP('Données projet'!$B$16,Paramètres!$A$1:$I$89,3,0)*0.475*44/12</f>
        <v>1.1439559936390714E-16</v>
      </c>
      <c r="FT136" s="22">
        <f t="shared" si="132"/>
        <v>41.655768951395977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853.00000000000011</v>
      </c>
      <c r="GA136" s="17">
        <f>FZ136*VLOOKUP('Données projet'!$B$17,Paramètres!$A$1:$I$89,3,0)*VLOOKUP('Données projet'!$B$17,Paramètres!$A$1:$I$89,5,0)</f>
        <v>399.20400000000006</v>
      </c>
      <c r="GB136" s="13">
        <f t="shared" si="157"/>
        <v>91.615269732888521</v>
      </c>
      <c r="GC136" s="20">
        <f t="shared" si="133"/>
        <v>854.8435614514475</v>
      </c>
      <c r="GD136" s="59">
        <f t="shared" si="134"/>
        <v>1148.1768947847809</v>
      </c>
      <c r="GE136" s="59">
        <f ca="1">AVERAGE(OFFSET($GD$3,0,0,'Données projet'!$E$17+1,1))-AVERAGE(OFFSET($H$3,0,0,'Données projet'!$E$17+1,1))</f>
        <v>488.67934252295686</v>
      </c>
      <c r="GF136" s="59">
        <f t="shared" si="158"/>
        <v>424.50324471331095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48.517051623797371</v>
      </c>
      <c r="GM136" s="21">
        <f>EXP(-LN(2)/25)*GM135+(1-EXP(-LN(2)/25))/(LN(2)/25)*Calculateur!GH136*Calculateur!GJ136*VLOOKUP('Données projet'!$B$17,Paramètres!$A$1:$I$89,3,0)*0.475*44/12</f>
        <v>2.8173456748282462</v>
      </c>
      <c r="GN136" s="21">
        <f>EXP(-LN(2)/2)*GN135+(1-EXP(-LN(2)/2))/(LN(2)/2)*GH136*GK136*VLOOKUP('Données projet'!$B$17,Paramètres!$A$1:$I$89,3,0)*0.475*44/12</f>
        <v>2.5479019858324763E-16</v>
      </c>
      <c r="GO136" s="21">
        <f t="shared" si="135"/>
        <v>51.334397298625618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789</v>
      </c>
      <c r="GV136" s="17">
        <f>GU136*VLOOKUP('Données projet'!$B$18,Paramètres!$A$1:$I$89,3,0)*VLOOKUP('Données projet'!$B$18,Paramètres!$A$1:$I$89,5,0)</f>
        <v>379.50900000000001</v>
      </c>
      <c r="GW136" s="13">
        <f t="shared" si="159"/>
        <v>87.609801106074272</v>
      </c>
      <c r="GX136" s="20">
        <f t="shared" si="136"/>
        <v>813.56524525974601</v>
      </c>
      <c r="GY136" s="59">
        <f t="shared" si="137"/>
        <v>1106.8985785930793</v>
      </c>
      <c r="GZ136" s="59">
        <f ca="1">AVERAGE(OFFSET($GY$3,0,0,'Données projet'!$E$18+1,1))-AVERAGE(OFFSET($H$3,0,0,'Données projet'!$E$18+1,1))</f>
        <v>458.80976193248841</v>
      </c>
      <c r="HA136" s="59">
        <f t="shared" si="160"/>
        <v>396.07405370178759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49.12729202853324</v>
      </c>
      <c r="HH136" s="21">
        <f>EXP(-LN(2)/25)*HH135+(1-EXP(-LN(2)/25))/(LN(2)/25)*Calculateur!HC136*Calculateur!HE136*VLOOKUP('Données projet'!$B$18,Paramètres!$A$1:$I$89,3,0)*0.475*44/12</f>
        <v>2.6323684335516462</v>
      </c>
      <c r="HI136" s="21">
        <f>EXP(-LN(2)/2)*HI135+(1-EXP(-LN(2)/2))/(LN(2)/2)*HC136*HF136*VLOOKUP('Données projet'!$B$18,Paramètres!$A$1:$I$89,3,0)*0.475*44/12</f>
        <v>1.1757325490179353E-16</v>
      </c>
      <c r="HJ136" s="22">
        <f t="shared" si="138"/>
        <v>51.759660462084888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267</v>
      </c>
      <c r="O137" s="13">
        <f>N137*VLOOKUP('Données projet'!$B$9,Paramètres!$A$1:$I$89,3,0)*VLOOKUP('Données projet'!$B$9,Paramètres!$A$1:$I$89,5,0)</f>
        <v>241.58159999999998</v>
      </c>
      <c r="P137" s="13">
        <f t="shared" si="141"/>
        <v>58.779689232021951</v>
      </c>
      <c r="Q137" s="20">
        <f t="shared" si="108"/>
        <v>523.12924541243819</v>
      </c>
      <c r="R137" s="59">
        <f t="shared" si="109"/>
        <v>816.46257874577145</v>
      </c>
      <c r="S137" s="59">
        <f ca="1">AVERAGE(OFFSET($R$3,0,0,'Données projet'!$E$9+1,1))-AVERAGE(OFFSET($H$3,0,0,'Données projet'!$E$9+1,1))</f>
        <v>364.3481978218424</v>
      </c>
      <c r="T137" s="59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51.883311124984893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51.883311124984893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636.99999999999977</v>
      </c>
      <c r="AJ137" s="13">
        <f>AI137*VLOOKUP('Données projet'!$B$10,Paramètres!$A$1:$I$89,3,0)*VLOOKUP('Données projet'!$B$10,Paramètres!$A$1:$I$89,5,0)</f>
        <v>356.08299999999991</v>
      </c>
      <c r="AK137" s="13">
        <f t="shared" si="143"/>
        <v>82.813805255716545</v>
      </c>
      <c r="AL137" s="20">
        <f t="shared" si="112"/>
        <v>764.41193582037283</v>
      </c>
      <c r="AM137" s="59">
        <f t="shared" si="113"/>
        <v>1057.7452691537062</v>
      </c>
      <c r="AN137" s="59">
        <f ca="1">AVERAGE(OFFSET($AM$3,0,0,'Données projet'!$E$10+1,1))-AVERAGE(OFFSET($H$3,0,0,'Données projet'!$E$10+1,1))</f>
        <v>443.34220761968419</v>
      </c>
      <c r="AO137" s="59">
        <f t="shared" si="144"/>
        <v>546.58234447298014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22.571854261127278</v>
      </c>
      <c r="AV137" s="21">
        <f>EXP(-LN(2)/25)*AV136+(1-EXP(-LN(2)/25))/(LN(2)/25)*Calculateur!AQ137*Calculateur!AS137*VLOOKUP('Données projet'!$B$10,Paramètres!$A$1:$I$89,3,0)*0.475*44/12</f>
        <v>1.2271523221459757</v>
      </c>
      <c r="AW137" s="21">
        <f>EXP(-LN(2)/2)*AW136+(1-EXP(-LN(2)/2))/(LN(2)/2)*AQ137*AT137*VLOOKUP('Données projet'!$B$10,Paramètres!$A$1:$I$89,3,0)*0.475*44/12</f>
        <v>1.3415483925403658E-15</v>
      </c>
      <c r="AX137" s="21">
        <f t="shared" si="114"/>
        <v>23.799006583273254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403.99999999999989</v>
      </c>
      <c r="BE137" s="13">
        <f>BD137*VLOOKUP('Données projet'!$B$11,Paramètres!$A$1:$I$89,3,0)*VLOOKUP('Données projet'!$B$11,Paramètres!$A$1:$I$89,5,0)</f>
        <v>346.63199999999995</v>
      </c>
      <c r="BF137" s="13">
        <f t="shared" si="145"/>
        <v>80.868615263336864</v>
      </c>
      <c r="BG137" s="20">
        <f t="shared" si="115"/>
        <v>744.56357158364483</v>
      </c>
      <c r="BH137" s="59">
        <f t="shared" si="116"/>
        <v>1037.8969049169782</v>
      </c>
      <c r="BI137" s="59">
        <f ca="1">AVERAGE(OFFSET($BH$3,0,0,'Données projet'!$E$11+1,1))-AVERAGE(OFFSET($H$3,0,0,'Données projet'!$E$11+1,1))</f>
        <v>447.15627913956871</v>
      </c>
      <c r="BJ137" s="59">
        <f t="shared" si="146"/>
        <v>256.77417912163997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75.752266210517917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75.752266210517917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245.99999999999994</v>
      </c>
      <c r="BZ137" s="13">
        <f>BY137*VLOOKUP('Données projet'!$B$12,Paramètres!$A$1:$I$89,3,0)*VLOOKUP('Données projet'!$B$12,Paramètres!$A$1:$I$89,5,0)</f>
        <v>234.09359999999998</v>
      </c>
      <c r="CA137" s="13">
        <f t="shared" si="147"/>
        <v>57.166902703920208</v>
      </c>
      <c r="CB137" s="20">
        <f t="shared" si="118"/>
        <v>507.27870887599425</v>
      </c>
      <c r="CC137" s="59">
        <f t="shared" si="119"/>
        <v>800.61204220932757</v>
      </c>
      <c r="CD137" s="59">
        <f ca="1">AVERAGE(OFFSET($CC$3,0,0,'Données projet'!$E$12+1,1))-AVERAGE(OFFSET($H$3,0,0,'Données projet'!$E$12+1,1))</f>
        <v>448.94764480536713</v>
      </c>
      <c r="CE137" s="59">
        <f t="shared" si="148"/>
        <v>469.26760321719695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53.525174696212162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53.525174696212162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187.80389738728508</v>
      </c>
      <c r="CZ137" s="59">
        <f t="shared" si="150"/>
        <v>439.28159165815265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15.747532345427976</v>
      </c>
      <c r="DG137" s="21">
        <f>EXP(-LN(2)/25)*DG136+(1-EXP(-LN(2)/25))/(LN(2)/25)*Calculateur!DB137*Calculateur!DD137*VLOOKUP('Données projet'!$B$13,Paramètres!$A$1:$I$89,3,0)*0.475*44/12</f>
        <v>0.80425328391837336</v>
      </c>
      <c r="DH137" s="21">
        <f>EXP(-LN(2)/2)*DH136+(1-EXP(-LN(2)/2))/(LN(2)/2)*DB137*DE137*VLOOKUP('Données projet'!$B$13,Paramètres!$A$1:$I$89,3,0)*0.475*44/12</f>
        <v>9.9835708594741873E-18</v>
      </c>
      <c r="DI137" s="22">
        <f t="shared" si="123"/>
        <v>16.551785629346348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255.00000000000006</v>
      </c>
      <c r="DP137" s="17">
        <f>DO137*VLOOKUP('Données projet'!$B$14,Paramètres!$A$1:$I$89,3,0)*VLOOKUP('Données projet'!$B$14,Paramètres!$A$1:$I$89,5,0)</f>
        <v>186.96600000000004</v>
      </c>
      <c r="DQ137" s="13">
        <f t="shared" si="151"/>
        <v>46.868551400324648</v>
      </c>
      <c r="DR137" s="20">
        <f t="shared" si="124"/>
        <v>407.26184368889881</v>
      </c>
      <c r="DS137" s="59">
        <f t="shared" si="125"/>
        <v>700.59517702223206</v>
      </c>
      <c r="DT137" s="59">
        <f ca="1">AVERAGE(OFFSET($DS$3,0,0,'Données projet'!$E$14+1,1))-AVERAGE(OFFSET($H$3,0,0,'Données projet'!$E$14+1,1))</f>
        <v>239.25212250019609</v>
      </c>
      <c r="DU137" s="59">
        <f t="shared" si="152"/>
        <v>213.58492101729695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689</v>
      </c>
      <c r="EK137" s="17">
        <f>EJ137*VLOOKUP('Données projet'!$B$15,Paramètres!$A$1:$I$89,3,0)*VLOOKUP('Données projet'!$B$15,Paramètres!$A$1:$I$89,5,0)</f>
        <v>412.02199999999999</v>
      </c>
      <c r="EL137" s="13">
        <f t="shared" si="153"/>
        <v>94.209724877926391</v>
      </c>
      <c r="EM137" s="20">
        <f t="shared" si="127"/>
        <v>881.686920829055</v>
      </c>
      <c r="EN137" s="59">
        <f t="shared" si="128"/>
        <v>1175.0202541623883</v>
      </c>
      <c r="EO137" s="59">
        <f ca="1">AVERAGE(OFFSET($EN$3,0,0,'Données projet'!$E$15+1,1))-AVERAGE(OFFSET($H$3,0,0,'Données projet'!$E$15+1,1))</f>
        <v>504.81063008331739</v>
      </c>
      <c r="EP137" s="59">
        <f t="shared" si="154"/>
        <v>441.82647565372287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33.589963444198027</v>
      </c>
      <c r="EW137" s="21">
        <f>EXP(-LN(2)/25)*EW136+(1-EXP(-LN(2)/25))/(LN(2)/25)*Calculateur!ER137*Calculateur!ET137*VLOOKUP('Données projet'!$B$15,Paramètres!$A$1:$I$89,3,0)*0.475*44/12</f>
        <v>3.2936495210658236</v>
      </c>
      <c r="EX137" s="21">
        <f>EXP(-LN(2)/2)*EX136+(1-EXP(-LN(2)/2))/(LN(2)/2)*ER137*EU137*VLOOKUP('Données projet'!$B$15,Paramètres!$A$1:$I$89,3,0)*0.475*44/12</f>
        <v>1.1627330490902185E-17</v>
      </c>
      <c r="EY137" s="22">
        <f t="shared" si="129"/>
        <v>36.88361296526385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541.99999999999989</v>
      </c>
      <c r="FF137" s="17">
        <f>FE137*VLOOKUP('Données projet'!$B$16,Paramètres!$A$1:$I$89,3,0)*VLOOKUP('Données projet'!$B$16,Paramètres!$A$1:$I$89,5,0)</f>
        <v>310.02399999999994</v>
      </c>
      <c r="FG137" s="13">
        <f t="shared" si="155"/>
        <v>73.27384230442388</v>
      </c>
      <c r="FH137" s="20">
        <f t="shared" si="130"/>
        <v>667.57707534687154</v>
      </c>
      <c r="FI137" s="59">
        <f t="shared" si="131"/>
        <v>960.91040868020491</v>
      </c>
      <c r="FJ137" s="59">
        <f ca="1">AVERAGE(OFFSET($FI$3,0,0,'Données projet'!$E$16+1,1))-AVERAGE(OFFSET($H$3,0,0,'Données projet'!$E$16+1,1))</f>
        <v>393.41577134252316</v>
      </c>
      <c r="FK137" s="59">
        <f t="shared" si="156"/>
        <v>255.54039659391475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39.332325141829713</v>
      </c>
      <c r="FR137" s="21">
        <f>EXP(-LN(2)/25)*FR136+(1-EXP(-LN(2)/25))/(LN(2)/25)*Calculateur!FM137*Calculateur!FO137*VLOOKUP('Données projet'!$B$16,Paramètres!$A$1:$I$89,3,0)*0.475*44/12</f>
        <v>1.4947119322867075</v>
      </c>
      <c r="FS137" s="21">
        <f>EXP(-LN(2)/2)*FS136+(1-EXP(-LN(2)/2))/(LN(2)/2)*FM137*FP137*VLOOKUP('Données projet'!$B$16,Paramètres!$A$1:$I$89,3,0)*0.475*44/12</f>
        <v>8.0889904048118239E-17</v>
      </c>
      <c r="FT137" s="22">
        <f t="shared" si="132"/>
        <v>40.827037074116419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853.00000000000011</v>
      </c>
      <c r="GA137" s="17">
        <f>FZ137*VLOOKUP('Données projet'!$B$17,Paramètres!$A$1:$I$89,3,0)*VLOOKUP('Données projet'!$B$17,Paramètres!$A$1:$I$89,5,0)</f>
        <v>399.20400000000006</v>
      </c>
      <c r="GB137" s="13">
        <f t="shared" si="157"/>
        <v>91.615269732888521</v>
      </c>
      <c r="GC137" s="20">
        <f t="shared" si="133"/>
        <v>854.8435614514475</v>
      </c>
      <c r="GD137" s="59">
        <f t="shared" si="134"/>
        <v>1148.1768947847809</v>
      </c>
      <c r="GE137" s="59">
        <f ca="1">AVERAGE(OFFSET($GD$3,0,0,'Données projet'!$E$17+1,1))-AVERAGE(OFFSET($H$3,0,0,'Données projet'!$E$17+1,1))</f>
        <v>488.67934252295686</v>
      </c>
      <c r="GF137" s="59">
        <f t="shared" si="158"/>
        <v>424.50324471331095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47.565661833934179</v>
      </c>
      <c r="GM137" s="21">
        <f>EXP(-LN(2)/25)*GM136+(1-EXP(-LN(2)/25))/(LN(2)/25)*Calculateur!GH137*Calculateur!GJ137*VLOOKUP('Données projet'!$B$17,Paramètres!$A$1:$I$89,3,0)*0.475*44/12</f>
        <v>2.7403052091922979</v>
      </c>
      <c r="GN137" s="21">
        <f>EXP(-LN(2)/2)*GN136+(1-EXP(-LN(2)/2))/(LN(2)/2)*GH137*GK137*VLOOKUP('Données projet'!$B$17,Paramètres!$A$1:$I$89,3,0)*0.475*44/12</f>
        <v>1.8016387719808148E-16</v>
      </c>
      <c r="GO137" s="21">
        <f t="shared" si="135"/>
        <v>50.305967043126479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789</v>
      </c>
      <c r="GV137" s="17">
        <f>GU137*VLOOKUP('Données projet'!$B$18,Paramètres!$A$1:$I$89,3,0)*VLOOKUP('Données projet'!$B$18,Paramètres!$A$1:$I$89,5,0)</f>
        <v>379.50900000000001</v>
      </c>
      <c r="GW137" s="13">
        <f t="shared" si="159"/>
        <v>87.609801106074272</v>
      </c>
      <c r="GX137" s="20">
        <f t="shared" si="136"/>
        <v>813.56524525974601</v>
      </c>
      <c r="GY137" s="59">
        <f t="shared" si="137"/>
        <v>1106.8985785930793</v>
      </c>
      <c r="GZ137" s="59">
        <f ca="1">AVERAGE(OFFSET($GY$3,0,0,'Données projet'!$E$18+1,1))-AVERAGE(OFFSET($H$3,0,0,'Données projet'!$E$18+1,1))</f>
        <v>458.80976193248841</v>
      </c>
      <c r="HA137" s="59">
        <f t="shared" si="160"/>
        <v>396.07405370178759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48.163935796543072</v>
      </c>
      <c r="HH137" s="21">
        <f>EXP(-LN(2)/25)*HH136+(1-EXP(-LN(2)/25))/(LN(2)/25)*Calculateur!HC137*Calculateur!HE137*VLOOKUP('Données projet'!$B$18,Paramètres!$A$1:$I$89,3,0)*0.475*44/12</f>
        <v>2.5603861803059367</v>
      </c>
      <c r="HI137" s="21">
        <f>EXP(-LN(2)/2)*HI136+(1-EXP(-LN(2)/2))/(LN(2)/2)*HC137*HF137*VLOOKUP('Données projet'!$B$18,Paramètres!$A$1:$I$89,3,0)*0.475*44/12</f>
        <v>8.3136845827232697E-17</v>
      </c>
      <c r="HJ137" s="22">
        <f t="shared" si="138"/>
        <v>50.724321976849012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267</v>
      </c>
      <c r="O138" s="13">
        <f>N138*VLOOKUP('Données projet'!$B$9,Paramètres!$A$1:$I$89,3,0)*VLOOKUP('Données projet'!$B$9,Paramètres!$A$1:$I$89,5,0)</f>
        <v>241.58159999999998</v>
      </c>
      <c r="P138" s="13">
        <f t="shared" si="141"/>
        <v>58.779689232021951</v>
      </c>
      <c r="Q138" s="20">
        <f t="shared" si="108"/>
        <v>523.12924541243819</v>
      </c>
      <c r="R138" s="59">
        <f t="shared" si="109"/>
        <v>816.46257874577145</v>
      </c>
      <c r="S138" s="59">
        <f ca="1">AVERAGE(OFFSET($R$3,0,0,'Données projet'!$E$9+1,1))-AVERAGE(OFFSET($H$3,0,0,'Données projet'!$E$9+1,1))</f>
        <v>364.3481978218424</v>
      </c>
      <c r="T138" s="59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50.86591103951897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50.86591103951897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636.99999999999977</v>
      </c>
      <c r="AJ138" s="13">
        <f>AI138*VLOOKUP('Données projet'!$B$10,Paramètres!$A$1:$I$89,3,0)*VLOOKUP('Données projet'!$B$10,Paramètres!$A$1:$I$89,5,0)</f>
        <v>356.08299999999991</v>
      </c>
      <c r="AK138" s="13">
        <f t="shared" si="143"/>
        <v>82.813805255716545</v>
      </c>
      <c r="AL138" s="20">
        <f t="shared" si="112"/>
        <v>764.41193582037283</v>
      </c>
      <c r="AM138" s="59">
        <f t="shared" si="113"/>
        <v>1057.7452691537062</v>
      </c>
      <c r="AN138" s="59">
        <f ca="1">AVERAGE(OFFSET($AM$3,0,0,'Données projet'!$E$10+1,1))-AVERAGE(OFFSET($H$3,0,0,'Données projet'!$E$10+1,1))</f>
        <v>443.34220761968419</v>
      </c>
      <c r="AO138" s="59">
        <f t="shared" si="144"/>
        <v>546.58234447298014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22.129233966538248</v>
      </c>
      <c r="AV138" s="21">
        <f>EXP(-LN(2)/25)*AV137+(1-EXP(-LN(2)/25))/(LN(2)/25)*Calculateur!AQ138*Calculateur!AS138*VLOOKUP('Données projet'!$B$10,Paramètres!$A$1:$I$89,3,0)*0.475*44/12</f>
        <v>1.193595777363758</v>
      </c>
      <c r="AW138" s="21">
        <f>EXP(-LN(2)/2)*AW137+(1-EXP(-LN(2)/2))/(LN(2)/2)*AQ138*AT138*VLOOKUP('Données projet'!$B$10,Paramètres!$A$1:$I$89,3,0)*0.475*44/12</f>
        <v>9.4861796565520498E-16</v>
      </c>
      <c r="AX138" s="21">
        <f t="shared" si="114"/>
        <v>23.322829743902005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403.99999999999989</v>
      </c>
      <c r="BE138" s="13">
        <f>BD138*VLOOKUP('Données projet'!$B$11,Paramètres!$A$1:$I$89,3,0)*VLOOKUP('Données projet'!$B$11,Paramètres!$A$1:$I$89,5,0)</f>
        <v>346.63199999999995</v>
      </c>
      <c r="BF138" s="13">
        <f t="shared" si="145"/>
        <v>80.868615263336864</v>
      </c>
      <c r="BG138" s="20">
        <f t="shared" si="115"/>
        <v>744.56357158364483</v>
      </c>
      <c r="BH138" s="59">
        <f t="shared" si="116"/>
        <v>1037.8969049169782</v>
      </c>
      <c r="BI138" s="59">
        <f ca="1">AVERAGE(OFFSET($BH$3,0,0,'Données projet'!$E$11+1,1))-AVERAGE(OFFSET($H$3,0,0,'Données projet'!$E$11+1,1))</f>
        <v>447.15627913956871</v>
      </c>
      <c r="BJ138" s="59">
        <f t="shared" si="146"/>
        <v>256.77417912163997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74.266810474449755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74.266810474449755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245.99999999999994</v>
      </c>
      <c r="BZ138" s="13">
        <f>BY138*VLOOKUP('Données projet'!$B$12,Paramètres!$A$1:$I$89,3,0)*VLOOKUP('Données projet'!$B$12,Paramètres!$A$1:$I$89,5,0)</f>
        <v>234.09359999999998</v>
      </c>
      <c r="CA138" s="13">
        <f t="shared" si="147"/>
        <v>57.166902703920208</v>
      </c>
      <c r="CB138" s="20">
        <f t="shared" si="118"/>
        <v>507.27870887599425</v>
      </c>
      <c r="CC138" s="59">
        <f t="shared" si="119"/>
        <v>800.61204220932757</v>
      </c>
      <c r="CD138" s="59">
        <f ca="1">AVERAGE(OFFSET($CC$3,0,0,'Données projet'!$E$12+1,1))-AVERAGE(OFFSET($H$3,0,0,'Données projet'!$E$12+1,1))</f>
        <v>448.94764480536713</v>
      </c>
      <c r="CE138" s="59">
        <f t="shared" si="148"/>
        <v>469.26760321719695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52.475578667552369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52.475578667552369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187.80389738728508</v>
      </c>
      <c r="CZ138" s="59">
        <f t="shared" si="150"/>
        <v>439.28159165815265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15.438732841180444</v>
      </c>
      <c r="DG138" s="21">
        <f>EXP(-LN(2)/25)*DG137+(1-EXP(-LN(2)/25))/(LN(2)/25)*Calculateur!DB138*Calculateur!DD138*VLOOKUP('Données projet'!$B$13,Paramètres!$A$1:$I$89,3,0)*0.475*44/12</f>
        <v>0.78226093557578336</v>
      </c>
      <c r="DH138" s="21">
        <f>EXP(-LN(2)/2)*DH137+(1-EXP(-LN(2)/2))/(LN(2)/2)*DB138*DE138*VLOOKUP('Données projet'!$B$13,Paramètres!$A$1:$I$89,3,0)*0.475*44/12</f>
        <v>7.0594506551906064E-18</v>
      </c>
      <c r="DI138" s="22">
        <f t="shared" si="123"/>
        <v>16.220993776756227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255.00000000000006</v>
      </c>
      <c r="DP138" s="17">
        <f>DO138*VLOOKUP('Données projet'!$B$14,Paramètres!$A$1:$I$89,3,0)*VLOOKUP('Données projet'!$B$14,Paramètres!$A$1:$I$89,5,0)</f>
        <v>186.96600000000004</v>
      </c>
      <c r="DQ138" s="13">
        <f t="shared" si="151"/>
        <v>46.868551400324648</v>
      </c>
      <c r="DR138" s="20">
        <f t="shared" si="124"/>
        <v>407.26184368889881</v>
      </c>
      <c r="DS138" s="59">
        <f t="shared" si="125"/>
        <v>700.59517702223206</v>
      </c>
      <c r="DT138" s="59">
        <f ca="1">AVERAGE(OFFSET($DS$3,0,0,'Données projet'!$E$14+1,1))-AVERAGE(OFFSET($H$3,0,0,'Données projet'!$E$14+1,1))</f>
        <v>239.25212250019609</v>
      </c>
      <c r="DU138" s="59">
        <f t="shared" si="152"/>
        <v>213.58492101729695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689</v>
      </c>
      <c r="EK138" s="17">
        <f>EJ138*VLOOKUP('Données projet'!$B$15,Paramètres!$A$1:$I$89,3,0)*VLOOKUP('Données projet'!$B$15,Paramètres!$A$1:$I$89,5,0)</f>
        <v>412.02199999999999</v>
      </c>
      <c r="EL138" s="13">
        <f t="shared" si="153"/>
        <v>94.209724877926391</v>
      </c>
      <c r="EM138" s="20">
        <f t="shared" si="127"/>
        <v>881.686920829055</v>
      </c>
      <c r="EN138" s="59">
        <f t="shared" si="128"/>
        <v>1175.0202541623883</v>
      </c>
      <c r="EO138" s="59">
        <f ca="1">AVERAGE(OFFSET($EN$3,0,0,'Données projet'!$E$15+1,1))-AVERAGE(OFFSET($H$3,0,0,'Données projet'!$E$15+1,1))</f>
        <v>504.81063008331739</v>
      </c>
      <c r="EP138" s="59">
        <f t="shared" si="154"/>
        <v>441.82647565372287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32.931284748911999</v>
      </c>
      <c r="EW138" s="21">
        <f>EXP(-LN(2)/25)*EW137+(1-EXP(-LN(2)/25))/(LN(2)/25)*Calculateur!ER138*Calculateur!ET138*VLOOKUP('Données projet'!$B$15,Paramètres!$A$1:$I$89,3,0)*0.475*44/12</f>
        <v>3.2035845017067781</v>
      </c>
      <c r="EX138" s="21">
        <f>EXP(-LN(2)/2)*EX137+(1-EXP(-LN(2)/2))/(LN(2)/2)*ER138*EU138*VLOOKUP('Données projet'!$B$15,Paramètres!$A$1:$I$89,3,0)*0.475*44/12</f>
        <v>8.2217642372140436E-18</v>
      </c>
      <c r="EY138" s="22">
        <f t="shared" si="129"/>
        <v>36.134869250618777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541.99999999999989</v>
      </c>
      <c r="FF138" s="17">
        <f>FE138*VLOOKUP('Données projet'!$B$16,Paramètres!$A$1:$I$89,3,0)*VLOOKUP('Données projet'!$B$16,Paramètres!$A$1:$I$89,5,0)</f>
        <v>310.02399999999994</v>
      </c>
      <c r="FG138" s="13">
        <f t="shared" si="155"/>
        <v>73.27384230442388</v>
      </c>
      <c r="FH138" s="20">
        <f t="shared" si="130"/>
        <v>667.57707534687154</v>
      </c>
      <c r="FI138" s="59">
        <f t="shared" si="131"/>
        <v>960.91040868020491</v>
      </c>
      <c r="FJ138" s="59">
        <f ca="1">AVERAGE(OFFSET($FI$3,0,0,'Données projet'!$E$16+1,1))-AVERAGE(OFFSET($H$3,0,0,'Données projet'!$E$16+1,1))</f>
        <v>393.41577134252316</v>
      </c>
      <c r="FK138" s="59">
        <f t="shared" si="156"/>
        <v>255.54039659391475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38.561042236147919</v>
      </c>
      <c r="FR138" s="21">
        <f>EXP(-LN(2)/25)*FR137+(1-EXP(-LN(2)/25))/(LN(2)/25)*Calculateur!FM138*Calculateur!FO138*VLOOKUP('Données projet'!$B$16,Paramètres!$A$1:$I$89,3,0)*0.475*44/12</f>
        <v>1.4538389558948432</v>
      </c>
      <c r="FS138" s="21">
        <f>EXP(-LN(2)/2)*FS137+(1-EXP(-LN(2)/2))/(LN(2)/2)*FM138*FP138*VLOOKUP('Données projet'!$B$16,Paramètres!$A$1:$I$89,3,0)*0.475*44/12</f>
        <v>5.7197799681953568E-17</v>
      </c>
      <c r="FT138" s="22">
        <f t="shared" si="132"/>
        <v>40.014881192042765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853.00000000000011</v>
      </c>
      <c r="GA138" s="17">
        <f>FZ138*VLOOKUP('Données projet'!$B$17,Paramètres!$A$1:$I$89,3,0)*VLOOKUP('Données projet'!$B$17,Paramètres!$A$1:$I$89,5,0)</f>
        <v>399.20400000000006</v>
      </c>
      <c r="GB138" s="13">
        <f t="shared" si="157"/>
        <v>91.615269732888521</v>
      </c>
      <c r="GC138" s="20">
        <f t="shared" si="133"/>
        <v>854.8435614514475</v>
      </c>
      <c r="GD138" s="59">
        <f t="shared" si="134"/>
        <v>1148.1768947847809</v>
      </c>
      <c r="GE138" s="59">
        <f ca="1">AVERAGE(OFFSET($GD$3,0,0,'Données projet'!$E$17+1,1))-AVERAGE(OFFSET($H$3,0,0,'Données projet'!$E$17+1,1))</f>
        <v>488.67934252295686</v>
      </c>
      <c r="GF138" s="59">
        <f t="shared" si="158"/>
        <v>424.50324471331095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46.63292821755973</v>
      </c>
      <c r="GM138" s="21">
        <f>EXP(-LN(2)/25)*GM137+(1-EXP(-LN(2)/25))/(LN(2)/25)*Calculateur!GH138*Calculateur!GJ138*VLOOKUP('Données projet'!$B$17,Paramètres!$A$1:$I$89,3,0)*0.475*44/12</f>
        <v>2.6653714191405466</v>
      </c>
      <c r="GN138" s="21">
        <f>EXP(-LN(2)/2)*GN137+(1-EXP(-LN(2)/2))/(LN(2)/2)*GH138*GK138*VLOOKUP('Données projet'!$B$17,Paramètres!$A$1:$I$89,3,0)*0.475*44/12</f>
        <v>1.2739509929162382E-16</v>
      </c>
      <c r="GO138" s="21">
        <f t="shared" si="135"/>
        <v>49.298299636700278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789</v>
      </c>
      <c r="GV138" s="17">
        <f>GU138*VLOOKUP('Données projet'!$B$18,Paramètres!$A$1:$I$89,3,0)*VLOOKUP('Données projet'!$B$18,Paramètres!$A$1:$I$89,5,0)</f>
        <v>379.50900000000001</v>
      </c>
      <c r="GW138" s="13">
        <f t="shared" si="159"/>
        <v>87.609801106074272</v>
      </c>
      <c r="GX138" s="20">
        <f t="shared" si="136"/>
        <v>813.56524525974601</v>
      </c>
      <c r="GY138" s="59">
        <f t="shared" si="137"/>
        <v>1106.8985785930793</v>
      </c>
      <c r="GZ138" s="59">
        <f ca="1">AVERAGE(OFFSET($GY$3,0,0,'Données projet'!$E$18+1,1))-AVERAGE(OFFSET($H$3,0,0,'Données projet'!$E$18+1,1))</f>
        <v>458.80976193248841</v>
      </c>
      <c r="HA138" s="59">
        <f t="shared" si="160"/>
        <v>396.07405370178759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47.219470392672953</v>
      </c>
      <c r="HH138" s="21">
        <f>EXP(-LN(2)/25)*HH137+(1-EXP(-LN(2)/25))/(LN(2)/25)*Calculateur!HC138*Calculateur!HE138*VLOOKUP('Données projet'!$B$18,Paramètres!$A$1:$I$89,3,0)*0.475*44/12</f>
        <v>2.4903722855606136</v>
      </c>
      <c r="HI138" s="21">
        <f>EXP(-LN(2)/2)*HI137+(1-EXP(-LN(2)/2))/(LN(2)/2)*HC138*HF138*VLOOKUP('Données projet'!$B$18,Paramètres!$A$1:$I$89,3,0)*0.475*44/12</f>
        <v>5.8786627450896767E-17</v>
      </c>
      <c r="HJ138" s="22">
        <f t="shared" si="138"/>
        <v>49.709842678233564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267</v>
      </c>
      <c r="O139" s="13">
        <f>N139*VLOOKUP('Données projet'!$B$9,Paramètres!$A$1:$I$89,3,0)*VLOOKUP('Données projet'!$B$9,Paramètres!$A$1:$I$89,5,0)</f>
        <v>241.58159999999998</v>
      </c>
      <c r="P139" s="13">
        <f t="shared" si="141"/>
        <v>58.779689232021951</v>
      </c>
      <c r="Q139" s="20">
        <f t="shared" si="108"/>
        <v>523.12924541243819</v>
      </c>
      <c r="R139" s="59">
        <f t="shared" si="109"/>
        <v>816.46257874577145</v>
      </c>
      <c r="S139" s="59">
        <f ca="1">AVERAGE(OFFSET($R$3,0,0,'Données projet'!$E$9+1,1))-AVERAGE(OFFSET($H$3,0,0,'Données projet'!$E$9+1,1))</f>
        <v>364.3481978218424</v>
      </c>
      <c r="T139" s="59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49.86846154917626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49.86846154917626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636.99999999999977</v>
      </c>
      <c r="AJ139" s="13">
        <f>AI139*VLOOKUP('Données projet'!$B$10,Paramètres!$A$1:$I$89,3,0)*VLOOKUP('Données projet'!$B$10,Paramètres!$A$1:$I$89,5,0)</f>
        <v>356.08299999999991</v>
      </c>
      <c r="AK139" s="13">
        <f t="shared" si="143"/>
        <v>82.813805255716545</v>
      </c>
      <c r="AL139" s="20">
        <f t="shared" si="112"/>
        <v>764.41193582037283</v>
      </c>
      <c r="AM139" s="59">
        <f t="shared" si="113"/>
        <v>1057.7452691537062</v>
      </c>
      <c r="AN139" s="59">
        <f ca="1">AVERAGE(OFFSET($AM$3,0,0,'Données projet'!$E$10+1,1))-AVERAGE(OFFSET($H$3,0,0,'Données projet'!$E$10+1,1))</f>
        <v>443.34220761968419</v>
      </c>
      <c r="AO139" s="59">
        <f t="shared" si="144"/>
        <v>546.58234447298014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21.695293185954384</v>
      </c>
      <c r="AV139" s="21">
        <f>EXP(-LN(2)/25)*AV138+(1-EXP(-LN(2)/25))/(LN(2)/25)*Calculateur!AQ139*Calculateur!AS139*VLOOKUP('Données projet'!$B$10,Paramètres!$A$1:$I$89,3,0)*0.475*44/12</f>
        <v>1.160956838063272</v>
      </c>
      <c r="AW139" s="21">
        <f>EXP(-LN(2)/2)*AW138+(1-EXP(-LN(2)/2))/(LN(2)/2)*AQ139*AT139*VLOOKUP('Données projet'!$B$10,Paramètres!$A$1:$I$89,3,0)*0.475*44/12</f>
        <v>6.7077419627018289E-16</v>
      </c>
      <c r="AX139" s="21">
        <f t="shared" si="114"/>
        <v>22.856250024017655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403.99999999999989</v>
      </c>
      <c r="BE139" s="13">
        <f>BD139*VLOOKUP('Données projet'!$B$11,Paramètres!$A$1:$I$89,3,0)*VLOOKUP('Données projet'!$B$11,Paramètres!$A$1:$I$89,5,0)</f>
        <v>346.63199999999995</v>
      </c>
      <c r="BF139" s="13">
        <f t="shared" si="145"/>
        <v>80.868615263336864</v>
      </c>
      <c r="BG139" s="20">
        <f t="shared" si="115"/>
        <v>744.56357158364483</v>
      </c>
      <c r="BH139" s="59">
        <f t="shared" si="116"/>
        <v>1037.8969049169782</v>
      </c>
      <c r="BI139" s="59">
        <f ca="1">AVERAGE(OFFSET($BH$3,0,0,'Données projet'!$E$11+1,1))-AVERAGE(OFFSET($H$3,0,0,'Données projet'!$E$11+1,1))</f>
        <v>447.15627913956871</v>
      </c>
      <c r="BJ139" s="59">
        <f t="shared" si="146"/>
        <v>256.77417912163997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72.810483619327357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72.810483619327357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245.99999999999994</v>
      </c>
      <c r="BZ139" s="13">
        <f>BY139*VLOOKUP('Données projet'!$B$12,Paramètres!$A$1:$I$89,3,0)*VLOOKUP('Données projet'!$B$12,Paramètres!$A$1:$I$89,5,0)</f>
        <v>234.09359999999998</v>
      </c>
      <c r="CA139" s="13">
        <f t="shared" si="147"/>
        <v>57.166902703920208</v>
      </c>
      <c r="CB139" s="20">
        <f t="shared" si="118"/>
        <v>507.27870887599425</v>
      </c>
      <c r="CC139" s="59">
        <f t="shared" si="119"/>
        <v>800.61204220932757</v>
      </c>
      <c r="CD139" s="59">
        <f ca="1">AVERAGE(OFFSET($CC$3,0,0,'Données projet'!$E$12+1,1))-AVERAGE(OFFSET($H$3,0,0,'Données projet'!$E$12+1,1))</f>
        <v>448.94764480536713</v>
      </c>
      <c r="CE139" s="59">
        <f t="shared" si="148"/>
        <v>469.26760321719695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51.44656457682423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51.44656457682423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187.80389738728508</v>
      </c>
      <c r="CZ139" s="59">
        <f t="shared" si="150"/>
        <v>439.28159165815265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15.135988706862108</v>
      </c>
      <c r="DG139" s="21">
        <f>EXP(-LN(2)/25)*DG138+(1-EXP(-LN(2)/25))/(LN(2)/25)*Calculateur!DB139*Calculateur!DD139*VLOOKUP('Données projet'!$B$13,Paramètres!$A$1:$I$89,3,0)*0.475*44/12</f>
        <v>0.76086996915514882</v>
      </c>
      <c r="DH139" s="21">
        <f>EXP(-LN(2)/2)*DH138+(1-EXP(-LN(2)/2))/(LN(2)/2)*DB139*DE139*VLOOKUP('Données projet'!$B$13,Paramètres!$A$1:$I$89,3,0)*0.475*44/12</f>
        <v>4.9917854297370937E-18</v>
      </c>
      <c r="DI139" s="22">
        <f t="shared" si="123"/>
        <v>15.896858676017256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255.00000000000006</v>
      </c>
      <c r="DP139" s="17">
        <f>DO139*VLOOKUP('Données projet'!$B$14,Paramètres!$A$1:$I$89,3,0)*VLOOKUP('Données projet'!$B$14,Paramètres!$A$1:$I$89,5,0)</f>
        <v>186.96600000000004</v>
      </c>
      <c r="DQ139" s="13">
        <f t="shared" si="151"/>
        <v>46.868551400324648</v>
      </c>
      <c r="DR139" s="20">
        <f t="shared" si="124"/>
        <v>407.26184368889881</v>
      </c>
      <c r="DS139" s="59">
        <f t="shared" si="125"/>
        <v>700.59517702223206</v>
      </c>
      <c r="DT139" s="59">
        <f ca="1">AVERAGE(OFFSET($DS$3,0,0,'Données projet'!$E$14+1,1))-AVERAGE(OFFSET($H$3,0,0,'Données projet'!$E$14+1,1))</f>
        <v>239.25212250019609</v>
      </c>
      <c r="DU139" s="59">
        <f t="shared" si="152"/>
        <v>213.58492101729695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689</v>
      </c>
      <c r="EK139" s="17">
        <f>EJ139*VLOOKUP('Données projet'!$B$15,Paramètres!$A$1:$I$89,3,0)*VLOOKUP('Données projet'!$B$15,Paramètres!$A$1:$I$89,5,0)</f>
        <v>412.02199999999999</v>
      </c>
      <c r="EL139" s="13">
        <f t="shared" si="153"/>
        <v>94.209724877926391</v>
      </c>
      <c r="EM139" s="20">
        <f t="shared" si="127"/>
        <v>881.686920829055</v>
      </c>
      <c r="EN139" s="59">
        <f t="shared" si="128"/>
        <v>1175.0202541623883</v>
      </c>
      <c r="EO139" s="59">
        <f ca="1">AVERAGE(OFFSET($EN$3,0,0,'Données projet'!$E$15+1,1))-AVERAGE(OFFSET($H$3,0,0,'Données projet'!$E$15+1,1))</f>
        <v>504.81063008331739</v>
      </c>
      <c r="EP139" s="59">
        <f t="shared" si="154"/>
        <v>441.82647565372287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32.285522341086192</v>
      </c>
      <c r="EW139" s="21">
        <f>EXP(-LN(2)/25)*EW138+(1-EXP(-LN(2)/25))/(LN(2)/25)*Calculateur!ER139*Calculateur!ET139*VLOOKUP('Données projet'!$B$15,Paramètres!$A$1:$I$89,3,0)*0.475*44/12</f>
        <v>3.1159823150384192</v>
      </c>
      <c r="EX139" s="21">
        <f>EXP(-LN(2)/2)*EX138+(1-EXP(-LN(2)/2))/(LN(2)/2)*ER139*EU139*VLOOKUP('Données projet'!$B$15,Paramètres!$A$1:$I$89,3,0)*0.475*44/12</f>
        <v>5.8136652454510927E-18</v>
      </c>
      <c r="EY139" s="22">
        <f t="shared" si="129"/>
        <v>35.401504656124615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541.99999999999989</v>
      </c>
      <c r="FF139" s="17">
        <f>FE139*VLOOKUP('Données projet'!$B$16,Paramètres!$A$1:$I$89,3,0)*VLOOKUP('Données projet'!$B$16,Paramètres!$A$1:$I$89,5,0)</f>
        <v>310.02399999999994</v>
      </c>
      <c r="FG139" s="13">
        <f t="shared" si="155"/>
        <v>73.27384230442388</v>
      </c>
      <c r="FH139" s="20">
        <f t="shared" si="130"/>
        <v>667.57707534687154</v>
      </c>
      <c r="FI139" s="59">
        <f t="shared" si="131"/>
        <v>960.91040868020491</v>
      </c>
      <c r="FJ139" s="59">
        <f ca="1">AVERAGE(OFFSET($FI$3,0,0,'Données projet'!$E$16+1,1))-AVERAGE(OFFSET($H$3,0,0,'Données projet'!$E$16+1,1))</f>
        <v>393.41577134252316</v>
      </c>
      <c r="FK139" s="59">
        <f t="shared" si="156"/>
        <v>255.54039659391475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37.804883717810426</v>
      </c>
      <c r="FR139" s="21">
        <f>EXP(-LN(2)/25)*FR138+(1-EXP(-LN(2)/25))/(LN(2)/25)*Calculateur!FM139*Calculateur!FO139*VLOOKUP('Données projet'!$B$16,Paramètres!$A$1:$I$89,3,0)*0.475*44/12</f>
        <v>1.4140836531918308</v>
      </c>
      <c r="FS139" s="21">
        <f>EXP(-LN(2)/2)*FS138+(1-EXP(-LN(2)/2))/(LN(2)/2)*FM139*FP139*VLOOKUP('Données projet'!$B$16,Paramètres!$A$1:$I$89,3,0)*0.475*44/12</f>
        <v>4.0444952024059119E-17</v>
      </c>
      <c r="FT139" s="22">
        <f t="shared" si="132"/>
        <v>39.218967371002257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853.00000000000011</v>
      </c>
      <c r="GA139" s="17">
        <f>FZ139*VLOOKUP('Données projet'!$B$17,Paramètres!$A$1:$I$89,3,0)*VLOOKUP('Données projet'!$B$17,Paramètres!$A$1:$I$89,5,0)</f>
        <v>399.20400000000006</v>
      </c>
      <c r="GB139" s="13">
        <f t="shared" si="157"/>
        <v>91.615269732888521</v>
      </c>
      <c r="GC139" s="20">
        <f t="shared" si="133"/>
        <v>854.8435614514475</v>
      </c>
      <c r="GD139" s="59">
        <f t="shared" si="134"/>
        <v>1148.1768947847809</v>
      </c>
      <c r="GE139" s="59">
        <f ca="1">AVERAGE(OFFSET($GD$3,0,0,'Données projet'!$E$17+1,1))-AVERAGE(OFFSET($H$3,0,0,'Données projet'!$E$17+1,1))</f>
        <v>488.67934252295686</v>
      </c>
      <c r="GF139" s="59">
        <f t="shared" si="158"/>
        <v>424.50324471331095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45.718484938491059</v>
      </c>
      <c r="GM139" s="21">
        <f>EXP(-LN(2)/25)*GM138+(1-EXP(-LN(2)/25))/(LN(2)/25)*Calculateur!GH139*Calculateur!GJ139*VLOOKUP('Données projet'!$B$17,Paramètres!$A$1:$I$89,3,0)*0.475*44/12</f>
        <v>2.5924866975183574</v>
      </c>
      <c r="GN139" s="21">
        <f>EXP(-LN(2)/2)*GN138+(1-EXP(-LN(2)/2))/(LN(2)/2)*GH139*GK139*VLOOKUP('Données projet'!$B$17,Paramètres!$A$1:$I$89,3,0)*0.475*44/12</f>
        <v>9.008193859904074E-17</v>
      </c>
      <c r="GO139" s="21">
        <f t="shared" si="135"/>
        <v>48.31097163600942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789</v>
      </c>
      <c r="GV139" s="17">
        <f>GU139*VLOOKUP('Données projet'!$B$18,Paramètres!$A$1:$I$89,3,0)*VLOOKUP('Données projet'!$B$18,Paramètres!$A$1:$I$89,5,0)</f>
        <v>379.50900000000001</v>
      </c>
      <c r="GW139" s="13">
        <f t="shared" si="159"/>
        <v>87.609801106074272</v>
      </c>
      <c r="GX139" s="20">
        <f t="shared" si="136"/>
        <v>813.56524525974601</v>
      </c>
      <c r="GY139" s="59">
        <f t="shared" si="137"/>
        <v>1106.8985785930793</v>
      </c>
      <c r="GZ139" s="59">
        <f ca="1">AVERAGE(OFFSET($GY$3,0,0,'Données projet'!$E$18+1,1))-AVERAGE(OFFSET($H$3,0,0,'Données projet'!$E$18+1,1))</f>
        <v>458.80976193248841</v>
      </c>
      <c r="HA139" s="59">
        <f t="shared" si="160"/>
        <v>396.07405370178759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46.293525379305713</v>
      </c>
      <c r="HH139" s="21">
        <f>EXP(-LN(2)/25)*HH138+(1-EXP(-LN(2)/25))/(LN(2)/25)*Calculateur!HC139*Calculateur!HE139*VLOOKUP('Données projet'!$B$18,Paramètres!$A$1:$I$89,3,0)*0.475*44/12</f>
        <v>2.422272924448972</v>
      </c>
      <c r="HI139" s="21">
        <f>EXP(-LN(2)/2)*HI138+(1-EXP(-LN(2)/2))/(LN(2)/2)*HC139*HF139*VLOOKUP('Données projet'!$B$18,Paramètres!$A$1:$I$89,3,0)*0.475*44/12</f>
        <v>4.1568422913616348E-17</v>
      </c>
      <c r="HJ139" s="22">
        <f t="shared" si="138"/>
        <v>48.715798303754681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267</v>
      </c>
      <c r="O140" s="13">
        <f>N140*VLOOKUP('Données projet'!$B$9,Paramètres!$A$1:$I$89,3,0)*VLOOKUP('Données projet'!$B$9,Paramètres!$A$1:$I$89,5,0)</f>
        <v>241.58159999999998</v>
      </c>
      <c r="P140" s="13">
        <f t="shared" si="141"/>
        <v>58.779689232021951</v>
      </c>
      <c r="Q140" s="20">
        <f t="shared" si="108"/>
        <v>523.12924541243819</v>
      </c>
      <c r="R140" s="59">
        <f t="shared" si="109"/>
        <v>816.46257874577145</v>
      </c>
      <c r="S140" s="59">
        <f ca="1">AVERAGE(OFFSET($R$3,0,0,'Données projet'!$E$9+1,1))-AVERAGE(OFFSET($H$3,0,0,'Données projet'!$E$9+1,1))</f>
        <v>364.3481978218424</v>
      </c>
      <c r="T140" s="59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48.890571434955056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48.890571434955056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636.99999999999977</v>
      </c>
      <c r="AJ140" s="13">
        <f>AI140*VLOOKUP('Données projet'!$B$10,Paramètres!$A$1:$I$89,3,0)*VLOOKUP('Données projet'!$B$10,Paramètres!$A$1:$I$89,5,0)</f>
        <v>356.08299999999991</v>
      </c>
      <c r="AK140" s="13">
        <f t="shared" si="143"/>
        <v>82.813805255716545</v>
      </c>
      <c r="AL140" s="20">
        <f t="shared" si="112"/>
        <v>764.41193582037283</v>
      </c>
      <c r="AM140" s="59">
        <f t="shared" si="113"/>
        <v>1057.7452691537062</v>
      </c>
      <c r="AN140" s="59">
        <f ca="1">AVERAGE(OFFSET($AM$3,0,0,'Données projet'!$E$10+1,1))-AVERAGE(OFFSET($H$3,0,0,'Données projet'!$E$10+1,1))</f>
        <v>443.34220761968419</v>
      </c>
      <c r="AO140" s="59">
        <f t="shared" si="144"/>
        <v>546.58234447298014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21.26986171940003</v>
      </c>
      <c r="AV140" s="21">
        <f>EXP(-LN(2)/25)*AV139+(1-EXP(-LN(2)/25))/(LN(2)/25)*Calculateur!AQ140*Calculateur!AS140*VLOOKUP('Données projet'!$B$10,Paramètres!$A$1:$I$89,3,0)*0.475*44/12</f>
        <v>1.1292104122743651</v>
      </c>
      <c r="AW140" s="21">
        <f>EXP(-LN(2)/2)*AW139+(1-EXP(-LN(2)/2))/(LN(2)/2)*AQ140*AT140*VLOOKUP('Données projet'!$B$10,Paramètres!$A$1:$I$89,3,0)*0.475*44/12</f>
        <v>4.7430898282760249E-16</v>
      </c>
      <c r="AX140" s="21">
        <f t="shared" si="114"/>
        <v>22.399072131674394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403.99999999999989</v>
      </c>
      <c r="BE140" s="13">
        <f>BD140*VLOOKUP('Données projet'!$B$11,Paramètres!$A$1:$I$89,3,0)*VLOOKUP('Données projet'!$B$11,Paramètres!$A$1:$I$89,5,0)</f>
        <v>346.63199999999995</v>
      </c>
      <c r="BF140" s="13">
        <f t="shared" si="145"/>
        <v>80.868615263336864</v>
      </c>
      <c r="BG140" s="20">
        <f t="shared" si="115"/>
        <v>744.56357158364483</v>
      </c>
      <c r="BH140" s="59">
        <f t="shared" si="116"/>
        <v>1037.8969049169782</v>
      </c>
      <c r="BI140" s="59">
        <f ca="1">AVERAGE(OFFSET($BH$3,0,0,'Données projet'!$E$11+1,1))-AVERAGE(OFFSET($H$3,0,0,'Données projet'!$E$11+1,1))</f>
        <v>447.15627913956871</v>
      </c>
      <c r="BJ140" s="59">
        <f t="shared" si="146"/>
        <v>256.77417912163997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71.382714445562229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71.382714445562229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245.99999999999994</v>
      </c>
      <c r="BZ140" s="13">
        <f>BY140*VLOOKUP('Données projet'!$B$12,Paramètres!$A$1:$I$89,3,0)*VLOOKUP('Données projet'!$B$12,Paramètres!$A$1:$I$89,5,0)</f>
        <v>234.09359999999998</v>
      </c>
      <c r="CA140" s="13">
        <f t="shared" si="147"/>
        <v>57.166902703920208</v>
      </c>
      <c r="CB140" s="20">
        <f t="shared" si="118"/>
        <v>507.27870887599425</v>
      </c>
      <c r="CC140" s="59">
        <f t="shared" si="119"/>
        <v>800.61204220932757</v>
      </c>
      <c r="CD140" s="59">
        <f ca="1">AVERAGE(OFFSET($CC$3,0,0,'Données projet'!$E$12+1,1))-AVERAGE(OFFSET($H$3,0,0,'Données projet'!$E$12+1,1))</f>
        <v>448.94764480536713</v>
      </c>
      <c r="CE140" s="59">
        <f t="shared" si="148"/>
        <v>469.26760321719695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50.437728824778652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50.437728824778652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187.80389738728508</v>
      </c>
      <c r="CZ140" s="59">
        <f t="shared" si="150"/>
        <v>439.28159165815265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14.839181200362065</v>
      </c>
      <c r="DG140" s="21">
        <f>EXP(-LN(2)/25)*DG139+(1-EXP(-LN(2)/25))/(LN(2)/25)*Calculateur!DB140*Calculateur!DD140*VLOOKUP('Données projet'!$B$13,Paramètres!$A$1:$I$89,3,0)*0.475*44/12</f>
        <v>0.74006393983618857</v>
      </c>
      <c r="DH140" s="21">
        <f>EXP(-LN(2)/2)*DH139+(1-EXP(-LN(2)/2))/(LN(2)/2)*DB140*DE140*VLOOKUP('Données projet'!$B$13,Paramètres!$A$1:$I$89,3,0)*0.475*44/12</f>
        <v>3.5297253275953032E-18</v>
      </c>
      <c r="DI140" s="22">
        <f t="shared" si="123"/>
        <v>15.579245140198253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255.00000000000006</v>
      </c>
      <c r="DP140" s="17">
        <f>DO140*VLOOKUP('Données projet'!$B$14,Paramètres!$A$1:$I$89,3,0)*VLOOKUP('Données projet'!$B$14,Paramètres!$A$1:$I$89,5,0)</f>
        <v>186.96600000000004</v>
      </c>
      <c r="DQ140" s="13">
        <f t="shared" si="151"/>
        <v>46.868551400324648</v>
      </c>
      <c r="DR140" s="20">
        <f t="shared" si="124"/>
        <v>407.26184368889881</v>
      </c>
      <c r="DS140" s="59">
        <f t="shared" si="125"/>
        <v>700.59517702223206</v>
      </c>
      <c r="DT140" s="59">
        <f ca="1">AVERAGE(OFFSET($DS$3,0,0,'Données projet'!$E$14+1,1))-AVERAGE(OFFSET($H$3,0,0,'Données projet'!$E$14+1,1))</f>
        <v>239.25212250019609</v>
      </c>
      <c r="DU140" s="59">
        <f t="shared" si="152"/>
        <v>213.58492101729695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689</v>
      </c>
      <c r="EK140" s="17">
        <f>EJ140*VLOOKUP('Données projet'!$B$15,Paramètres!$A$1:$I$89,3,0)*VLOOKUP('Données projet'!$B$15,Paramètres!$A$1:$I$89,5,0)</f>
        <v>412.02199999999999</v>
      </c>
      <c r="EL140" s="13">
        <f t="shared" si="153"/>
        <v>94.209724877926391</v>
      </c>
      <c r="EM140" s="20">
        <f t="shared" si="127"/>
        <v>881.686920829055</v>
      </c>
      <c r="EN140" s="59">
        <f t="shared" si="128"/>
        <v>1175.0202541623883</v>
      </c>
      <c r="EO140" s="59">
        <f ca="1">AVERAGE(OFFSET($EN$3,0,0,'Données projet'!$E$15+1,1))-AVERAGE(OFFSET($H$3,0,0,'Données projet'!$E$15+1,1))</f>
        <v>504.81063008331739</v>
      </c>
      <c r="EP140" s="59">
        <f t="shared" si="154"/>
        <v>441.82647565372287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31.652422940201674</v>
      </c>
      <c r="EW140" s="21">
        <f>EXP(-LN(2)/25)*EW139+(1-EXP(-LN(2)/25))/(LN(2)/25)*Calculateur!ER140*Calculateur!ET140*VLOOKUP('Données projet'!$B$15,Paramètres!$A$1:$I$89,3,0)*0.475*44/12</f>
        <v>3.0307756147713052</v>
      </c>
      <c r="EX140" s="21">
        <f>EXP(-LN(2)/2)*EX139+(1-EXP(-LN(2)/2))/(LN(2)/2)*ER140*EU140*VLOOKUP('Données projet'!$B$15,Paramètres!$A$1:$I$89,3,0)*0.475*44/12</f>
        <v>4.1108821186070218E-18</v>
      </c>
      <c r="EY140" s="22">
        <f t="shared" si="129"/>
        <v>34.683198554972982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541.99999999999989</v>
      </c>
      <c r="FF140" s="17">
        <f>FE140*VLOOKUP('Données projet'!$B$16,Paramètres!$A$1:$I$89,3,0)*VLOOKUP('Données projet'!$B$16,Paramètres!$A$1:$I$89,5,0)</f>
        <v>310.02399999999994</v>
      </c>
      <c r="FG140" s="13">
        <f t="shared" si="155"/>
        <v>73.27384230442388</v>
      </c>
      <c r="FH140" s="20">
        <f t="shared" si="130"/>
        <v>667.57707534687154</v>
      </c>
      <c r="FI140" s="59">
        <f t="shared" si="131"/>
        <v>960.91040868020491</v>
      </c>
      <c r="FJ140" s="59">
        <f ca="1">AVERAGE(OFFSET($FI$3,0,0,'Données projet'!$E$16+1,1))-AVERAGE(OFFSET($H$3,0,0,'Données projet'!$E$16+1,1))</f>
        <v>393.41577134252316</v>
      </c>
      <c r="FK140" s="59">
        <f t="shared" si="156"/>
        <v>255.54039659391475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37.063553006806373</v>
      </c>
      <c r="FR140" s="21">
        <f>EXP(-LN(2)/25)*FR139+(1-EXP(-LN(2)/25))/(LN(2)/25)*Calculateur!FM140*Calculateur!FO140*VLOOKUP('Données projet'!$B$16,Paramètres!$A$1:$I$89,3,0)*0.475*44/12</f>
        <v>1.3754154613318728</v>
      </c>
      <c r="FS140" s="21">
        <f>EXP(-LN(2)/2)*FS139+(1-EXP(-LN(2)/2))/(LN(2)/2)*FM140*FP140*VLOOKUP('Données projet'!$B$16,Paramètres!$A$1:$I$89,3,0)*0.475*44/12</f>
        <v>2.8598899840976784E-17</v>
      </c>
      <c r="FT140" s="22">
        <f t="shared" si="132"/>
        <v>38.438968468138249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853.00000000000011</v>
      </c>
      <c r="GA140" s="17">
        <f>FZ140*VLOOKUP('Données projet'!$B$17,Paramètres!$A$1:$I$89,3,0)*VLOOKUP('Données projet'!$B$17,Paramètres!$A$1:$I$89,5,0)</f>
        <v>399.20400000000006</v>
      </c>
      <c r="GB140" s="13">
        <f t="shared" si="157"/>
        <v>91.615269732888521</v>
      </c>
      <c r="GC140" s="20">
        <f t="shared" si="133"/>
        <v>854.8435614514475</v>
      </c>
      <c r="GD140" s="59">
        <f t="shared" si="134"/>
        <v>1148.1768947847809</v>
      </c>
      <c r="GE140" s="59">
        <f ca="1">AVERAGE(OFFSET($GD$3,0,0,'Données projet'!$E$17+1,1))-AVERAGE(OFFSET($H$3,0,0,'Données projet'!$E$17+1,1))</f>
        <v>488.67934252295686</v>
      </c>
      <c r="GF140" s="59">
        <f t="shared" si="158"/>
        <v>424.50324471331095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44.821973334369595</v>
      </c>
      <c r="GM140" s="21">
        <f>EXP(-LN(2)/25)*GM139+(1-EXP(-LN(2)/25))/(LN(2)/25)*Calculateur!GH140*Calculateur!GJ140*VLOOKUP('Données projet'!$B$17,Paramètres!$A$1:$I$89,3,0)*0.475*44/12</f>
        <v>2.5215950124417676</v>
      </c>
      <c r="GN140" s="21">
        <f>EXP(-LN(2)/2)*GN139+(1-EXP(-LN(2)/2))/(LN(2)/2)*GH140*GK140*VLOOKUP('Données projet'!$B$17,Paramètres!$A$1:$I$89,3,0)*0.475*44/12</f>
        <v>6.3697549645811908E-17</v>
      </c>
      <c r="GO140" s="21">
        <f t="shared" si="135"/>
        <v>47.34356834681136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789</v>
      </c>
      <c r="GV140" s="17">
        <f>GU140*VLOOKUP('Données projet'!$B$18,Paramètres!$A$1:$I$89,3,0)*VLOOKUP('Données projet'!$B$18,Paramètres!$A$1:$I$89,5,0)</f>
        <v>379.50900000000001</v>
      </c>
      <c r="GW140" s="13">
        <f t="shared" si="159"/>
        <v>87.609801106074272</v>
      </c>
      <c r="GX140" s="20">
        <f t="shared" si="136"/>
        <v>813.56524525974601</v>
      </c>
      <c r="GY140" s="59">
        <f t="shared" si="137"/>
        <v>1106.8985785930793</v>
      </c>
      <c r="GZ140" s="59">
        <f ca="1">AVERAGE(OFFSET($GY$3,0,0,'Données projet'!$E$18+1,1))-AVERAGE(OFFSET($H$3,0,0,'Données projet'!$E$18+1,1))</f>
        <v>458.80976193248841</v>
      </c>
      <c r="HA140" s="59">
        <f t="shared" si="160"/>
        <v>396.07405370178759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45.385737582879912</v>
      </c>
      <c r="HH140" s="21">
        <f>EXP(-LN(2)/25)*HH139+(1-EXP(-LN(2)/25))/(LN(2)/25)*Calculateur!HC140*Calculateur!HE140*VLOOKUP('Données projet'!$B$18,Paramètres!$A$1:$I$89,3,0)*0.475*44/12</f>
        <v>2.3560357439481181</v>
      </c>
      <c r="HI140" s="21">
        <f>EXP(-LN(2)/2)*HI139+(1-EXP(-LN(2)/2))/(LN(2)/2)*HC140*HF140*VLOOKUP('Données projet'!$B$18,Paramètres!$A$1:$I$89,3,0)*0.475*44/12</f>
        <v>2.9393313725448383E-17</v>
      </c>
      <c r="HJ140" s="22">
        <f t="shared" si="138"/>
        <v>47.741773326828032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267</v>
      </c>
      <c r="O141" s="13">
        <f>N141*VLOOKUP('Données projet'!$B$9,Paramètres!$A$1:$I$89,3,0)*VLOOKUP('Données projet'!$B$9,Paramètres!$A$1:$I$89,5,0)</f>
        <v>241.58159999999998</v>
      </c>
      <c r="P141" s="13">
        <f t="shared" si="141"/>
        <v>58.779689232021951</v>
      </c>
      <c r="Q141" s="20">
        <f t="shared" si="108"/>
        <v>523.12924541243819</v>
      </c>
      <c r="R141" s="59">
        <f t="shared" si="109"/>
        <v>816.46257874577145</v>
      </c>
      <c r="S141" s="59">
        <f ca="1">AVERAGE(OFFSET($R$3,0,0,'Données projet'!$E$9+1,1))-AVERAGE(OFFSET($H$3,0,0,'Données projet'!$E$9+1,1))</f>
        <v>364.3481978218424</v>
      </c>
      <c r="T141" s="59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47.931857149419656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47.931857149419656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636.99999999999977</v>
      </c>
      <c r="AJ141" s="13">
        <f>AI141*VLOOKUP('Données projet'!$B$10,Paramètres!$A$1:$I$89,3,0)*VLOOKUP('Données projet'!$B$10,Paramètres!$A$1:$I$89,5,0)</f>
        <v>356.08299999999991</v>
      </c>
      <c r="AK141" s="13">
        <f t="shared" si="143"/>
        <v>82.813805255716545</v>
      </c>
      <c r="AL141" s="20">
        <f t="shared" si="112"/>
        <v>764.41193582037283</v>
      </c>
      <c r="AM141" s="59">
        <f t="shared" si="113"/>
        <v>1057.7452691537062</v>
      </c>
      <c r="AN141" s="59">
        <f ca="1">AVERAGE(OFFSET($AM$3,0,0,'Données projet'!$E$10+1,1))-AVERAGE(OFFSET($H$3,0,0,'Données projet'!$E$10+1,1))</f>
        <v>443.34220761968419</v>
      </c>
      <c r="AO141" s="59">
        <f t="shared" si="144"/>
        <v>546.58234447298014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20.852772704417234</v>
      </c>
      <c r="AV141" s="21">
        <f>EXP(-LN(2)/25)*AV140+(1-EXP(-LN(2)/25))/(LN(2)/25)*Calculateur!AQ141*Calculateur!AS141*VLOOKUP('Données projet'!$B$10,Paramètres!$A$1:$I$89,3,0)*0.475*44/12</f>
        <v>1.0983320941681278</v>
      </c>
      <c r="AW141" s="21">
        <f>EXP(-LN(2)/2)*AW140+(1-EXP(-LN(2)/2))/(LN(2)/2)*AQ141*AT141*VLOOKUP('Données projet'!$B$10,Paramètres!$A$1:$I$89,3,0)*0.475*44/12</f>
        <v>3.3538709813509145E-16</v>
      </c>
      <c r="AX141" s="21">
        <f t="shared" si="114"/>
        <v>21.951104798585362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403.99999999999989</v>
      </c>
      <c r="BE141" s="13">
        <f>BD141*VLOOKUP('Données projet'!$B$11,Paramètres!$A$1:$I$89,3,0)*VLOOKUP('Données projet'!$B$11,Paramètres!$A$1:$I$89,5,0)</f>
        <v>346.63199999999995</v>
      </c>
      <c r="BF141" s="13">
        <f t="shared" si="145"/>
        <v>80.868615263336864</v>
      </c>
      <c r="BG141" s="20">
        <f t="shared" si="115"/>
        <v>744.56357158364483</v>
      </c>
      <c r="BH141" s="59">
        <f t="shared" si="116"/>
        <v>1037.8969049169782</v>
      </c>
      <c r="BI141" s="59">
        <f ca="1">AVERAGE(OFFSET($BH$3,0,0,'Données projet'!$E$11+1,1))-AVERAGE(OFFSET($H$3,0,0,'Données projet'!$E$11+1,1))</f>
        <v>447.15627913956871</v>
      </c>
      <c r="BJ141" s="59">
        <f t="shared" si="146"/>
        <v>256.77417912163997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69.982942954441427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69.982942954441427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245.99999999999994</v>
      </c>
      <c r="BZ141" s="13">
        <f>BY141*VLOOKUP('Données projet'!$B$12,Paramètres!$A$1:$I$89,3,0)*VLOOKUP('Données projet'!$B$12,Paramètres!$A$1:$I$89,5,0)</f>
        <v>234.09359999999998</v>
      </c>
      <c r="CA141" s="13">
        <f t="shared" si="147"/>
        <v>57.166902703920208</v>
      </c>
      <c r="CB141" s="20">
        <f t="shared" si="118"/>
        <v>507.27870887599425</v>
      </c>
      <c r="CC141" s="59">
        <f t="shared" si="119"/>
        <v>800.61204220932757</v>
      </c>
      <c r="CD141" s="59">
        <f ca="1">AVERAGE(OFFSET($CC$3,0,0,'Données projet'!$E$12+1,1))-AVERAGE(OFFSET($H$3,0,0,'Données projet'!$E$12+1,1))</f>
        <v>448.94764480536713</v>
      </c>
      <c r="CE141" s="59">
        <f t="shared" si="148"/>
        <v>469.26760321719695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49.448675726501634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49.448675726501634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187.80389738728508</v>
      </c>
      <c r="CZ141" s="59">
        <f t="shared" si="150"/>
        <v>439.28159165815265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14.548193908029784</v>
      </c>
      <c r="DG141" s="21">
        <f>EXP(-LN(2)/25)*DG140+(1-EXP(-LN(2)/25))/(LN(2)/25)*Calculateur!DB141*Calculateur!DD141*VLOOKUP('Données projet'!$B$13,Paramètres!$A$1:$I$89,3,0)*0.475*44/12</f>
        <v>0.71982685248309686</v>
      </c>
      <c r="DH141" s="21">
        <f>EXP(-LN(2)/2)*DH140+(1-EXP(-LN(2)/2))/(LN(2)/2)*DB141*DE141*VLOOKUP('Données projet'!$B$13,Paramètres!$A$1:$I$89,3,0)*0.475*44/12</f>
        <v>2.4958927148685468E-18</v>
      </c>
      <c r="DI141" s="22">
        <f t="shared" si="123"/>
        <v>15.268020760512881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255.00000000000006</v>
      </c>
      <c r="DP141" s="17">
        <f>DO141*VLOOKUP('Données projet'!$B$14,Paramètres!$A$1:$I$89,3,0)*VLOOKUP('Données projet'!$B$14,Paramètres!$A$1:$I$89,5,0)</f>
        <v>186.96600000000004</v>
      </c>
      <c r="DQ141" s="13">
        <f t="shared" si="151"/>
        <v>46.868551400324648</v>
      </c>
      <c r="DR141" s="20">
        <f t="shared" si="124"/>
        <v>407.26184368889881</v>
      </c>
      <c r="DS141" s="59">
        <f t="shared" si="125"/>
        <v>700.59517702223206</v>
      </c>
      <c r="DT141" s="59">
        <f ca="1">AVERAGE(OFFSET($DS$3,0,0,'Données projet'!$E$14+1,1))-AVERAGE(OFFSET($H$3,0,0,'Données projet'!$E$14+1,1))</f>
        <v>239.25212250019609</v>
      </c>
      <c r="DU141" s="59">
        <f t="shared" si="152"/>
        <v>213.58492101729695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689</v>
      </c>
      <c r="EK141" s="17">
        <f>EJ141*VLOOKUP('Données projet'!$B$15,Paramètres!$A$1:$I$89,3,0)*VLOOKUP('Données projet'!$B$15,Paramètres!$A$1:$I$89,5,0)</f>
        <v>412.02199999999999</v>
      </c>
      <c r="EL141" s="13">
        <f t="shared" si="153"/>
        <v>94.209724877926391</v>
      </c>
      <c r="EM141" s="20">
        <f t="shared" si="127"/>
        <v>881.686920829055</v>
      </c>
      <c r="EN141" s="59">
        <f t="shared" si="128"/>
        <v>1175.0202541623883</v>
      </c>
      <c r="EO141" s="59">
        <f ca="1">AVERAGE(OFFSET($EN$3,0,0,'Données projet'!$E$15+1,1))-AVERAGE(OFFSET($H$3,0,0,'Données projet'!$E$15+1,1))</f>
        <v>504.81063008331739</v>
      </c>
      <c r="EP141" s="59">
        <f t="shared" si="154"/>
        <v>441.82647565372287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31.031738232415996</v>
      </c>
      <c r="EW141" s="21">
        <f>EXP(-LN(2)/25)*EW140+(1-EXP(-LN(2)/25))/(LN(2)/25)*Calculateur!ER141*Calculateur!ET141*VLOOKUP('Données projet'!$B$15,Paramètres!$A$1:$I$89,3,0)*0.475*44/12</f>
        <v>2.9478988962038213</v>
      </c>
      <c r="EX141" s="21">
        <f>EXP(-LN(2)/2)*EX140+(1-EXP(-LN(2)/2))/(LN(2)/2)*ER141*EU141*VLOOKUP('Données projet'!$B$15,Paramètres!$A$1:$I$89,3,0)*0.475*44/12</f>
        <v>2.9068326227255463E-18</v>
      </c>
      <c r="EY141" s="22">
        <f t="shared" si="129"/>
        <v>33.979637128619821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541.99999999999989</v>
      </c>
      <c r="FF141" s="17">
        <f>FE141*VLOOKUP('Données projet'!$B$16,Paramètres!$A$1:$I$89,3,0)*VLOOKUP('Données projet'!$B$16,Paramètres!$A$1:$I$89,5,0)</f>
        <v>310.02399999999994</v>
      </c>
      <c r="FG141" s="13">
        <f t="shared" si="155"/>
        <v>73.27384230442388</v>
      </c>
      <c r="FH141" s="20">
        <f t="shared" si="130"/>
        <v>667.57707534687154</v>
      </c>
      <c r="FI141" s="59">
        <f t="shared" si="131"/>
        <v>960.91040868020491</v>
      </c>
      <c r="FJ141" s="59">
        <f ca="1">AVERAGE(OFFSET($FI$3,0,0,'Données projet'!$E$16+1,1))-AVERAGE(OFFSET($H$3,0,0,'Données projet'!$E$16+1,1))</f>
        <v>393.41577134252316</v>
      </c>
      <c r="FK141" s="59">
        <f t="shared" si="156"/>
        <v>255.54039659391475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36.336759338878025</v>
      </c>
      <c r="FR141" s="21">
        <f>EXP(-LN(2)/25)*FR140+(1-EXP(-LN(2)/25))/(LN(2)/25)*Calculateur!FM141*Calculateur!FO141*VLOOKUP('Données projet'!$B$16,Paramètres!$A$1:$I$89,3,0)*0.475*44/12</f>
        <v>1.3378046532117971</v>
      </c>
      <c r="FS141" s="21">
        <f>EXP(-LN(2)/2)*FS140+(1-EXP(-LN(2)/2))/(LN(2)/2)*FM141*FP141*VLOOKUP('Données projet'!$B$16,Paramètres!$A$1:$I$89,3,0)*0.475*44/12</f>
        <v>2.022247601202956E-17</v>
      </c>
      <c r="FT141" s="22">
        <f t="shared" si="132"/>
        <v>37.674563992089823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853.00000000000011</v>
      </c>
      <c r="GA141" s="17">
        <f>FZ141*VLOOKUP('Données projet'!$B$17,Paramètres!$A$1:$I$89,3,0)*VLOOKUP('Données projet'!$B$17,Paramètres!$A$1:$I$89,5,0)</f>
        <v>399.20400000000006</v>
      </c>
      <c r="GB141" s="13">
        <f t="shared" si="157"/>
        <v>91.615269732888521</v>
      </c>
      <c r="GC141" s="20">
        <f t="shared" si="133"/>
        <v>854.8435614514475</v>
      </c>
      <c r="GD141" s="59">
        <f t="shared" si="134"/>
        <v>1148.1768947847809</v>
      </c>
      <c r="GE141" s="59">
        <f ca="1">AVERAGE(OFFSET($GD$3,0,0,'Données projet'!$E$17+1,1))-AVERAGE(OFFSET($H$3,0,0,'Données projet'!$E$17+1,1))</f>
        <v>488.67934252295686</v>
      </c>
      <c r="GF141" s="59">
        <f t="shared" si="158"/>
        <v>424.50324471331095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43.94304177598687</v>
      </c>
      <c r="GM141" s="21">
        <f>EXP(-LN(2)/25)*GM140+(1-EXP(-LN(2)/25))/(LN(2)/25)*Calculateur!GH141*Calculateur!GJ141*VLOOKUP('Données projet'!$B$17,Paramètres!$A$1:$I$89,3,0)*0.475*44/12</f>
        <v>2.4526418642216288</v>
      </c>
      <c r="GN141" s="21">
        <f>EXP(-LN(2)/2)*GN140+(1-EXP(-LN(2)/2))/(LN(2)/2)*GH141*GK141*VLOOKUP('Données projet'!$B$17,Paramètres!$A$1:$I$89,3,0)*0.475*44/12</f>
        <v>4.504096929952037E-17</v>
      </c>
      <c r="GO141" s="21">
        <f t="shared" si="135"/>
        <v>46.395683640208496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789</v>
      </c>
      <c r="GV141" s="17">
        <f>GU141*VLOOKUP('Données projet'!$B$18,Paramètres!$A$1:$I$89,3,0)*VLOOKUP('Données projet'!$B$18,Paramètres!$A$1:$I$89,5,0)</f>
        <v>379.50900000000001</v>
      </c>
      <c r="GW141" s="13">
        <f t="shared" si="159"/>
        <v>87.609801106074272</v>
      </c>
      <c r="GX141" s="20">
        <f t="shared" si="136"/>
        <v>813.56524525974601</v>
      </c>
      <c r="GY141" s="59">
        <f t="shared" si="137"/>
        <v>1106.8985785930793</v>
      </c>
      <c r="GZ141" s="59">
        <f ca="1">AVERAGE(OFFSET($GY$3,0,0,'Données projet'!$E$18+1,1))-AVERAGE(OFFSET($H$3,0,0,'Données projet'!$E$18+1,1))</f>
        <v>458.80976193248841</v>
      </c>
      <c r="HA141" s="59">
        <f t="shared" si="160"/>
        <v>396.07405370178759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44.495750951446134</v>
      </c>
      <c r="HH141" s="21">
        <f>EXP(-LN(2)/25)*HH140+(1-EXP(-LN(2)/25))/(LN(2)/25)*Calculateur!HC141*Calculateur!HE141*VLOOKUP('Données projet'!$B$18,Paramètres!$A$1:$I$89,3,0)*0.475*44/12</f>
        <v>2.291609822631322</v>
      </c>
      <c r="HI141" s="21">
        <f>EXP(-LN(2)/2)*HI140+(1-EXP(-LN(2)/2))/(LN(2)/2)*HC141*HF141*VLOOKUP('Données projet'!$B$18,Paramètres!$A$1:$I$89,3,0)*0.475*44/12</f>
        <v>2.0784211456808174E-17</v>
      </c>
      <c r="HJ141" s="22">
        <f t="shared" si="138"/>
        <v>46.787360774077456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267</v>
      </c>
      <c r="O142" s="13">
        <f>N142*VLOOKUP('Données projet'!$B$9,Paramètres!$A$1:$I$89,3,0)*VLOOKUP('Données projet'!$B$9,Paramètres!$A$1:$I$89,5,0)</f>
        <v>241.58159999999998</v>
      </c>
      <c r="P142" s="13">
        <f t="shared" si="141"/>
        <v>58.779689232021951</v>
      </c>
      <c r="Q142" s="20">
        <f t="shared" si="108"/>
        <v>523.12924541243819</v>
      </c>
      <c r="R142" s="59">
        <f t="shared" si="109"/>
        <v>816.46257874577145</v>
      </c>
      <c r="S142" s="59">
        <f ca="1">AVERAGE(OFFSET($R$3,0,0,'Données projet'!$E$9+1,1))-AVERAGE(OFFSET($H$3,0,0,'Données projet'!$E$9+1,1))</f>
        <v>364.3481978218424</v>
      </c>
      <c r="T142" s="59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46.991942666265629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46.991942666265629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636.99999999999977</v>
      </c>
      <c r="AJ142" s="13">
        <f>AI142*VLOOKUP('Données projet'!$B$10,Paramètres!$A$1:$I$89,3,0)*VLOOKUP('Données projet'!$B$10,Paramètres!$A$1:$I$89,5,0)</f>
        <v>356.08299999999991</v>
      </c>
      <c r="AK142" s="13">
        <f t="shared" si="143"/>
        <v>82.813805255716545</v>
      </c>
      <c r="AL142" s="20">
        <f t="shared" si="112"/>
        <v>764.41193582037283</v>
      </c>
      <c r="AM142" s="59">
        <f t="shared" si="113"/>
        <v>1057.7452691537062</v>
      </c>
      <c r="AN142" s="59">
        <f ca="1">AVERAGE(OFFSET($AM$3,0,0,'Données projet'!$E$10+1,1))-AVERAGE(OFFSET($H$3,0,0,'Données projet'!$E$10+1,1))</f>
        <v>443.34220761968419</v>
      </c>
      <c r="AO142" s="59">
        <f t="shared" si="144"/>
        <v>546.58234447298014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20.44386255061907</v>
      </c>
      <c r="AV142" s="21">
        <f>EXP(-LN(2)/25)*AV141+(1-EXP(-LN(2)/25))/(LN(2)/25)*Calculateur!AQ142*Calculateur!AS142*VLOOKUP('Données projet'!$B$10,Paramètres!$A$1:$I$89,3,0)*0.475*44/12</f>
        <v>1.0682981452943259</v>
      </c>
      <c r="AW142" s="21">
        <f>EXP(-LN(2)/2)*AW141+(1-EXP(-LN(2)/2))/(LN(2)/2)*AQ142*AT142*VLOOKUP('Données projet'!$B$10,Paramètres!$A$1:$I$89,3,0)*0.475*44/12</f>
        <v>2.3715449141380125E-16</v>
      </c>
      <c r="AX142" s="21">
        <f t="shared" si="114"/>
        <v>21.512160695913394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403.99999999999989</v>
      </c>
      <c r="BE142" s="13">
        <f>BD142*VLOOKUP('Données projet'!$B$11,Paramètres!$A$1:$I$89,3,0)*VLOOKUP('Données projet'!$B$11,Paramètres!$A$1:$I$89,5,0)</f>
        <v>346.63199999999995</v>
      </c>
      <c r="BF142" s="13">
        <f t="shared" si="145"/>
        <v>80.868615263336864</v>
      </c>
      <c r="BG142" s="20">
        <f t="shared" si="115"/>
        <v>744.56357158364483</v>
      </c>
      <c r="BH142" s="59">
        <f t="shared" si="116"/>
        <v>1037.8969049169782</v>
      </c>
      <c r="BI142" s="59">
        <f ca="1">AVERAGE(OFFSET($BH$3,0,0,'Données projet'!$E$11+1,1))-AVERAGE(OFFSET($H$3,0,0,'Données projet'!$E$11+1,1))</f>
        <v>447.15627913956871</v>
      </c>
      <c r="BJ142" s="59">
        <f t="shared" si="146"/>
        <v>256.77417912163997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68.610620128485195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68.610620128485195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245.99999999999994</v>
      </c>
      <c r="BZ142" s="13">
        <f>BY142*VLOOKUP('Données projet'!$B$12,Paramètres!$A$1:$I$89,3,0)*VLOOKUP('Données projet'!$B$12,Paramètres!$A$1:$I$89,5,0)</f>
        <v>234.09359999999998</v>
      </c>
      <c r="CA142" s="13">
        <f t="shared" si="147"/>
        <v>57.166902703920208</v>
      </c>
      <c r="CB142" s="20">
        <f t="shared" si="118"/>
        <v>507.27870887599425</v>
      </c>
      <c r="CC142" s="59">
        <f t="shared" si="119"/>
        <v>800.61204220932757</v>
      </c>
      <c r="CD142" s="59">
        <f ca="1">AVERAGE(OFFSET($CC$3,0,0,'Données projet'!$E$12+1,1))-AVERAGE(OFFSET($H$3,0,0,'Données projet'!$E$12+1,1))</f>
        <v>448.94764480536713</v>
      </c>
      <c r="CE142" s="59">
        <f t="shared" si="148"/>
        <v>469.26760321719695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48.479017356219003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48.479017356219003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187.80389738728508</v>
      </c>
      <c r="CZ142" s="59">
        <f t="shared" si="150"/>
        <v>439.28159165815265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14.262912699015416</v>
      </c>
      <c r="DG142" s="21">
        <f>EXP(-LN(2)/25)*DG141+(1-EXP(-LN(2)/25))/(LN(2)/25)*Calculateur!DB142*Calculateur!DD142*VLOOKUP('Données projet'!$B$13,Paramètres!$A$1:$I$89,3,0)*0.475*44/12</f>
        <v>0.70014314934789756</v>
      </c>
      <c r="DH142" s="21">
        <f>EXP(-LN(2)/2)*DH141+(1-EXP(-LN(2)/2))/(LN(2)/2)*DB142*DE142*VLOOKUP('Données projet'!$B$13,Paramètres!$A$1:$I$89,3,0)*0.475*44/12</f>
        <v>1.7648626637976516E-18</v>
      </c>
      <c r="DI142" s="22">
        <f t="shared" si="123"/>
        <v>14.963055848363314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255.00000000000006</v>
      </c>
      <c r="DP142" s="17">
        <f>DO142*VLOOKUP('Données projet'!$B$14,Paramètres!$A$1:$I$89,3,0)*VLOOKUP('Données projet'!$B$14,Paramètres!$A$1:$I$89,5,0)</f>
        <v>186.96600000000004</v>
      </c>
      <c r="DQ142" s="13">
        <f t="shared" si="151"/>
        <v>46.868551400324648</v>
      </c>
      <c r="DR142" s="20">
        <f t="shared" si="124"/>
        <v>407.26184368889881</v>
      </c>
      <c r="DS142" s="59">
        <f t="shared" si="125"/>
        <v>700.59517702223206</v>
      </c>
      <c r="DT142" s="59">
        <f ca="1">AVERAGE(OFFSET($DS$3,0,0,'Données projet'!$E$14+1,1))-AVERAGE(OFFSET($H$3,0,0,'Données projet'!$E$14+1,1))</f>
        <v>239.25212250019609</v>
      </c>
      <c r="DU142" s="59">
        <f t="shared" si="152"/>
        <v>213.58492101729695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689</v>
      </c>
      <c r="EK142" s="17">
        <f>EJ142*VLOOKUP('Données projet'!$B$15,Paramètres!$A$1:$I$89,3,0)*VLOOKUP('Données projet'!$B$15,Paramètres!$A$1:$I$89,5,0)</f>
        <v>412.02199999999999</v>
      </c>
      <c r="EL142" s="13">
        <f t="shared" si="153"/>
        <v>94.209724877926391</v>
      </c>
      <c r="EM142" s="20">
        <f t="shared" si="127"/>
        <v>881.686920829055</v>
      </c>
      <c r="EN142" s="59">
        <f t="shared" si="128"/>
        <v>1175.0202541623883</v>
      </c>
      <c r="EO142" s="59">
        <f ca="1">AVERAGE(OFFSET($EN$3,0,0,'Données projet'!$E$15+1,1))-AVERAGE(OFFSET($H$3,0,0,'Données projet'!$E$15+1,1))</f>
        <v>504.81063008331739</v>
      </c>
      <c r="EP142" s="59">
        <f t="shared" si="154"/>
        <v>441.82647565372287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30.423224773169707</v>
      </c>
      <c r="EW142" s="21">
        <f>EXP(-LN(2)/25)*EW141+(1-EXP(-LN(2)/25))/(LN(2)/25)*Calculateur!ER142*Calculateur!ET142*VLOOKUP('Données projet'!$B$15,Paramètres!$A$1:$I$89,3,0)*0.475*44/12</f>
        <v>2.8672884458638626</v>
      </c>
      <c r="EX142" s="21">
        <f>EXP(-LN(2)/2)*EX141+(1-EXP(-LN(2)/2))/(LN(2)/2)*ER142*EU142*VLOOKUP('Données projet'!$B$15,Paramètres!$A$1:$I$89,3,0)*0.475*44/12</f>
        <v>2.0554410593035109E-18</v>
      </c>
      <c r="EY142" s="22">
        <f t="shared" si="129"/>
        <v>33.290513219033571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541.99999999999989</v>
      </c>
      <c r="FF142" s="17">
        <f>FE142*VLOOKUP('Données projet'!$B$16,Paramètres!$A$1:$I$89,3,0)*VLOOKUP('Données projet'!$B$16,Paramètres!$A$1:$I$89,5,0)</f>
        <v>310.02399999999994</v>
      </c>
      <c r="FG142" s="13">
        <f t="shared" si="155"/>
        <v>73.27384230442388</v>
      </c>
      <c r="FH142" s="20">
        <f t="shared" si="130"/>
        <v>667.57707534687154</v>
      </c>
      <c r="FI142" s="59">
        <f t="shared" si="131"/>
        <v>960.91040868020491</v>
      </c>
      <c r="FJ142" s="59">
        <f ca="1">AVERAGE(OFFSET($FI$3,0,0,'Données projet'!$E$16+1,1))-AVERAGE(OFFSET($H$3,0,0,'Données projet'!$E$16+1,1))</f>
        <v>393.41577134252316</v>
      </c>
      <c r="FK142" s="59">
        <f t="shared" si="156"/>
        <v>255.54039659391475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35.624217651477387</v>
      </c>
      <c r="FR142" s="21">
        <f>EXP(-LN(2)/25)*FR141+(1-EXP(-LN(2)/25))/(LN(2)/25)*Calculateur!FM142*Calculateur!FO142*VLOOKUP('Données projet'!$B$16,Paramètres!$A$1:$I$89,3,0)*0.475*44/12</f>
        <v>1.3012223146176314</v>
      </c>
      <c r="FS142" s="21">
        <f>EXP(-LN(2)/2)*FS141+(1-EXP(-LN(2)/2))/(LN(2)/2)*FM142*FP142*VLOOKUP('Données projet'!$B$16,Paramètres!$A$1:$I$89,3,0)*0.475*44/12</f>
        <v>1.4299449920488392E-17</v>
      </c>
      <c r="FT142" s="22">
        <f t="shared" si="132"/>
        <v>36.92543996609502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853.00000000000011</v>
      </c>
      <c r="GA142" s="17">
        <f>FZ142*VLOOKUP('Données projet'!$B$17,Paramètres!$A$1:$I$89,3,0)*VLOOKUP('Données projet'!$B$17,Paramètres!$A$1:$I$89,5,0)</f>
        <v>399.20400000000006</v>
      </c>
      <c r="GB142" s="13">
        <f t="shared" si="157"/>
        <v>91.615269732888521</v>
      </c>
      <c r="GC142" s="20">
        <f t="shared" si="133"/>
        <v>854.8435614514475</v>
      </c>
      <c r="GD142" s="59">
        <f t="shared" si="134"/>
        <v>1148.1768947847809</v>
      </c>
      <c r="GE142" s="59">
        <f ca="1">AVERAGE(OFFSET($GD$3,0,0,'Données projet'!$E$17+1,1))-AVERAGE(OFFSET($H$3,0,0,'Données projet'!$E$17+1,1))</f>
        <v>488.67934252295686</v>
      </c>
      <c r="GF142" s="59">
        <f t="shared" si="158"/>
        <v>424.50324471331095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43.081345529368711</v>
      </c>
      <c r="GM142" s="21">
        <f>EXP(-LN(2)/25)*GM141+(1-EXP(-LN(2)/25))/(LN(2)/25)*Calculateur!GH142*Calculateur!GJ142*VLOOKUP('Données projet'!$B$17,Paramètres!$A$1:$I$89,3,0)*0.475*44/12</f>
        <v>2.3855742434656584</v>
      </c>
      <c r="GN142" s="21">
        <f>EXP(-LN(2)/2)*GN141+(1-EXP(-LN(2)/2))/(LN(2)/2)*GH142*GK142*VLOOKUP('Données projet'!$B$17,Paramètres!$A$1:$I$89,3,0)*0.475*44/12</f>
        <v>3.1848774822905954E-17</v>
      </c>
      <c r="GO142" s="21">
        <f t="shared" si="135"/>
        <v>45.466919772834373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789</v>
      </c>
      <c r="GV142" s="17">
        <f>GU142*VLOOKUP('Données projet'!$B$18,Paramètres!$A$1:$I$89,3,0)*VLOOKUP('Données projet'!$B$18,Paramètres!$A$1:$I$89,5,0)</f>
        <v>379.50900000000001</v>
      </c>
      <c r="GW142" s="13">
        <f t="shared" si="159"/>
        <v>87.609801106074272</v>
      </c>
      <c r="GX142" s="20">
        <f t="shared" si="136"/>
        <v>813.56524525974601</v>
      </c>
      <c r="GY142" s="59">
        <f t="shared" si="137"/>
        <v>1106.8985785930793</v>
      </c>
      <c r="GZ142" s="59">
        <f ca="1">AVERAGE(OFFSET($GY$3,0,0,'Données projet'!$E$18+1,1))-AVERAGE(OFFSET($H$3,0,0,'Données projet'!$E$18+1,1))</f>
        <v>458.80976193248841</v>
      </c>
      <c r="HA142" s="59">
        <f t="shared" si="160"/>
        <v>396.07405370178759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43.623216415016529</v>
      </c>
      <c r="HH142" s="21">
        <f>EXP(-LN(2)/25)*HH141+(1-EXP(-LN(2)/25))/(LN(2)/25)*Calculateur!HC142*Calculateur!HE142*VLOOKUP('Données projet'!$B$18,Paramètres!$A$1:$I$89,3,0)*0.475*44/12</f>
        <v>2.2289456315209453</v>
      </c>
      <c r="HI142" s="21">
        <f>EXP(-LN(2)/2)*HI141+(1-EXP(-LN(2)/2))/(LN(2)/2)*HC142*HF142*VLOOKUP('Données projet'!$B$18,Paramètres!$A$1:$I$89,3,0)*0.475*44/12</f>
        <v>1.4696656862724192E-17</v>
      </c>
      <c r="HJ142" s="22">
        <f t="shared" si="138"/>
        <v>45.852162046537472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267</v>
      </c>
      <c r="O143" s="13">
        <f>N143*VLOOKUP('Données projet'!$B$9,Paramètres!$A$1:$I$89,3,0)*VLOOKUP('Données projet'!$B$9,Paramètres!$A$1:$I$89,5,0)</f>
        <v>241.58159999999998</v>
      </c>
      <c r="P143" s="13">
        <f t="shared" si="141"/>
        <v>58.779689232021951</v>
      </c>
      <c r="Q143" s="20">
        <f t="shared" si="108"/>
        <v>523.12924541243819</v>
      </c>
      <c r="R143" s="59">
        <f t="shared" si="109"/>
        <v>816.46257874577145</v>
      </c>
      <c r="S143" s="59">
        <f ca="1">AVERAGE(OFFSET($R$3,0,0,'Données projet'!$E$9+1,1))-AVERAGE(OFFSET($H$3,0,0,'Données projet'!$E$9+1,1))</f>
        <v>364.3481978218424</v>
      </c>
      <c r="T143" s="59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46.070459332835021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46.070459332835021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636.99999999999977</v>
      </c>
      <c r="AJ143" s="13">
        <f>AI143*VLOOKUP('Données projet'!$B$10,Paramètres!$A$1:$I$89,3,0)*VLOOKUP('Données projet'!$B$10,Paramètres!$A$1:$I$89,5,0)</f>
        <v>356.08299999999991</v>
      </c>
      <c r="AK143" s="13">
        <f t="shared" si="143"/>
        <v>82.813805255716545</v>
      </c>
      <c r="AL143" s="20">
        <f t="shared" si="112"/>
        <v>764.41193582037283</v>
      </c>
      <c r="AM143" s="59">
        <f t="shared" si="113"/>
        <v>1057.7452691537062</v>
      </c>
      <c r="AN143" s="59">
        <f ca="1">AVERAGE(OFFSET($AM$3,0,0,'Données projet'!$E$10+1,1))-AVERAGE(OFFSET($H$3,0,0,'Données projet'!$E$10+1,1))</f>
        <v>443.34220761968419</v>
      </c>
      <c r="AO143" s="59">
        <f t="shared" si="144"/>
        <v>546.58234447298014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20.042970875526322</v>
      </c>
      <c r="AV143" s="21">
        <f>EXP(-LN(2)/25)*AV142+(1-EXP(-LN(2)/25))/(LN(2)/25)*Calculateur!AQ143*Calculateur!AS143*VLOOKUP('Données projet'!$B$10,Paramètres!$A$1:$I$89,3,0)*0.475*44/12</f>
        <v>1.0390854763318946</v>
      </c>
      <c r="AW143" s="21">
        <f>EXP(-LN(2)/2)*AW142+(1-EXP(-LN(2)/2))/(LN(2)/2)*AQ143*AT143*VLOOKUP('Données projet'!$B$10,Paramètres!$A$1:$I$89,3,0)*0.475*44/12</f>
        <v>1.6769354906754572E-16</v>
      </c>
      <c r="AX143" s="21">
        <f t="shared" si="114"/>
        <v>21.082056351858217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403.99999999999989</v>
      </c>
      <c r="BE143" s="13">
        <f>BD143*VLOOKUP('Données projet'!$B$11,Paramètres!$A$1:$I$89,3,0)*VLOOKUP('Données projet'!$B$11,Paramètres!$A$1:$I$89,5,0)</f>
        <v>346.63199999999995</v>
      </c>
      <c r="BF143" s="13">
        <f t="shared" si="145"/>
        <v>80.868615263336864</v>
      </c>
      <c r="BG143" s="20">
        <f t="shared" si="115"/>
        <v>744.56357158364483</v>
      </c>
      <c r="BH143" s="59">
        <f t="shared" si="116"/>
        <v>1037.8969049169782</v>
      </c>
      <c r="BI143" s="59">
        <f ca="1">AVERAGE(OFFSET($BH$3,0,0,'Données projet'!$E$11+1,1))-AVERAGE(OFFSET($H$3,0,0,'Données projet'!$E$11+1,1))</f>
        <v>447.15627913956871</v>
      </c>
      <c r="BJ143" s="59">
        <f t="shared" si="146"/>
        <v>256.77417912163997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67.265207716111703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67.265207716111703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245.99999999999994</v>
      </c>
      <c r="BZ143" s="13">
        <f>BY143*VLOOKUP('Données projet'!$B$12,Paramètres!$A$1:$I$89,3,0)*VLOOKUP('Données projet'!$B$12,Paramètres!$A$1:$I$89,5,0)</f>
        <v>234.09359999999998</v>
      </c>
      <c r="CA143" s="13">
        <f t="shared" si="147"/>
        <v>57.166902703920208</v>
      </c>
      <c r="CB143" s="20">
        <f t="shared" si="118"/>
        <v>507.27870887599425</v>
      </c>
      <c r="CC143" s="59">
        <f t="shared" si="119"/>
        <v>800.61204220932757</v>
      </c>
      <c r="CD143" s="59">
        <f ca="1">AVERAGE(OFFSET($CC$3,0,0,'Données projet'!$E$12+1,1))-AVERAGE(OFFSET($H$3,0,0,'Données projet'!$E$12+1,1))</f>
        <v>448.94764480536713</v>
      </c>
      <c r="CE143" s="59">
        <f t="shared" si="148"/>
        <v>469.26760321719695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47.528373395144413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47.528373395144413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187.80389738728508</v>
      </c>
      <c r="CZ143" s="59">
        <f t="shared" si="150"/>
        <v>439.28159165815265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13.983225680505464</v>
      </c>
      <c r="DG143" s="21">
        <f>EXP(-LN(2)/25)*DG142+(1-EXP(-LN(2)/25))/(LN(2)/25)*Calculateur!DB143*Calculateur!DD143*VLOOKUP('Données projet'!$B$13,Paramètres!$A$1:$I$89,3,0)*0.475*44/12</f>
        <v>0.68099769811005129</v>
      </c>
      <c r="DH143" s="21">
        <f>EXP(-LN(2)/2)*DH142+(1-EXP(-LN(2)/2))/(LN(2)/2)*DB143*DE143*VLOOKUP('Données projet'!$B$13,Paramètres!$A$1:$I$89,3,0)*0.475*44/12</f>
        <v>1.2479463574342734E-18</v>
      </c>
      <c r="DI143" s="22">
        <f t="shared" si="123"/>
        <v>14.664223378615516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255.00000000000006</v>
      </c>
      <c r="DP143" s="17">
        <f>DO143*VLOOKUP('Données projet'!$B$14,Paramètres!$A$1:$I$89,3,0)*VLOOKUP('Données projet'!$B$14,Paramètres!$A$1:$I$89,5,0)</f>
        <v>186.96600000000004</v>
      </c>
      <c r="DQ143" s="13">
        <f t="shared" si="151"/>
        <v>46.868551400324648</v>
      </c>
      <c r="DR143" s="20">
        <f t="shared" si="124"/>
        <v>407.26184368889881</v>
      </c>
      <c r="DS143" s="59">
        <f t="shared" si="125"/>
        <v>700.59517702223206</v>
      </c>
      <c r="DT143" s="59">
        <f ca="1">AVERAGE(OFFSET($DS$3,0,0,'Données projet'!$E$14+1,1))-AVERAGE(OFFSET($H$3,0,0,'Données projet'!$E$14+1,1))</f>
        <v>239.25212250019609</v>
      </c>
      <c r="DU143" s="59">
        <f t="shared" si="152"/>
        <v>213.58492101729695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689</v>
      </c>
      <c r="EK143" s="17">
        <f>EJ143*VLOOKUP('Données projet'!$B$15,Paramètres!$A$1:$I$89,3,0)*VLOOKUP('Données projet'!$B$15,Paramètres!$A$1:$I$89,5,0)</f>
        <v>412.02199999999999</v>
      </c>
      <c r="EL143" s="13">
        <f t="shared" si="153"/>
        <v>94.209724877926391</v>
      </c>
      <c r="EM143" s="20">
        <f t="shared" si="127"/>
        <v>881.686920829055</v>
      </c>
      <c r="EN143" s="59">
        <f t="shared" si="128"/>
        <v>1175.0202541623883</v>
      </c>
      <c r="EO143" s="59">
        <f ca="1">AVERAGE(OFFSET($EN$3,0,0,'Données projet'!$E$15+1,1))-AVERAGE(OFFSET($H$3,0,0,'Données projet'!$E$15+1,1))</f>
        <v>504.81063008331739</v>
      </c>
      <c r="EP143" s="59">
        <f t="shared" si="154"/>
        <v>441.82647565372287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29.826643891702673</v>
      </c>
      <c r="EW143" s="21">
        <f>EXP(-LN(2)/25)*EW142+(1-EXP(-LN(2)/25))/(LN(2)/25)*Calculateur!ER143*Calculateur!ET143*VLOOKUP('Données projet'!$B$15,Paramètres!$A$1:$I$89,3,0)*0.475*44/12</f>
        <v>2.7888822925275694</v>
      </c>
      <c r="EX143" s="21">
        <f>EXP(-LN(2)/2)*EX142+(1-EXP(-LN(2)/2))/(LN(2)/2)*ER143*EU143*VLOOKUP('Données projet'!$B$15,Paramètres!$A$1:$I$89,3,0)*0.475*44/12</f>
        <v>1.4534163113627732E-18</v>
      </c>
      <c r="EY143" s="22">
        <f t="shared" si="129"/>
        <v>32.615526184230241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541.99999999999989</v>
      </c>
      <c r="FF143" s="17">
        <f>FE143*VLOOKUP('Données projet'!$B$16,Paramètres!$A$1:$I$89,3,0)*VLOOKUP('Données projet'!$B$16,Paramètres!$A$1:$I$89,5,0)</f>
        <v>310.02399999999994</v>
      </c>
      <c r="FG143" s="13">
        <f t="shared" si="155"/>
        <v>73.27384230442388</v>
      </c>
      <c r="FH143" s="20">
        <f t="shared" si="130"/>
        <v>667.57707534687154</v>
      </c>
      <c r="FI143" s="59">
        <f t="shared" si="131"/>
        <v>960.91040868020491</v>
      </c>
      <c r="FJ143" s="59">
        <f ca="1">AVERAGE(OFFSET($FI$3,0,0,'Données projet'!$E$16+1,1))-AVERAGE(OFFSET($H$3,0,0,'Données projet'!$E$16+1,1))</f>
        <v>393.41577134252316</v>
      </c>
      <c r="FK143" s="59">
        <f t="shared" si="156"/>
        <v>255.54039659391475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34.925648471959157</v>
      </c>
      <c r="FR143" s="21">
        <f>EXP(-LN(2)/25)*FR142+(1-EXP(-LN(2)/25))/(LN(2)/25)*Calculateur!FM143*Calculateur!FO143*VLOOKUP('Données projet'!$B$16,Paramètres!$A$1:$I$89,3,0)*0.475*44/12</f>
        <v>1.2656403219961048</v>
      </c>
      <c r="FS143" s="21">
        <f>EXP(-LN(2)/2)*FS142+(1-EXP(-LN(2)/2))/(LN(2)/2)*FM143*FP143*VLOOKUP('Données projet'!$B$16,Paramètres!$A$1:$I$89,3,0)*0.475*44/12</f>
        <v>1.011123800601478E-17</v>
      </c>
      <c r="FT143" s="22">
        <f t="shared" si="132"/>
        <v>36.191288793955259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853.00000000000011</v>
      </c>
      <c r="GA143" s="17">
        <f>FZ143*VLOOKUP('Données projet'!$B$17,Paramètres!$A$1:$I$89,3,0)*VLOOKUP('Données projet'!$B$17,Paramètres!$A$1:$I$89,5,0)</f>
        <v>399.20400000000006</v>
      </c>
      <c r="GB143" s="13">
        <f t="shared" si="157"/>
        <v>91.615269732888521</v>
      </c>
      <c r="GC143" s="20">
        <f t="shared" si="133"/>
        <v>854.8435614514475</v>
      </c>
      <c r="GD143" s="59">
        <f t="shared" si="134"/>
        <v>1148.1768947847809</v>
      </c>
      <c r="GE143" s="59">
        <f ca="1">AVERAGE(OFFSET($GD$3,0,0,'Données projet'!$E$17+1,1))-AVERAGE(OFFSET($H$3,0,0,'Données projet'!$E$17+1,1))</f>
        <v>488.67934252295686</v>
      </c>
      <c r="GF143" s="59">
        <f t="shared" si="158"/>
        <v>424.50324471331095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42.236546620563921</v>
      </c>
      <c r="GM143" s="21">
        <f>EXP(-LN(2)/25)*GM142+(1-EXP(-LN(2)/25))/(LN(2)/25)*Calculateur!GH143*Calculateur!GJ143*VLOOKUP('Données projet'!$B$17,Paramètres!$A$1:$I$89,3,0)*0.475*44/12</f>
        <v>2.3203405903261927</v>
      </c>
      <c r="GN143" s="21">
        <f>EXP(-LN(2)/2)*GN142+(1-EXP(-LN(2)/2))/(LN(2)/2)*GH143*GK143*VLOOKUP('Données projet'!$B$17,Paramètres!$A$1:$I$89,3,0)*0.475*44/12</f>
        <v>2.2520484649760185E-17</v>
      </c>
      <c r="GO143" s="21">
        <f t="shared" si="135"/>
        <v>44.55688721089011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789</v>
      </c>
      <c r="GV143" s="17">
        <f>GU143*VLOOKUP('Données projet'!$B$18,Paramètres!$A$1:$I$89,3,0)*VLOOKUP('Données projet'!$B$18,Paramètres!$A$1:$I$89,5,0)</f>
        <v>379.50900000000001</v>
      </c>
      <c r="GW143" s="13">
        <f t="shared" si="159"/>
        <v>87.609801106074272</v>
      </c>
      <c r="GX143" s="20">
        <f t="shared" si="136"/>
        <v>813.56524525974601</v>
      </c>
      <c r="GY143" s="59">
        <f t="shared" si="137"/>
        <v>1106.8985785930793</v>
      </c>
      <c r="GZ143" s="59">
        <f ca="1">AVERAGE(OFFSET($GY$3,0,0,'Données projet'!$E$18+1,1))-AVERAGE(OFFSET($H$3,0,0,'Données projet'!$E$18+1,1))</f>
        <v>458.80976193248841</v>
      </c>
      <c r="HA143" s="59">
        <f t="shared" si="160"/>
        <v>396.07405370178759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42.76779174865279</v>
      </c>
      <c r="HH143" s="21">
        <f>EXP(-LN(2)/25)*HH142+(1-EXP(-LN(2)/25))/(LN(2)/25)*Calculateur!HC143*Calculateur!HE143*VLOOKUP('Données projet'!$B$18,Paramètres!$A$1:$I$89,3,0)*0.475*44/12</f>
        <v>2.1679949960118488</v>
      </c>
      <c r="HI143" s="21">
        <f>EXP(-LN(2)/2)*HI142+(1-EXP(-LN(2)/2))/(LN(2)/2)*HC143*HF143*VLOOKUP('Données projet'!$B$18,Paramètres!$A$1:$I$89,3,0)*0.475*44/12</f>
        <v>1.0392105728404087E-17</v>
      </c>
      <c r="HJ143" s="22">
        <f t="shared" si="138"/>
        <v>44.93578674466464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267</v>
      </c>
      <c r="O144" s="13">
        <f>N144*VLOOKUP('Données projet'!$B$9,Paramètres!$A$1:$I$89,3,0)*VLOOKUP('Données projet'!$B$9,Paramètres!$A$1:$I$89,5,0)</f>
        <v>241.58159999999998</v>
      </c>
      <c r="P144" s="13">
        <f t="shared" si="141"/>
        <v>58.779689232021951</v>
      </c>
      <c r="Q144" s="20">
        <f t="shared" si="108"/>
        <v>523.12924541243819</v>
      </c>
      <c r="R144" s="59">
        <f t="shared" si="109"/>
        <v>816.46257874577145</v>
      </c>
      <c r="S144" s="59">
        <f ca="1">AVERAGE(OFFSET($R$3,0,0,'Données projet'!$E$9+1,1))-AVERAGE(OFFSET($H$3,0,0,'Données projet'!$E$9+1,1))</f>
        <v>364.3481978218424</v>
      </c>
      <c r="T144" s="59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45.167045725523657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45.167045725523657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636.99999999999977</v>
      </c>
      <c r="AJ144" s="13">
        <f>AI144*VLOOKUP('Données projet'!$B$10,Paramètres!$A$1:$I$89,3,0)*VLOOKUP('Données projet'!$B$10,Paramètres!$A$1:$I$89,5,0)</f>
        <v>356.08299999999991</v>
      </c>
      <c r="AK144" s="13">
        <f t="shared" si="143"/>
        <v>82.813805255716545</v>
      </c>
      <c r="AL144" s="20">
        <f t="shared" si="112"/>
        <v>764.41193582037283</v>
      </c>
      <c r="AM144" s="59">
        <f t="shared" si="113"/>
        <v>1057.7452691537062</v>
      </c>
      <c r="AN144" s="59">
        <f ca="1">AVERAGE(OFFSET($AM$3,0,0,'Données projet'!$E$10+1,1))-AVERAGE(OFFSET($H$3,0,0,'Données projet'!$E$10+1,1))</f>
        <v>443.34220761968419</v>
      </c>
      <c r="AO144" s="59">
        <f t="shared" si="144"/>
        <v>546.58234447298014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19.649940441662366</v>
      </c>
      <c r="AV144" s="21">
        <f>EXP(-LN(2)/25)*AV143+(1-EXP(-LN(2)/25))/(LN(2)/25)*Calculateur!AQ144*Calculateur!AS144*VLOOKUP('Données projet'!$B$10,Paramètres!$A$1:$I$89,3,0)*0.475*44/12</f>
        <v>1.0106716293384685</v>
      </c>
      <c r="AW144" s="21">
        <f>EXP(-LN(2)/2)*AW143+(1-EXP(-LN(2)/2))/(LN(2)/2)*AQ144*AT144*VLOOKUP('Données projet'!$B$10,Paramètres!$A$1:$I$89,3,0)*0.475*44/12</f>
        <v>1.1857724570690062E-16</v>
      </c>
      <c r="AX144" s="21">
        <f t="shared" si="114"/>
        <v>20.660612071000834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403.99999999999989</v>
      </c>
      <c r="BE144" s="13">
        <f>BD144*VLOOKUP('Données projet'!$B$11,Paramètres!$A$1:$I$89,3,0)*VLOOKUP('Données projet'!$B$11,Paramètres!$A$1:$I$89,5,0)</f>
        <v>346.63199999999995</v>
      </c>
      <c r="BF144" s="13">
        <f t="shared" si="145"/>
        <v>80.868615263336864</v>
      </c>
      <c r="BG144" s="20">
        <f t="shared" si="115"/>
        <v>744.56357158364483</v>
      </c>
      <c r="BH144" s="59">
        <f t="shared" si="116"/>
        <v>1037.8969049169782</v>
      </c>
      <c r="BI144" s="59">
        <f ca="1">AVERAGE(OFFSET($BH$3,0,0,'Données projet'!$E$11+1,1))-AVERAGE(OFFSET($H$3,0,0,'Données projet'!$E$11+1,1))</f>
        <v>447.15627913956871</v>
      </c>
      <c r="BJ144" s="59">
        <f t="shared" si="146"/>
        <v>256.77417912163997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65.946178020524314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65.946178020524314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245.99999999999994</v>
      </c>
      <c r="BZ144" s="13">
        <f>BY144*VLOOKUP('Données projet'!$B$12,Paramètres!$A$1:$I$89,3,0)*VLOOKUP('Données projet'!$B$12,Paramètres!$A$1:$I$89,5,0)</f>
        <v>234.09359999999998</v>
      </c>
      <c r="CA144" s="13">
        <f t="shared" si="147"/>
        <v>57.166902703920208</v>
      </c>
      <c r="CB144" s="20">
        <f t="shared" si="118"/>
        <v>507.27870887599425</v>
      </c>
      <c r="CC144" s="59">
        <f t="shared" si="119"/>
        <v>800.61204220932757</v>
      </c>
      <c r="CD144" s="59">
        <f ca="1">AVERAGE(OFFSET($CC$3,0,0,'Données projet'!$E$12+1,1))-AVERAGE(OFFSET($H$3,0,0,'Données projet'!$E$12+1,1))</f>
        <v>448.94764480536713</v>
      </c>
      <c r="CE144" s="59">
        <f t="shared" si="148"/>
        <v>469.26760321719695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46.59637098231093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46.59637098231093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187.80389738728508</v>
      </c>
      <c r="CZ144" s="59">
        <f t="shared" si="150"/>
        <v>439.28159165815265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13.709023153836256</v>
      </c>
      <c r="DG144" s="21">
        <f>EXP(-LN(2)/25)*DG143+(1-EXP(-LN(2)/25))/(LN(2)/25)*Calculateur!DB144*Calculateur!DD144*VLOOKUP('Données projet'!$B$13,Paramètres!$A$1:$I$89,3,0)*0.475*44/12</f>
        <v>0.66237578024311938</v>
      </c>
      <c r="DH144" s="21">
        <f>EXP(-LN(2)/2)*DH143+(1-EXP(-LN(2)/2))/(LN(2)/2)*DB144*DE144*VLOOKUP('Données projet'!$B$13,Paramètres!$A$1:$I$89,3,0)*0.475*44/12</f>
        <v>8.8243133189882579E-19</v>
      </c>
      <c r="DI144" s="22">
        <f t="shared" si="123"/>
        <v>14.371398934079375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255.00000000000006</v>
      </c>
      <c r="DP144" s="17">
        <f>DO144*VLOOKUP('Données projet'!$B$14,Paramètres!$A$1:$I$89,3,0)*VLOOKUP('Données projet'!$B$14,Paramètres!$A$1:$I$89,5,0)</f>
        <v>186.96600000000004</v>
      </c>
      <c r="DQ144" s="13">
        <f t="shared" si="151"/>
        <v>46.868551400324648</v>
      </c>
      <c r="DR144" s="20">
        <f t="shared" si="124"/>
        <v>407.26184368889881</v>
      </c>
      <c r="DS144" s="59">
        <f t="shared" si="125"/>
        <v>700.59517702223206</v>
      </c>
      <c r="DT144" s="59">
        <f ca="1">AVERAGE(OFFSET($DS$3,0,0,'Données projet'!$E$14+1,1))-AVERAGE(OFFSET($H$3,0,0,'Données projet'!$E$14+1,1))</f>
        <v>239.25212250019609</v>
      </c>
      <c r="DU144" s="59">
        <f t="shared" si="152"/>
        <v>213.58492101729695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689</v>
      </c>
      <c r="EK144" s="17">
        <f>EJ144*VLOOKUP('Données projet'!$B$15,Paramètres!$A$1:$I$89,3,0)*VLOOKUP('Données projet'!$B$15,Paramètres!$A$1:$I$89,5,0)</f>
        <v>412.02199999999999</v>
      </c>
      <c r="EL144" s="13">
        <f t="shared" si="153"/>
        <v>94.209724877926391</v>
      </c>
      <c r="EM144" s="20">
        <f t="shared" si="127"/>
        <v>881.686920829055</v>
      </c>
      <c r="EN144" s="59">
        <f t="shared" si="128"/>
        <v>1175.0202541623883</v>
      </c>
      <c r="EO144" s="59">
        <f ca="1">AVERAGE(OFFSET($EN$3,0,0,'Données projet'!$E$15+1,1))-AVERAGE(OFFSET($H$3,0,0,'Données projet'!$E$15+1,1))</f>
        <v>504.81063008331739</v>
      </c>
      <c r="EP144" s="59">
        <f t="shared" si="154"/>
        <v>441.82647565372287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29.241761597442803</v>
      </c>
      <c r="EW144" s="21">
        <f>EXP(-LN(2)/25)*EW143+(1-EXP(-LN(2)/25))/(LN(2)/25)*Calculateur!ER144*Calculateur!ET144*VLOOKUP('Données projet'!$B$15,Paramètres!$A$1:$I$89,3,0)*0.475*44/12</f>
        <v>2.7126201595774573</v>
      </c>
      <c r="EX144" s="21">
        <f>EXP(-LN(2)/2)*EX143+(1-EXP(-LN(2)/2))/(LN(2)/2)*ER144*EU144*VLOOKUP('Données projet'!$B$15,Paramètres!$A$1:$I$89,3,0)*0.475*44/12</f>
        <v>1.0277205296517555E-18</v>
      </c>
      <c r="EY144" s="22">
        <f t="shared" si="129"/>
        <v>31.954381757020261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541.99999999999989</v>
      </c>
      <c r="FF144" s="17">
        <f>FE144*VLOOKUP('Données projet'!$B$16,Paramètres!$A$1:$I$89,3,0)*VLOOKUP('Données projet'!$B$16,Paramètres!$A$1:$I$89,5,0)</f>
        <v>310.02399999999994</v>
      </c>
      <c r="FG144" s="13">
        <f t="shared" si="155"/>
        <v>73.27384230442388</v>
      </c>
      <c r="FH144" s="20">
        <f t="shared" si="130"/>
        <v>667.57707534687154</v>
      </c>
      <c r="FI144" s="59">
        <f t="shared" si="131"/>
        <v>960.91040868020491</v>
      </c>
      <c r="FJ144" s="59">
        <f ca="1">AVERAGE(OFFSET($FI$3,0,0,'Données projet'!$E$16+1,1))-AVERAGE(OFFSET($H$3,0,0,'Données projet'!$E$16+1,1))</f>
        <v>393.41577134252316</v>
      </c>
      <c r="FK144" s="59">
        <f t="shared" si="156"/>
        <v>255.54039659391475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34.240777807966154</v>
      </c>
      <c r="FR144" s="21">
        <f>EXP(-LN(2)/25)*FR143+(1-EXP(-LN(2)/25))/(LN(2)/25)*Calculateur!FM144*Calculateur!FO144*VLOOKUP('Données projet'!$B$16,Paramètres!$A$1:$I$89,3,0)*0.475*44/12</f>
        <v>1.2310313208339894</v>
      </c>
      <c r="FS144" s="21">
        <f>EXP(-LN(2)/2)*FS143+(1-EXP(-LN(2)/2))/(LN(2)/2)*FM144*FP144*VLOOKUP('Données projet'!$B$16,Paramètres!$A$1:$I$89,3,0)*0.475*44/12</f>
        <v>7.149724960244196E-18</v>
      </c>
      <c r="FT144" s="22">
        <f t="shared" si="132"/>
        <v>35.471809128800146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853.00000000000011</v>
      </c>
      <c r="GA144" s="17">
        <f>FZ144*VLOOKUP('Données projet'!$B$17,Paramètres!$A$1:$I$89,3,0)*VLOOKUP('Données projet'!$B$17,Paramètres!$A$1:$I$89,5,0)</f>
        <v>399.20400000000006</v>
      </c>
      <c r="GB144" s="13">
        <f t="shared" si="157"/>
        <v>91.615269732888521</v>
      </c>
      <c r="GC144" s="20">
        <f t="shared" si="133"/>
        <v>854.8435614514475</v>
      </c>
      <c r="GD144" s="59">
        <f t="shared" si="134"/>
        <v>1148.1768947847809</v>
      </c>
      <c r="GE144" s="59">
        <f ca="1">AVERAGE(OFFSET($GD$3,0,0,'Données projet'!$E$17+1,1))-AVERAGE(OFFSET($H$3,0,0,'Données projet'!$E$17+1,1))</f>
        <v>488.67934252295686</v>
      </c>
      <c r="GF144" s="59">
        <f t="shared" si="158"/>
        <v>424.50324471331095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41.408313703084339</v>
      </c>
      <c r="GM144" s="21">
        <f>EXP(-LN(2)/25)*GM143+(1-EXP(-LN(2)/25))/(LN(2)/25)*Calculateur!GH144*Calculateur!GJ144*VLOOKUP('Données projet'!$B$17,Paramètres!$A$1:$I$89,3,0)*0.475*44/12</f>
        <v>2.2568907548623143</v>
      </c>
      <c r="GN144" s="21">
        <f>EXP(-LN(2)/2)*GN143+(1-EXP(-LN(2)/2))/(LN(2)/2)*GH144*GK144*VLOOKUP('Données projet'!$B$17,Paramètres!$A$1:$I$89,3,0)*0.475*44/12</f>
        <v>1.5924387411452977E-17</v>
      </c>
      <c r="GO144" s="21">
        <f t="shared" si="135"/>
        <v>43.665204457946651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789</v>
      </c>
      <c r="GV144" s="17">
        <f>GU144*VLOOKUP('Données projet'!$B$18,Paramètres!$A$1:$I$89,3,0)*VLOOKUP('Données projet'!$B$18,Paramètres!$A$1:$I$89,5,0)</f>
        <v>379.50900000000001</v>
      </c>
      <c r="GW144" s="13">
        <f t="shared" si="159"/>
        <v>87.609801106074272</v>
      </c>
      <c r="GX144" s="20">
        <f t="shared" si="136"/>
        <v>813.56524525974601</v>
      </c>
      <c r="GY144" s="59">
        <f t="shared" si="137"/>
        <v>1106.8985785930793</v>
      </c>
      <c r="GZ144" s="59">
        <f ca="1">AVERAGE(OFFSET($GY$3,0,0,'Données projet'!$E$18+1,1))-AVERAGE(OFFSET($H$3,0,0,'Données projet'!$E$18+1,1))</f>
        <v>458.80976193248841</v>
      </c>
      <c r="HA144" s="59">
        <f t="shared" si="160"/>
        <v>396.07405370178759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41.929141438238922</v>
      </c>
      <c r="HH144" s="21">
        <f>EXP(-LN(2)/25)*HH143+(1-EXP(-LN(2)/25))/(LN(2)/25)*Calculateur!HC144*Calculateur!HE144*VLOOKUP('Données projet'!$B$18,Paramètres!$A$1:$I$89,3,0)*0.475*44/12</f>
        <v>2.1087110588360027</v>
      </c>
      <c r="HI144" s="21">
        <f>EXP(-LN(2)/2)*HI143+(1-EXP(-LN(2)/2))/(LN(2)/2)*HC144*HF144*VLOOKUP('Données projet'!$B$18,Paramètres!$A$1:$I$89,3,0)*0.475*44/12</f>
        <v>7.3483284313620958E-18</v>
      </c>
      <c r="HJ144" s="22">
        <f t="shared" si="138"/>
        <v>44.037852497074923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267</v>
      </c>
      <c r="O145" s="13">
        <f>N145*VLOOKUP('Données projet'!$B$9,Paramètres!$A$1:$I$89,3,0)*VLOOKUP('Données projet'!$B$9,Paramètres!$A$1:$I$89,5,0)</f>
        <v>241.58159999999998</v>
      </c>
      <c r="P145" s="13">
        <f t="shared" si="141"/>
        <v>58.779689232021951</v>
      </c>
      <c r="Q145" s="20">
        <f t="shared" si="108"/>
        <v>523.12924541243819</v>
      </c>
      <c r="R145" s="59">
        <f t="shared" si="109"/>
        <v>816.46257874577145</v>
      </c>
      <c r="S145" s="59">
        <f ca="1">AVERAGE(OFFSET($R$3,0,0,'Données projet'!$E$9+1,1))-AVERAGE(OFFSET($H$3,0,0,'Données projet'!$E$9+1,1))</f>
        <v>364.3481978218424</v>
      </c>
      <c r="T145" s="59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44.281347508023778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44.281347508023778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636.99999999999977</v>
      </c>
      <c r="AJ145" s="13">
        <f>AI145*VLOOKUP('Données projet'!$B$10,Paramètres!$A$1:$I$89,3,0)*VLOOKUP('Données projet'!$B$10,Paramètres!$A$1:$I$89,5,0)</f>
        <v>356.08299999999991</v>
      </c>
      <c r="AK145" s="13">
        <f t="shared" si="143"/>
        <v>82.813805255716545</v>
      </c>
      <c r="AL145" s="20">
        <f t="shared" si="112"/>
        <v>764.41193582037283</v>
      </c>
      <c r="AM145" s="59">
        <f t="shared" si="113"/>
        <v>1057.7452691537062</v>
      </c>
      <c r="AN145" s="59">
        <f ca="1">AVERAGE(OFFSET($AM$3,0,0,'Données projet'!$E$10+1,1))-AVERAGE(OFFSET($H$3,0,0,'Données projet'!$E$10+1,1))</f>
        <v>443.34220761968419</v>
      </c>
      <c r="AO145" s="59">
        <f t="shared" si="144"/>
        <v>546.58234447298014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19.26461709488159</v>
      </c>
      <c r="AV145" s="21">
        <f>EXP(-LN(2)/25)*AV144+(1-EXP(-LN(2)/25))/(LN(2)/25)*Calculateur!AQ145*Calculateur!AS145*VLOOKUP('Données projet'!$B$10,Paramètres!$A$1:$I$89,3,0)*0.475*44/12</f>
        <v>0.98303476048529703</v>
      </c>
      <c r="AW145" s="21">
        <f>EXP(-LN(2)/2)*AW144+(1-EXP(-LN(2)/2))/(LN(2)/2)*AQ145*AT145*VLOOKUP('Données projet'!$B$10,Paramètres!$A$1:$I$89,3,0)*0.475*44/12</f>
        <v>8.3846774533772862E-17</v>
      </c>
      <c r="AX145" s="21">
        <f t="shared" si="114"/>
        <v>20.247651855366886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403.99999999999989</v>
      </c>
      <c r="BE145" s="13">
        <f>BD145*VLOOKUP('Données projet'!$B$11,Paramètres!$A$1:$I$89,3,0)*VLOOKUP('Données projet'!$B$11,Paramètres!$A$1:$I$89,5,0)</f>
        <v>346.63199999999995</v>
      </c>
      <c r="BF145" s="13">
        <f t="shared" si="145"/>
        <v>80.868615263336864</v>
      </c>
      <c r="BG145" s="20">
        <f t="shared" si="115"/>
        <v>744.56357158364483</v>
      </c>
      <c r="BH145" s="59">
        <f t="shared" si="116"/>
        <v>1037.8969049169782</v>
      </c>
      <c r="BI145" s="59">
        <f ca="1">AVERAGE(OFFSET($BH$3,0,0,'Données projet'!$E$11+1,1))-AVERAGE(OFFSET($H$3,0,0,'Données projet'!$E$11+1,1))</f>
        <v>447.15627913956871</v>
      </c>
      <c r="BJ145" s="59">
        <f t="shared" si="146"/>
        <v>256.77417912163997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64.65301369273871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64.65301369273871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245.99999999999994</v>
      </c>
      <c r="BZ145" s="13">
        <f>BY145*VLOOKUP('Données projet'!$B$12,Paramètres!$A$1:$I$89,3,0)*VLOOKUP('Données projet'!$B$12,Paramètres!$A$1:$I$89,5,0)</f>
        <v>234.09359999999998</v>
      </c>
      <c r="CA145" s="13">
        <f t="shared" si="147"/>
        <v>57.166902703920208</v>
      </c>
      <c r="CB145" s="20">
        <f t="shared" si="118"/>
        <v>507.27870887599425</v>
      </c>
      <c r="CC145" s="59">
        <f t="shared" si="119"/>
        <v>800.61204220932757</v>
      </c>
      <c r="CD145" s="59">
        <f ca="1">AVERAGE(OFFSET($CC$3,0,0,'Données projet'!$E$12+1,1))-AVERAGE(OFFSET($H$3,0,0,'Données projet'!$E$12+1,1))</f>
        <v>448.94764480536713</v>
      </c>
      <c r="CE145" s="59">
        <f t="shared" si="148"/>
        <v>469.26760321719695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45.682644568327774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45.682644568327774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187.80389738728508</v>
      </c>
      <c r="CZ145" s="59">
        <f t="shared" si="150"/>
        <v>439.28159165815265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13.440197571468003</v>
      </c>
      <c r="DG145" s="21">
        <f>EXP(-LN(2)/25)*DG144+(1-EXP(-LN(2)/25))/(LN(2)/25)*Calculateur!DB145*Calculateur!DD145*VLOOKUP('Données projet'!$B$13,Paramètres!$A$1:$I$89,3,0)*0.475*44/12</f>
        <v>0.64426307969954288</v>
      </c>
      <c r="DH145" s="21">
        <f>EXP(-LN(2)/2)*DH144+(1-EXP(-LN(2)/2))/(LN(2)/2)*DB145*DE145*VLOOKUP('Données projet'!$B$13,Paramètres!$A$1:$I$89,3,0)*0.475*44/12</f>
        <v>6.2397317871713671E-19</v>
      </c>
      <c r="DI145" s="22">
        <f t="shared" si="123"/>
        <v>14.084460651167547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255.00000000000006</v>
      </c>
      <c r="DP145" s="17">
        <f>DO145*VLOOKUP('Données projet'!$B$14,Paramètres!$A$1:$I$89,3,0)*VLOOKUP('Données projet'!$B$14,Paramètres!$A$1:$I$89,5,0)</f>
        <v>186.96600000000004</v>
      </c>
      <c r="DQ145" s="13">
        <f t="shared" si="151"/>
        <v>46.868551400324648</v>
      </c>
      <c r="DR145" s="20">
        <f t="shared" si="124"/>
        <v>407.26184368889881</v>
      </c>
      <c r="DS145" s="59">
        <f t="shared" si="125"/>
        <v>700.59517702223206</v>
      </c>
      <c r="DT145" s="59">
        <f ca="1">AVERAGE(OFFSET($DS$3,0,0,'Données projet'!$E$14+1,1))-AVERAGE(OFFSET($H$3,0,0,'Données projet'!$E$14+1,1))</f>
        <v>239.25212250019609</v>
      </c>
      <c r="DU145" s="59">
        <f t="shared" si="152"/>
        <v>213.58492101729695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689</v>
      </c>
      <c r="EK145" s="17">
        <f>EJ145*VLOOKUP('Données projet'!$B$15,Paramètres!$A$1:$I$89,3,0)*VLOOKUP('Données projet'!$B$15,Paramètres!$A$1:$I$89,5,0)</f>
        <v>412.02199999999999</v>
      </c>
      <c r="EL145" s="13">
        <f t="shared" si="153"/>
        <v>94.209724877926391</v>
      </c>
      <c r="EM145" s="20">
        <f t="shared" si="127"/>
        <v>881.686920829055</v>
      </c>
      <c r="EN145" s="59">
        <f t="shared" si="128"/>
        <v>1175.0202541623883</v>
      </c>
      <c r="EO145" s="59">
        <f ca="1">AVERAGE(OFFSET($EN$3,0,0,'Données projet'!$E$15+1,1))-AVERAGE(OFFSET($H$3,0,0,'Données projet'!$E$15+1,1))</f>
        <v>504.81063008331739</v>
      </c>
      <c r="EP145" s="59">
        <f t="shared" si="154"/>
        <v>441.82647565372287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28.668348488230393</v>
      </c>
      <c r="EW145" s="21">
        <f>EXP(-LN(2)/25)*EW144+(1-EXP(-LN(2)/25))/(LN(2)/25)*Calculateur!ER145*Calculateur!ET145*VLOOKUP('Données projet'!$B$15,Paramètres!$A$1:$I$89,3,0)*0.475*44/12</f>
        <v>2.6384434186633174</v>
      </c>
      <c r="EX145" s="21">
        <f>EXP(-LN(2)/2)*EX144+(1-EXP(-LN(2)/2))/(LN(2)/2)*ER145*EU145*VLOOKUP('Données projet'!$B$15,Paramètres!$A$1:$I$89,3,0)*0.475*44/12</f>
        <v>7.2670815568138658E-19</v>
      </c>
      <c r="EY145" s="22">
        <f t="shared" si="129"/>
        <v>31.306791906893711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541.99999999999989</v>
      </c>
      <c r="FF145" s="17">
        <f>FE145*VLOOKUP('Données projet'!$B$16,Paramètres!$A$1:$I$89,3,0)*VLOOKUP('Données projet'!$B$16,Paramètres!$A$1:$I$89,5,0)</f>
        <v>310.02399999999994</v>
      </c>
      <c r="FG145" s="13">
        <f t="shared" si="155"/>
        <v>73.27384230442388</v>
      </c>
      <c r="FH145" s="20">
        <f t="shared" si="130"/>
        <v>667.57707534687154</v>
      </c>
      <c r="FI145" s="59">
        <f t="shared" si="131"/>
        <v>960.91040868020491</v>
      </c>
      <c r="FJ145" s="59">
        <f ca="1">AVERAGE(OFFSET($FI$3,0,0,'Données projet'!$E$16+1,1))-AVERAGE(OFFSET($H$3,0,0,'Données projet'!$E$16+1,1))</f>
        <v>393.41577134252316</v>
      </c>
      <c r="FK145" s="59">
        <f t="shared" si="156"/>
        <v>255.54039659391475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33.569337039964196</v>
      </c>
      <c r="FR145" s="21">
        <f>EXP(-LN(2)/25)*FR144+(1-EXP(-LN(2)/25))/(LN(2)/25)*Calculateur!FM145*Calculateur!FO145*VLOOKUP('Données projet'!$B$16,Paramètres!$A$1:$I$89,3,0)*0.475*44/12</f>
        <v>1.1973687046286603</v>
      </c>
      <c r="FS145" s="21">
        <f>EXP(-LN(2)/2)*FS144+(1-EXP(-LN(2)/2))/(LN(2)/2)*FM145*FP145*VLOOKUP('Données projet'!$B$16,Paramètres!$A$1:$I$89,3,0)*0.475*44/12</f>
        <v>5.0556190030073899E-18</v>
      </c>
      <c r="FT145" s="22">
        <f t="shared" si="132"/>
        <v>34.766705744592855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853.00000000000011</v>
      </c>
      <c r="GA145" s="17">
        <f>FZ145*VLOOKUP('Données projet'!$B$17,Paramètres!$A$1:$I$89,3,0)*VLOOKUP('Données projet'!$B$17,Paramètres!$A$1:$I$89,5,0)</f>
        <v>399.20400000000006</v>
      </c>
      <c r="GB145" s="13">
        <f t="shared" si="157"/>
        <v>91.615269732888521</v>
      </c>
      <c r="GC145" s="20">
        <f t="shared" si="133"/>
        <v>854.8435614514475</v>
      </c>
      <c r="GD145" s="59">
        <f t="shared" si="134"/>
        <v>1148.1768947847809</v>
      </c>
      <c r="GE145" s="59">
        <f ca="1">AVERAGE(OFFSET($GD$3,0,0,'Données projet'!$E$17+1,1))-AVERAGE(OFFSET($H$3,0,0,'Données projet'!$E$17+1,1))</f>
        <v>488.67934252295686</v>
      </c>
      <c r="GF145" s="59">
        <f t="shared" si="158"/>
        <v>424.50324471331095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40.596321927944331</v>
      </c>
      <c r="GM145" s="21">
        <f>EXP(-LN(2)/25)*GM144+(1-EXP(-LN(2)/25))/(LN(2)/25)*Calculateur!GH145*Calculateur!GJ145*VLOOKUP('Données projet'!$B$17,Paramètres!$A$1:$I$89,3,0)*0.475*44/12</f>
        <v>2.1951759584858777</v>
      </c>
      <c r="GN145" s="21">
        <f>EXP(-LN(2)/2)*GN144+(1-EXP(-LN(2)/2))/(LN(2)/2)*GH145*GK145*VLOOKUP('Données projet'!$B$17,Paramètres!$A$1:$I$89,3,0)*0.475*44/12</f>
        <v>1.1260242324880092E-17</v>
      </c>
      <c r="GO145" s="21">
        <f t="shared" si="135"/>
        <v>42.791497886430207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789</v>
      </c>
      <c r="GV145" s="17">
        <f>GU145*VLOOKUP('Données projet'!$B$18,Paramètres!$A$1:$I$89,3,0)*VLOOKUP('Données projet'!$B$18,Paramètres!$A$1:$I$89,5,0)</f>
        <v>379.50900000000001</v>
      </c>
      <c r="GW145" s="13">
        <f t="shared" si="159"/>
        <v>87.609801106074272</v>
      </c>
      <c r="GX145" s="20">
        <f t="shared" si="136"/>
        <v>813.56524525974601</v>
      </c>
      <c r="GY145" s="59">
        <f t="shared" si="137"/>
        <v>1106.8985785930793</v>
      </c>
      <c r="GZ145" s="59">
        <f ca="1">AVERAGE(OFFSET($GY$3,0,0,'Données projet'!$E$18+1,1))-AVERAGE(OFFSET($H$3,0,0,'Données projet'!$E$18+1,1))</f>
        <v>458.80976193248841</v>
      </c>
      <c r="HA145" s="59">
        <f t="shared" si="160"/>
        <v>396.07405370178759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41.10693654888609</v>
      </c>
      <c r="HH145" s="21">
        <f>EXP(-LN(2)/25)*HH144+(1-EXP(-LN(2)/25))/(LN(2)/25)*Calculateur!HC145*Calculateur!HE145*VLOOKUP('Données projet'!$B$18,Paramètres!$A$1:$I$89,3,0)*0.475*44/12</f>
        <v>2.051048244039837</v>
      </c>
      <c r="HI145" s="21">
        <f>EXP(-LN(2)/2)*HI144+(1-EXP(-LN(2)/2))/(LN(2)/2)*HC145*HF145*VLOOKUP('Données projet'!$B$18,Paramètres!$A$1:$I$89,3,0)*0.475*44/12</f>
        <v>5.1960528642020435E-18</v>
      </c>
      <c r="HJ145" s="22">
        <f t="shared" si="138"/>
        <v>43.15798479292593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267</v>
      </c>
      <c r="O146" s="13">
        <f>N146*VLOOKUP('Données projet'!$B$9,Paramètres!$A$1:$I$89,3,0)*VLOOKUP('Données projet'!$B$9,Paramètres!$A$1:$I$89,5,0)</f>
        <v>241.58159999999998</v>
      </c>
      <c r="P146" s="13">
        <f t="shared" si="141"/>
        <v>58.779689232021951</v>
      </c>
      <c r="Q146" s="20">
        <f t="shared" si="108"/>
        <v>523.12924541243819</v>
      </c>
      <c r="R146" s="59">
        <f t="shared" si="109"/>
        <v>816.46257874577145</v>
      </c>
      <c r="S146" s="59">
        <f ca="1">AVERAGE(OFFSET($R$3,0,0,'Données projet'!$E$9+1,1))-AVERAGE(OFFSET($H$3,0,0,'Données projet'!$E$9+1,1))</f>
        <v>364.3481978218424</v>
      </c>
      <c r="T146" s="59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43.413017292346495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43.413017292346495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636.99999999999977</v>
      </c>
      <c r="AJ146" s="13">
        <f>AI146*VLOOKUP('Données projet'!$B$10,Paramètres!$A$1:$I$89,3,0)*VLOOKUP('Données projet'!$B$10,Paramètres!$A$1:$I$89,5,0)</f>
        <v>356.08299999999991</v>
      </c>
      <c r="AK146" s="13">
        <f t="shared" si="143"/>
        <v>82.813805255716545</v>
      </c>
      <c r="AL146" s="20">
        <f t="shared" si="112"/>
        <v>764.41193582037283</v>
      </c>
      <c r="AM146" s="59">
        <f t="shared" si="113"/>
        <v>1057.7452691537062</v>
      </c>
      <c r="AN146" s="59">
        <f ca="1">AVERAGE(OFFSET($AM$3,0,0,'Données projet'!$E$10+1,1))-AVERAGE(OFFSET($H$3,0,0,'Données projet'!$E$10+1,1))</f>
        <v>443.34220761968419</v>
      </c>
      <c r="AO146" s="59">
        <f t="shared" si="144"/>
        <v>546.58234447298014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18.886849703907149</v>
      </c>
      <c r="AV146" s="21">
        <f>EXP(-LN(2)/25)*AV145+(1-EXP(-LN(2)/25))/(LN(2)/25)*Calculateur!AQ146*Calculateur!AS146*VLOOKUP('Données projet'!$B$10,Paramètres!$A$1:$I$89,3,0)*0.475*44/12</f>
        <v>0.95615362326427533</v>
      </c>
      <c r="AW146" s="21">
        <f>EXP(-LN(2)/2)*AW145+(1-EXP(-LN(2)/2))/(LN(2)/2)*AQ146*AT146*VLOOKUP('Données projet'!$B$10,Paramètres!$A$1:$I$89,3,0)*0.475*44/12</f>
        <v>5.9288622853450311E-17</v>
      </c>
      <c r="AX146" s="21">
        <f t="shared" si="114"/>
        <v>19.843003327171424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403.99999999999989</v>
      </c>
      <c r="BE146" s="13">
        <f>BD146*VLOOKUP('Données projet'!$B$11,Paramètres!$A$1:$I$89,3,0)*VLOOKUP('Données projet'!$B$11,Paramètres!$A$1:$I$89,5,0)</f>
        <v>346.63199999999995</v>
      </c>
      <c r="BF146" s="13">
        <f t="shared" si="145"/>
        <v>80.868615263336864</v>
      </c>
      <c r="BG146" s="20">
        <f t="shared" si="115"/>
        <v>744.56357158364483</v>
      </c>
      <c r="BH146" s="59">
        <f t="shared" si="116"/>
        <v>1037.8969049169782</v>
      </c>
      <c r="BI146" s="59">
        <f ca="1">AVERAGE(OFFSET($BH$3,0,0,'Données projet'!$E$11+1,1))-AVERAGE(OFFSET($H$3,0,0,'Données projet'!$E$11+1,1))</f>
        <v>447.15627913956871</v>
      </c>
      <c r="BJ146" s="59">
        <f t="shared" si="146"/>
        <v>256.77417912163997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63.38520752866863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63.38520752866863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245.99999999999994</v>
      </c>
      <c r="BZ146" s="13">
        <f>BY146*VLOOKUP('Données projet'!$B$12,Paramètres!$A$1:$I$89,3,0)*VLOOKUP('Données projet'!$B$12,Paramètres!$A$1:$I$89,5,0)</f>
        <v>234.09359999999998</v>
      </c>
      <c r="CA146" s="13">
        <f t="shared" si="147"/>
        <v>57.166902703920208</v>
      </c>
      <c r="CB146" s="20">
        <f t="shared" si="118"/>
        <v>507.27870887599425</v>
      </c>
      <c r="CC146" s="59">
        <f t="shared" si="119"/>
        <v>800.61204220932757</v>
      </c>
      <c r="CD146" s="59">
        <f ca="1">AVERAGE(OFFSET($CC$3,0,0,'Données projet'!$E$12+1,1))-AVERAGE(OFFSET($H$3,0,0,'Données projet'!$E$12+1,1))</f>
        <v>448.94764480536713</v>
      </c>
      <c r="CE146" s="59">
        <f t="shared" si="148"/>
        <v>469.26760321719695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44.786835772004743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44.786835772004743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187.80389738728508</v>
      </c>
      <c r="CZ146" s="59">
        <f t="shared" si="150"/>
        <v>439.28159165815265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13.176643494802578</v>
      </c>
      <c r="DG146" s="21">
        <f>EXP(-LN(2)/25)*DG145+(1-EXP(-LN(2)/25))/(LN(2)/25)*Calculateur!DB146*Calculateur!DD146*VLOOKUP('Données projet'!$B$13,Paramètres!$A$1:$I$89,3,0)*0.475*44/12</f>
        <v>0.626645671904836</v>
      </c>
      <c r="DH146" s="21">
        <f>EXP(-LN(2)/2)*DH145+(1-EXP(-LN(2)/2))/(LN(2)/2)*DB146*DE146*VLOOKUP('Données projet'!$B$13,Paramètres!$A$1:$I$89,3,0)*0.475*44/12</f>
        <v>4.412156659494129E-19</v>
      </c>
      <c r="DI146" s="22">
        <f t="shared" si="123"/>
        <v>13.803289166707414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255.00000000000006</v>
      </c>
      <c r="DP146" s="17">
        <f>DO146*VLOOKUP('Données projet'!$B$14,Paramètres!$A$1:$I$89,3,0)*VLOOKUP('Données projet'!$B$14,Paramètres!$A$1:$I$89,5,0)</f>
        <v>186.96600000000004</v>
      </c>
      <c r="DQ146" s="13">
        <f t="shared" si="151"/>
        <v>46.868551400324648</v>
      </c>
      <c r="DR146" s="20">
        <f t="shared" si="124"/>
        <v>407.26184368889881</v>
      </c>
      <c r="DS146" s="59">
        <f t="shared" si="125"/>
        <v>700.59517702223206</v>
      </c>
      <c r="DT146" s="59">
        <f ca="1">AVERAGE(OFFSET($DS$3,0,0,'Données projet'!$E$14+1,1))-AVERAGE(OFFSET($H$3,0,0,'Données projet'!$E$14+1,1))</f>
        <v>239.25212250019609</v>
      </c>
      <c r="DU146" s="59">
        <f t="shared" si="152"/>
        <v>213.58492101729695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689</v>
      </c>
      <c r="EK146" s="17">
        <f>EJ146*VLOOKUP('Données projet'!$B$15,Paramètres!$A$1:$I$89,3,0)*VLOOKUP('Données projet'!$B$15,Paramètres!$A$1:$I$89,5,0)</f>
        <v>412.02199999999999</v>
      </c>
      <c r="EL146" s="13">
        <f t="shared" si="153"/>
        <v>94.209724877926391</v>
      </c>
      <c r="EM146" s="20">
        <f t="shared" si="127"/>
        <v>881.686920829055</v>
      </c>
      <c r="EN146" s="59">
        <f t="shared" si="128"/>
        <v>1175.0202541623883</v>
      </c>
      <c r="EO146" s="59">
        <f ca="1">AVERAGE(OFFSET($EN$3,0,0,'Données projet'!$E$15+1,1))-AVERAGE(OFFSET($H$3,0,0,'Données projet'!$E$15+1,1))</f>
        <v>504.81063008331739</v>
      </c>
      <c r="EP146" s="59">
        <f t="shared" si="154"/>
        <v>441.82647565372287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28.106179660342178</v>
      </c>
      <c r="EW146" s="21">
        <f>EXP(-LN(2)/25)*EW145+(1-EXP(-LN(2)/25))/(LN(2)/25)*Calculateur!ER146*Calculateur!ET146*VLOOKUP('Données projet'!$B$15,Paramètres!$A$1:$I$89,3,0)*0.475*44/12</f>
        <v>2.5662950446302597</v>
      </c>
      <c r="EX146" s="21">
        <f>EXP(-LN(2)/2)*EX145+(1-EXP(-LN(2)/2))/(LN(2)/2)*ER146*EU146*VLOOKUP('Données projet'!$B$15,Paramètres!$A$1:$I$89,3,0)*0.475*44/12</f>
        <v>5.1386026482587773E-19</v>
      </c>
      <c r="EY146" s="22">
        <f t="shared" si="129"/>
        <v>30.672474704972437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541.99999999999989</v>
      </c>
      <c r="FF146" s="17">
        <f>FE146*VLOOKUP('Données projet'!$B$16,Paramètres!$A$1:$I$89,3,0)*VLOOKUP('Données projet'!$B$16,Paramètres!$A$1:$I$89,5,0)</f>
        <v>310.02399999999994</v>
      </c>
      <c r="FG146" s="13">
        <f t="shared" si="155"/>
        <v>73.27384230442388</v>
      </c>
      <c r="FH146" s="20">
        <f t="shared" si="130"/>
        <v>667.57707534687154</v>
      </c>
      <c r="FI146" s="59">
        <f t="shared" si="131"/>
        <v>960.91040868020491</v>
      </c>
      <c r="FJ146" s="59">
        <f ca="1">AVERAGE(OFFSET($FI$3,0,0,'Données projet'!$E$16+1,1))-AVERAGE(OFFSET($H$3,0,0,'Données projet'!$E$16+1,1))</f>
        <v>393.41577134252316</v>
      </c>
      <c r="FK146" s="59">
        <f t="shared" si="156"/>
        <v>255.54039659391475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32.911062815884328</v>
      </c>
      <c r="FR146" s="21">
        <f>EXP(-LN(2)/25)*FR145+(1-EXP(-LN(2)/25))/(LN(2)/25)*Calculateur!FM146*Calculateur!FO146*VLOOKUP('Données projet'!$B$16,Paramètres!$A$1:$I$89,3,0)*0.475*44/12</f>
        <v>1.164626594433706</v>
      </c>
      <c r="FS146" s="21">
        <f>EXP(-LN(2)/2)*FS145+(1-EXP(-LN(2)/2))/(LN(2)/2)*FM146*FP146*VLOOKUP('Données projet'!$B$16,Paramètres!$A$1:$I$89,3,0)*0.475*44/12</f>
        <v>3.574862480122098E-18</v>
      </c>
      <c r="FT146" s="22">
        <f t="shared" si="132"/>
        <v>34.075689410318034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853.00000000000011</v>
      </c>
      <c r="GA146" s="17">
        <f>FZ146*VLOOKUP('Données projet'!$B$17,Paramètres!$A$1:$I$89,3,0)*VLOOKUP('Données projet'!$B$17,Paramètres!$A$1:$I$89,5,0)</f>
        <v>399.20400000000006</v>
      </c>
      <c r="GB146" s="13">
        <f t="shared" si="157"/>
        <v>91.615269732888521</v>
      </c>
      <c r="GC146" s="20">
        <f t="shared" si="133"/>
        <v>854.8435614514475</v>
      </c>
      <c r="GD146" s="59">
        <f t="shared" si="134"/>
        <v>1148.1768947847809</v>
      </c>
      <c r="GE146" s="59">
        <f ca="1">AVERAGE(OFFSET($GD$3,0,0,'Données projet'!$E$17+1,1))-AVERAGE(OFFSET($H$3,0,0,'Données projet'!$E$17+1,1))</f>
        <v>488.67934252295686</v>
      </c>
      <c r="GF146" s="59">
        <f t="shared" si="158"/>
        <v>424.50324471331095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39.800252816248744</v>
      </c>
      <c r="GM146" s="21">
        <f>EXP(-LN(2)/25)*GM145+(1-EXP(-LN(2)/25))/(LN(2)/25)*Calculateur!GH146*Calculateur!GJ146*VLOOKUP('Données projet'!$B$17,Paramètres!$A$1:$I$89,3,0)*0.475*44/12</f>
        <v>2.135148756461795</v>
      </c>
      <c r="GN146" s="21">
        <f>EXP(-LN(2)/2)*GN145+(1-EXP(-LN(2)/2))/(LN(2)/2)*GH146*GK146*VLOOKUP('Données projet'!$B$17,Paramètres!$A$1:$I$89,3,0)*0.475*44/12</f>
        <v>7.9621937057264885E-18</v>
      </c>
      <c r="GO146" s="21">
        <f t="shared" si="135"/>
        <v>41.935401572710539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789</v>
      </c>
      <c r="GV146" s="17">
        <f>GU146*VLOOKUP('Données projet'!$B$18,Paramètres!$A$1:$I$89,3,0)*VLOOKUP('Données projet'!$B$18,Paramètres!$A$1:$I$89,5,0)</f>
        <v>379.50900000000001</v>
      </c>
      <c r="GW146" s="13">
        <f t="shared" si="159"/>
        <v>87.609801106074272</v>
      </c>
      <c r="GX146" s="20">
        <f t="shared" si="136"/>
        <v>813.56524525974601</v>
      </c>
      <c r="GY146" s="59">
        <f t="shared" si="137"/>
        <v>1106.8985785930793</v>
      </c>
      <c r="GZ146" s="59">
        <f ca="1">AVERAGE(OFFSET($GY$3,0,0,'Données projet'!$E$18+1,1))-AVERAGE(OFFSET($H$3,0,0,'Données projet'!$E$18+1,1))</f>
        <v>458.80976193248841</v>
      </c>
      <c r="HA146" s="59">
        <f t="shared" si="160"/>
        <v>396.07405370178759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40.300854595917997</v>
      </c>
      <c r="HH146" s="21">
        <f>EXP(-LN(2)/25)*HH145+(1-EXP(-LN(2)/25))/(LN(2)/25)*Calculateur!HC146*Calculateur!HE146*VLOOKUP('Données projet'!$B$18,Paramètres!$A$1:$I$89,3,0)*0.475*44/12</f>
        <v>1.9949622219466283</v>
      </c>
      <c r="HI146" s="21">
        <f>EXP(-LN(2)/2)*HI145+(1-EXP(-LN(2)/2))/(LN(2)/2)*HC146*HF146*VLOOKUP('Données projet'!$B$18,Paramètres!$A$1:$I$89,3,0)*0.475*44/12</f>
        <v>3.6741642156810479E-18</v>
      </c>
      <c r="HJ146" s="22">
        <f t="shared" si="138"/>
        <v>42.295816817864626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267</v>
      </c>
      <c r="O147" s="13">
        <f>N147*VLOOKUP('Données projet'!$B$9,Paramètres!$A$1:$I$89,3,0)*VLOOKUP('Données projet'!$B$9,Paramètres!$A$1:$I$89,5,0)</f>
        <v>241.58159999999998</v>
      </c>
      <c r="P147" s="13">
        <f t="shared" si="141"/>
        <v>58.779689232021951</v>
      </c>
      <c r="Q147" s="20">
        <f t="shared" si="108"/>
        <v>523.12924541243819</v>
      </c>
      <c r="R147" s="59">
        <f t="shared" si="109"/>
        <v>816.46257874577145</v>
      </c>
      <c r="S147" s="59">
        <f ca="1">AVERAGE(OFFSET($R$3,0,0,'Données projet'!$E$9+1,1))-AVERAGE(OFFSET($H$3,0,0,'Données projet'!$E$9+1,1))</f>
        <v>364.3481978218424</v>
      </c>
      <c r="T147" s="59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42.561714502569515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42.561714502569515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636.99999999999977</v>
      </c>
      <c r="AJ147" s="13">
        <f>AI147*VLOOKUP('Données projet'!$B$10,Paramètres!$A$1:$I$89,3,0)*VLOOKUP('Données projet'!$B$10,Paramètres!$A$1:$I$89,5,0)</f>
        <v>356.08299999999991</v>
      </c>
      <c r="AK147" s="13">
        <f t="shared" si="143"/>
        <v>82.813805255716545</v>
      </c>
      <c r="AL147" s="20">
        <f t="shared" si="112"/>
        <v>764.41193582037283</v>
      </c>
      <c r="AM147" s="59">
        <f t="shared" si="113"/>
        <v>1057.7452691537062</v>
      </c>
      <c r="AN147" s="59">
        <f ca="1">AVERAGE(OFFSET($AM$3,0,0,'Données projet'!$E$10+1,1))-AVERAGE(OFFSET($H$3,0,0,'Données projet'!$E$10+1,1))</f>
        <v>443.34220761968419</v>
      </c>
      <c r="AO147" s="59">
        <f t="shared" si="144"/>
        <v>546.58234447298014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18.516490101054359</v>
      </c>
      <c r="AV147" s="21">
        <f>EXP(-LN(2)/25)*AV146+(1-EXP(-LN(2)/25))/(LN(2)/25)*Calculateur!AQ147*Calculateur!AS147*VLOOKUP('Données projet'!$B$10,Paramètres!$A$1:$I$89,3,0)*0.475*44/12</f>
        <v>0.93000755215417996</v>
      </c>
      <c r="AW147" s="21">
        <f>EXP(-LN(2)/2)*AW146+(1-EXP(-LN(2)/2))/(LN(2)/2)*AQ147*AT147*VLOOKUP('Données projet'!$B$10,Paramètres!$A$1:$I$89,3,0)*0.475*44/12</f>
        <v>4.1923387266886431E-17</v>
      </c>
      <c r="AX147" s="21">
        <f t="shared" si="114"/>
        <v>19.446497653208539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403.99999999999989</v>
      </c>
      <c r="BE147" s="13">
        <f>BD147*VLOOKUP('Données projet'!$B$11,Paramètres!$A$1:$I$89,3,0)*VLOOKUP('Données projet'!$B$11,Paramètres!$A$1:$I$89,5,0)</f>
        <v>346.63199999999995</v>
      </c>
      <c r="BF147" s="13">
        <f t="shared" si="145"/>
        <v>80.868615263336864</v>
      </c>
      <c r="BG147" s="20">
        <f t="shared" si="115"/>
        <v>744.56357158364483</v>
      </c>
      <c r="BH147" s="59">
        <f t="shared" si="116"/>
        <v>1037.8969049169782</v>
      </c>
      <c r="BI147" s="59">
        <f ca="1">AVERAGE(OFFSET($BH$3,0,0,'Données projet'!$E$11+1,1))-AVERAGE(OFFSET($H$3,0,0,'Données projet'!$E$11+1,1))</f>
        <v>447.15627913956871</v>
      </c>
      <c r="BJ147" s="59">
        <f t="shared" si="146"/>
        <v>256.77417912163997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62.142262270190557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62.142262270190557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245.99999999999994</v>
      </c>
      <c r="BZ147" s="13">
        <f>BY147*VLOOKUP('Données projet'!$B$12,Paramètres!$A$1:$I$89,3,0)*VLOOKUP('Données projet'!$B$12,Paramètres!$A$1:$I$89,5,0)</f>
        <v>234.09359999999998</v>
      </c>
      <c r="CA147" s="13">
        <f t="shared" si="147"/>
        <v>57.166902703920208</v>
      </c>
      <c r="CB147" s="20">
        <f t="shared" si="118"/>
        <v>507.27870887599425</v>
      </c>
      <c r="CC147" s="59">
        <f t="shared" si="119"/>
        <v>800.61204220932757</v>
      </c>
      <c r="CD147" s="59">
        <f ca="1">AVERAGE(OFFSET($CC$3,0,0,'Données projet'!$E$12+1,1))-AVERAGE(OFFSET($H$3,0,0,'Données projet'!$E$12+1,1))</f>
        <v>448.94764480536713</v>
      </c>
      <c r="CE147" s="59">
        <f t="shared" si="148"/>
        <v>469.26760321719695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43.908593239788196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43.908593239788196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187.80389738728508</v>
      </c>
      <c r="CZ147" s="59">
        <f t="shared" si="150"/>
        <v>439.28159165815265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12.918257552828447</v>
      </c>
      <c r="DG147" s="21">
        <f>EXP(-LN(2)/25)*DG146+(1-EXP(-LN(2)/25))/(LN(2)/25)*Calculateur!DB147*Calculateur!DD147*VLOOKUP('Données projet'!$B$13,Paramètres!$A$1:$I$89,3,0)*0.475*44/12</f>
        <v>0.60951001305273456</v>
      </c>
      <c r="DH147" s="21">
        <f>EXP(-LN(2)/2)*DH146+(1-EXP(-LN(2)/2))/(LN(2)/2)*DB147*DE147*VLOOKUP('Données projet'!$B$13,Paramètres!$A$1:$I$89,3,0)*0.475*44/12</f>
        <v>3.1198658935856835E-19</v>
      </c>
      <c r="DI147" s="22">
        <f t="shared" si="123"/>
        <v>13.527767565881181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255.00000000000006</v>
      </c>
      <c r="DP147" s="17">
        <f>DO147*VLOOKUP('Données projet'!$B$14,Paramètres!$A$1:$I$89,3,0)*VLOOKUP('Données projet'!$B$14,Paramètres!$A$1:$I$89,5,0)</f>
        <v>186.96600000000004</v>
      </c>
      <c r="DQ147" s="13">
        <f t="shared" si="151"/>
        <v>46.868551400324648</v>
      </c>
      <c r="DR147" s="20">
        <f t="shared" si="124"/>
        <v>407.26184368889881</v>
      </c>
      <c r="DS147" s="59">
        <f t="shared" si="125"/>
        <v>700.59517702223206</v>
      </c>
      <c r="DT147" s="59">
        <f ca="1">AVERAGE(OFFSET($DS$3,0,0,'Données projet'!$E$14+1,1))-AVERAGE(OFFSET($H$3,0,0,'Données projet'!$E$14+1,1))</f>
        <v>239.25212250019609</v>
      </c>
      <c r="DU147" s="59">
        <f t="shared" si="152"/>
        <v>213.58492101729695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689</v>
      </c>
      <c r="EK147" s="17">
        <f>EJ147*VLOOKUP('Données projet'!$B$15,Paramètres!$A$1:$I$89,3,0)*VLOOKUP('Données projet'!$B$15,Paramètres!$A$1:$I$89,5,0)</f>
        <v>412.02199999999999</v>
      </c>
      <c r="EL147" s="13">
        <f t="shared" si="153"/>
        <v>94.209724877926391</v>
      </c>
      <c r="EM147" s="20">
        <f t="shared" si="127"/>
        <v>881.686920829055</v>
      </c>
      <c r="EN147" s="59">
        <f t="shared" si="128"/>
        <v>1175.0202541623883</v>
      </c>
      <c r="EO147" s="59">
        <f ca="1">AVERAGE(OFFSET($EN$3,0,0,'Données projet'!$E$15+1,1))-AVERAGE(OFFSET($H$3,0,0,'Données projet'!$E$15+1,1))</f>
        <v>504.81063008331739</v>
      </c>
      <c r="EP147" s="59">
        <f t="shared" si="154"/>
        <v>441.82647565372287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27.555034620279724</v>
      </c>
      <c r="EW147" s="21">
        <f>EXP(-LN(2)/25)*EW146+(1-EXP(-LN(2)/25))/(LN(2)/25)*Calculateur!ER147*Calculateur!ET147*VLOOKUP('Données projet'!$B$15,Paramètres!$A$1:$I$89,3,0)*0.475*44/12</f>
        <v>2.4961195716792544</v>
      </c>
      <c r="EX147" s="21">
        <f>EXP(-LN(2)/2)*EX146+(1-EXP(-LN(2)/2))/(LN(2)/2)*ER147*EU147*VLOOKUP('Données projet'!$B$15,Paramètres!$A$1:$I$89,3,0)*0.475*44/12</f>
        <v>3.6335407784069329E-19</v>
      </c>
      <c r="EY147" s="22">
        <f t="shared" si="129"/>
        <v>30.051154191958979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541.99999999999989</v>
      </c>
      <c r="FF147" s="17">
        <f>FE147*VLOOKUP('Données projet'!$B$16,Paramètres!$A$1:$I$89,3,0)*VLOOKUP('Données projet'!$B$16,Paramètres!$A$1:$I$89,5,0)</f>
        <v>310.02399999999994</v>
      </c>
      <c r="FG147" s="13">
        <f t="shared" si="155"/>
        <v>73.27384230442388</v>
      </c>
      <c r="FH147" s="20">
        <f t="shared" si="130"/>
        <v>667.57707534687154</v>
      </c>
      <c r="FI147" s="59">
        <f t="shared" si="131"/>
        <v>960.91040868020491</v>
      </c>
      <c r="FJ147" s="59">
        <f ca="1">AVERAGE(OFFSET($FI$3,0,0,'Données projet'!$E$16+1,1))-AVERAGE(OFFSET($H$3,0,0,'Données projet'!$E$16+1,1))</f>
        <v>393.41577134252316</v>
      </c>
      <c r="FK147" s="59">
        <f t="shared" si="156"/>
        <v>255.54039659391475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32.265696947831032</v>
      </c>
      <c r="FR147" s="21">
        <f>EXP(-LN(2)/25)*FR146+(1-EXP(-LN(2)/25))/(LN(2)/25)*Calculateur!FM147*Calculateur!FO147*VLOOKUP('Données projet'!$B$16,Paramètres!$A$1:$I$89,3,0)*0.475*44/12</f>
        <v>1.1327798189638654</v>
      </c>
      <c r="FS147" s="21">
        <f>EXP(-LN(2)/2)*FS146+(1-EXP(-LN(2)/2))/(LN(2)/2)*FM147*FP147*VLOOKUP('Données projet'!$B$16,Paramètres!$A$1:$I$89,3,0)*0.475*44/12</f>
        <v>2.527809501503695E-18</v>
      </c>
      <c r="FT147" s="22">
        <f t="shared" si="132"/>
        <v>33.3984767667949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853.00000000000011</v>
      </c>
      <c r="GA147" s="17">
        <f>FZ147*VLOOKUP('Données projet'!$B$17,Paramètres!$A$1:$I$89,3,0)*VLOOKUP('Données projet'!$B$17,Paramètres!$A$1:$I$89,5,0)</f>
        <v>399.20400000000006</v>
      </c>
      <c r="GB147" s="13">
        <f t="shared" si="157"/>
        <v>91.615269732888521</v>
      </c>
      <c r="GC147" s="20">
        <f t="shared" si="133"/>
        <v>854.8435614514475</v>
      </c>
      <c r="GD147" s="59">
        <f t="shared" si="134"/>
        <v>1148.1768947847809</v>
      </c>
      <c r="GE147" s="59">
        <f ca="1">AVERAGE(OFFSET($GD$3,0,0,'Données projet'!$E$17+1,1))-AVERAGE(OFFSET($H$3,0,0,'Données projet'!$E$17+1,1))</f>
        <v>488.67934252295686</v>
      </c>
      <c r="GF147" s="59">
        <f t="shared" si="158"/>
        <v>424.50324471331095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39.019794134279294</v>
      </c>
      <c r="GM147" s="21">
        <f>EXP(-LN(2)/25)*GM146+(1-EXP(-LN(2)/25))/(LN(2)/25)*Calculateur!GH147*Calculateur!GJ147*VLOOKUP('Données projet'!$B$17,Paramètres!$A$1:$I$89,3,0)*0.475*44/12</f>
        <v>2.0767630014337541</v>
      </c>
      <c r="GN147" s="21">
        <f>EXP(-LN(2)/2)*GN146+(1-EXP(-LN(2)/2))/(LN(2)/2)*GH147*GK147*VLOOKUP('Données projet'!$B$17,Paramètres!$A$1:$I$89,3,0)*0.475*44/12</f>
        <v>5.6301211624400462E-18</v>
      </c>
      <c r="GO147" s="21">
        <f t="shared" si="135"/>
        <v>41.096557135713049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789</v>
      </c>
      <c r="GV147" s="17">
        <f>GU147*VLOOKUP('Données projet'!$B$18,Paramètres!$A$1:$I$89,3,0)*VLOOKUP('Données projet'!$B$18,Paramètres!$A$1:$I$89,5,0)</f>
        <v>379.50900000000001</v>
      </c>
      <c r="GW147" s="13">
        <f t="shared" si="159"/>
        <v>87.609801106074272</v>
      </c>
      <c r="GX147" s="20">
        <f t="shared" si="136"/>
        <v>813.56524525974601</v>
      </c>
      <c r="GY147" s="59">
        <f t="shared" si="137"/>
        <v>1106.8985785930793</v>
      </c>
      <c r="GZ147" s="59">
        <f ca="1">AVERAGE(OFFSET($GY$3,0,0,'Données projet'!$E$18+1,1))-AVERAGE(OFFSET($H$3,0,0,'Données projet'!$E$18+1,1))</f>
        <v>458.80976193248841</v>
      </c>
      <c r="HA147" s="59">
        <f t="shared" si="160"/>
        <v>396.07405370178759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39.510579418386165</v>
      </c>
      <c r="HH147" s="21">
        <f>EXP(-LN(2)/25)*HH146+(1-EXP(-LN(2)/25))/(LN(2)/25)*Calculateur!HC147*Calculateur!HE147*VLOOKUP('Données projet'!$B$18,Paramètres!$A$1:$I$89,3,0)*0.475*44/12</f>
        <v>1.940409875076994</v>
      </c>
      <c r="HI147" s="21">
        <f>EXP(-LN(2)/2)*HI146+(1-EXP(-LN(2)/2))/(LN(2)/2)*HC147*HF147*VLOOKUP('Données projet'!$B$18,Paramètres!$A$1:$I$89,3,0)*0.475*44/12</f>
        <v>2.5980264321010218E-18</v>
      </c>
      <c r="HJ147" s="22">
        <f t="shared" si="138"/>
        <v>41.450989293463159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267</v>
      </c>
      <c r="O148" s="13">
        <f>N148*VLOOKUP('Données projet'!$B$9,Paramètres!$A$1:$I$89,3,0)*VLOOKUP('Données projet'!$B$9,Paramètres!$A$1:$I$89,5,0)</f>
        <v>241.58159999999998</v>
      </c>
      <c r="P148" s="13">
        <f t="shared" si="141"/>
        <v>58.779689232021951</v>
      </c>
      <c r="Q148" s="20">
        <f t="shared" si="108"/>
        <v>523.12924541243819</v>
      </c>
      <c r="R148" s="59">
        <f t="shared" si="109"/>
        <v>816.46257874577145</v>
      </c>
      <c r="S148" s="59">
        <f ca="1">AVERAGE(OFFSET($R$3,0,0,'Données projet'!$E$9+1,1))-AVERAGE(OFFSET($H$3,0,0,'Données projet'!$E$9+1,1))</f>
        <v>364.3481978218424</v>
      </c>
      <c r="T148" s="59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41.727105241256631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41.727105241256631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636.99999999999977</v>
      </c>
      <c r="AJ148" s="13">
        <f>AI148*VLOOKUP('Données projet'!$B$10,Paramètres!$A$1:$I$89,3,0)*VLOOKUP('Données projet'!$B$10,Paramètres!$A$1:$I$89,5,0)</f>
        <v>356.08299999999991</v>
      </c>
      <c r="AK148" s="13">
        <f t="shared" si="143"/>
        <v>82.813805255716545</v>
      </c>
      <c r="AL148" s="20">
        <f t="shared" si="112"/>
        <v>764.41193582037283</v>
      </c>
      <c r="AM148" s="59">
        <f t="shared" si="113"/>
        <v>1057.7452691537062</v>
      </c>
      <c r="AN148" s="59">
        <f ca="1">AVERAGE(OFFSET($AM$3,0,0,'Données projet'!$E$10+1,1))-AVERAGE(OFFSET($H$3,0,0,'Données projet'!$E$10+1,1))</f>
        <v>443.34220761968419</v>
      </c>
      <c r="AO148" s="59">
        <f t="shared" si="144"/>
        <v>546.58234447298014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18.153393024116461</v>
      </c>
      <c r="AV148" s="21">
        <f>EXP(-LN(2)/25)*AV147+(1-EXP(-LN(2)/25))/(LN(2)/25)*Calculateur!AQ148*Calculateur!AS148*VLOOKUP('Données projet'!$B$10,Paramètres!$A$1:$I$89,3,0)*0.475*44/12</f>
        <v>0.90457644673355231</v>
      </c>
      <c r="AW148" s="21">
        <f>EXP(-LN(2)/2)*AW147+(1-EXP(-LN(2)/2))/(LN(2)/2)*AQ148*AT148*VLOOKUP('Données projet'!$B$10,Paramètres!$A$1:$I$89,3,0)*0.475*44/12</f>
        <v>2.9644311426725156E-17</v>
      </c>
      <c r="AX148" s="21">
        <f t="shared" si="114"/>
        <v>19.057969470850015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403.99999999999989</v>
      </c>
      <c r="BE148" s="13">
        <f>BD148*VLOOKUP('Données projet'!$B$11,Paramètres!$A$1:$I$89,3,0)*VLOOKUP('Données projet'!$B$11,Paramètres!$A$1:$I$89,5,0)</f>
        <v>346.63199999999995</v>
      </c>
      <c r="BF148" s="13">
        <f t="shared" si="145"/>
        <v>80.868615263336864</v>
      </c>
      <c r="BG148" s="20">
        <f t="shared" si="115"/>
        <v>744.56357158364483</v>
      </c>
      <c r="BH148" s="59">
        <f t="shared" si="116"/>
        <v>1037.8969049169782</v>
      </c>
      <c r="BI148" s="59">
        <f ca="1">AVERAGE(OFFSET($BH$3,0,0,'Données projet'!$E$11+1,1))-AVERAGE(OFFSET($H$3,0,0,'Données projet'!$E$11+1,1))</f>
        <v>447.15627913956871</v>
      </c>
      <c r="BJ148" s="59">
        <f t="shared" si="146"/>
        <v>256.77417912163997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60.923690410109494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60.923690410109494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245.99999999999994</v>
      </c>
      <c r="BZ148" s="13">
        <f>BY148*VLOOKUP('Données projet'!$B$12,Paramètres!$A$1:$I$89,3,0)*VLOOKUP('Données projet'!$B$12,Paramètres!$A$1:$I$89,5,0)</f>
        <v>234.09359999999998</v>
      </c>
      <c r="CA148" s="13">
        <f t="shared" si="147"/>
        <v>57.166902703920208</v>
      </c>
      <c r="CB148" s="20">
        <f t="shared" si="118"/>
        <v>507.27870887599425</v>
      </c>
      <c r="CC148" s="59">
        <f t="shared" si="119"/>
        <v>800.61204220932757</v>
      </c>
      <c r="CD148" s="59">
        <f ca="1">AVERAGE(OFFSET($CC$3,0,0,'Données projet'!$E$12+1,1))-AVERAGE(OFFSET($H$3,0,0,'Données projet'!$E$12+1,1))</f>
        <v>448.94764480536713</v>
      </c>
      <c r="CE148" s="59">
        <f t="shared" si="148"/>
        <v>469.26760321719695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43.047572507953362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43.047572507953362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187.80389738728508</v>
      </c>
      <c r="CZ148" s="59">
        <f t="shared" si="150"/>
        <v>439.28159165815265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12.664938401576565</v>
      </c>
      <c r="DG148" s="21">
        <f>EXP(-LN(2)/25)*DG147+(1-EXP(-LN(2)/25))/(LN(2)/25)*Calculateur!DB148*Calculateur!DD148*VLOOKUP('Données projet'!$B$13,Paramètres!$A$1:$I$89,3,0)*0.475*44/12</f>
        <v>0.59284292969306895</v>
      </c>
      <c r="DH148" s="21">
        <f>EXP(-LN(2)/2)*DH147+(1-EXP(-LN(2)/2))/(LN(2)/2)*DB148*DE148*VLOOKUP('Données projet'!$B$13,Paramètres!$A$1:$I$89,3,0)*0.475*44/12</f>
        <v>2.2060783297470645E-19</v>
      </c>
      <c r="DI148" s="22">
        <f t="shared" si="123"/>
        <v>13.257781331269634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255.00000000000006</v>
      </c>
      <c r="DP148" s="17">
        <f>DO148*VLOOKUP('Données projet'!$B$14,Paramètres!$A$1:$I$89,3,0)*VLOOKUP('Données projet'!$B$14,Paramètres!$A$1:$I$89,5,0)</f>
        <v>186.96600000000004</v>
      </c>
      <c r="DQ148" s="13">
        <f t="shared" si="151"/>
        <v>46.868551400324648</v>
      </c>
      <c r="DR148" s="20">
        <f t="shared" si="124"/>
        <v>407.26184368889881</v>
      </c>
      <c r="DS148" s="59">
        <f t="shared" si="125"/>
        <v>700.59517702223206</v>
      </c>
      <c r="DT148" s="59">
        <f ca="1">AVERAGE(OFFSET($DS$3,0,0,'Données projet'!$E$14+1,1))-AVERAGE(OFFSET($H$3,0,0,'Données projet'!$E$14+1,1))</f>
        <v>239.25212250019609</v>
      </c>
      <c r="DU148" s="59">
        <f t="shared" si="152"/>
        <v>213.58492101729695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689</v>
      </c>
      <c r="EK148" s="17">
        <f>EJ148*VLOOKUP('Données projet'!$B$15,Paramètres!$A$1:$I$89,3,0)*VLOOKUP('Données projet'!$B$15,Paramètres!$A$1:$I$89,5,0)</f>
        <v>412.02199999999999</v>
      </c>
      <c r="EL148" s="13">
        <f t="shared" si="153"/>
        <v>94.209724877926391</v>
      </c>
      <c r="EM148" s="20">
        <f t="shared" si="127"/>
        <v>881.686920829055</v>
      </c>
      <c r="EN148" s="59">
        <f t="shared" si="128"/>
        <v>1175.0202541623883</v>
      </c>
      <c r="EO148" s="59">
        <f ca="1">AVERAGE(OFFSET($EN$3,0,0,'Données projet'!$E$15+1,1))-AVERAGE(OFFSET($H$3,0,0,'Données projet'!$E$15+1,1))</f>
        <v>504.81063008331739</v>
      </c>
      <c r="EP148" s="59">
        <f t="shared" si="154"/>
        <v>441.82647565372287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27.01469719828761</v>
      </c>
      <c r="EW148" s="21">
        <f>EXP(-LN(2)/25)*EW147+(1-EXP(-LN(2)/25))/(LN(2)/25)*Calculateur!ER148*Calculateur!ET148*VLOOKUP('Données projet'!$B$15,Paramètres!$A$1:$I$89,3,0)*0.475*44/12</f>
        <v>2.427863050726462</v>
      </c>
      <c r="EX148" s="21">
        <f>EXP(-LN(2)/2)*EX147+(1-EXP(-LN(2)/2))/(LN(2)/2)*ER148*EU148*VLOOKUP('Données projet'!$B$15,Paramètres!$A$1:$I$89,3,0)*0.475*44/12</f>
        <v>2.5693013241293886E-19</v>
      </c>
      <c r="EY148" s="22">
        <f t="shared" si="129"/>
        <v>29.442560249014072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541.99999999999989</v>
      </c>
      <c r="FF148" s="17">
        <f>FE148*VLOOKUP('Données projet'!$B$16,Paramètres!$A$1:$I$89,3,0)*VLOOKUP('Données projet'!$B$16,Paramètres!$A$1:$I$89,5,0)</f>
        <v>310.02399999999994</v>
      </c>
      <c r="FG148" s="13">
        <f t="shared" si="155"/>
        <v>73.27384230442388</v>
      </c>
      <c r="FH148" s="20">
        <f t="shared" si="130"/>
        <v>667.57707534687154</v>
      </c>
      <c r="FI148" s="59">
        <f t="shared" si="131"/>
        <v>960.91040868020491</v>
      </c>
      <c r="FJ148" s="59">
        <f ca="1">AVERAGE(OFFSET($FI$3,0,0,'Données projet'!$E$16+1,1))-AVERAGE(OFFSET($H$3,0,0,'Données projet'!$E$16+1,1))</f>
        <v>393.41577134252316</v>
      </c>
      <c r="FK148" s="59">
        <f t="shared" si="156"/>
        <v>255.54039659391475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31.632986310815951</v>
      </c>
      <c r="FR148" s="21">
        <f>EXP(-LN(2)/25)*FR147+(1-EXP(-LN(2)/25))/(LN(2)/25)*Calculateur!FM148*Calculateur!FO148*VLOOKUP('Données projet'!$B$16,Paramètres!$A$1:$I$89,3,0)*0.475*44/12</f>
        <v>1.1018038952439968</v>
      </c>
      <c r="FS148" s="21">
        <f>EXP(-LN(2)/2)*FS147+(1-EXP(-LN(2)/2))/(LN(2)/2)*FM148*FP148*VLOOKUP('Données projet'!$B$16,Paramètres!$A$1:$I$89,3,0)*0.475*44/12</f>
        <v>1.787431240061049E-18</v>
      </c>
      <c r="FT148" s="22">
        <f t="shared" si="132"/>
        <v>32.734790206059948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853.00000000000011</v>
      </c>
      <c r="GA148" s="17">
        <f>FZ148*VLOOKUP('Données projet'!$B$17,Paramètres!$A$1:$I$89,3,0)*VLOOKUP('Données projet'!$B$17,Paramètres!$A$1:$I$89,5,0)</f>
        <v>399.20400000000006</v>
      </c>
      <c r="GB148" s="13">
        <f t="shared" si="157"/>
        <v>91.615269732888521</v>
      </c>
      <c r="GC148" s="20">
        <f t="shared" si="133"/>
        <v>854.8435614514475</v>
      </c>
      <c r="GD148" s="59">
        <f t="shared" si="134"/>
        <v>1148.1768947847809</v>
      </c>
      <c r="GE148" s="59">
        <f ca="1">AVERAGE(OFFSET($GD$3,0,0,'Données projet'!$E$17+1,1))-AVERAGE(OFFSET($H$3,0,0,'Données projet'!$E$17+1,1))</f>
        <v>488.67934252295686</v>
      </c>
      <c r="GF148" s="59">
        <f t="shared" si="158"/>
        <v>424.50324471331095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38.254639771030469</v>
      </c>
      <c r="GM148" s="21">
        <f>EXP(-LN(2)/25)*GM147+(1-EXP(-LN(2)/25))/(LN(2)/25)*Calculateur!GH148*Calculateur!GJ148*VLOOKUP('Données projet'!$B$17,Paramètres!$A$1:$I$89,3,0)*0.475*44/12</f>
        <v>2.0199738079473284</v>
      </c>
      <c r="GN148" s="21">
        <f>EXP(-LN(2)/2)*GN147+(1-EXP(-LN(2)/2))/(LN(2)/2)*GH148*GK148*VLOOKUP('Données projet'!$B$17,Paramètres!$A$1:$I$89,3,0)*0.475*44/12</f>
        <v>3.9810968528632442E-18</v>
      </c>
      <c r="GO148" s="21">
        <f t="shared" si="135"/>
        <v>40.274613578977799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789</v>
      </c>
      <c r="GV148" s="17">
        <f>GU148*VLOOKUP('Données projet'!$B$18,Paramètres!$A$1:$I$89,3,0)*VLOOKUP('Données projet'!$B$18,Paramètres!$A$1:$I$89,5,0)</f>
        <v>379.50900000000001</v>
      </c>
      <c r="GW148" s="13">
        <f t="shared" si="159"/>
        <v>87.609801106074272</v>
      </c>
      <c r="GX148" s="20">
        <f t="shared" si="136"/>
        <v>813.56524525974601</v>
      </c>
      <c r="GY148" s="59">
        <f t="shared" si="137"/>
        <v>1106.8985785930793</v>
      </c>
      <c r="GZ148" s="59">
        <f ca="1">AVERAGE(OFFSET($GY$3,0,0,'Données projet'!$E$18+1,1))-AVERAGE(OFFSET($H$3,0,0,'Données projet'!$E$18+1,1))</f>
        <v>458.80976193248841</v>
      </c>
      <c r="HA148" s="59">
        <f t="shared" si="160"/>
        <v>396.07405370178759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38.735801055065473</v>
      </c>
      <c r="HH148" s="21">
        <f>EXP(-LN(2)/25)*HH147+(1-EXP(-LN(2)/25))/(LN(2)/25)*Calculateur!HC148*Calculateur!HE148*VLOOKUP('Données projet'!$B$18,Paramètres!$A$1:$I$89,3,0)*0.475*44/12</f>
        <v>1.8873492650012931</v>
      </c>
      <c r="HI148" s="21">
        <f>EXP(-LN(2)/2)*HI147+(1-EXP(-LN(2)/2))/(LN(2)/2)*HC148*HF148*VLOOKUP('Données projet'!$B$18,Paramètres!$A$1:$I$89,3,0)*0.475*44/12</f>
        <v>1.837082107840524E-18</v>
      </c>
      <c r="HJ148" s="22">
        <f t="shared" si="138"/>
        <v>40.623150320066763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267</v>
      </c>
      <c r="O149" s="13">
        <f>N149*VLOOKUP('Données projet'!$B$9,Paramètres!$A$1:$I$89,3,0)*VLOOKUP('Données projet'!$B$9,Paramètres!$A$1:$I$89,5,0)</f>
        <v>241.58159999999998</v>
      </c>
      <c r="P149" s="13">
        <f t="shared" si="141"/>
        <v>58.779689232021951</v>
      </c>
      <c r="Q149" s="20">
        <f t="shared" si="108"/>
        <v>523.12924541243819</v>
      </c>
      <c r="R149" s="59">
        <f t="shared" si="109"/>
        <v>816.46257874577145</v>
      </c>
      <c r="S149" s="59">
        <f ca="1">AVERAGE(OFFSET($R$3,0,0,'Données projet'!$E$9+1,1))-AVERAGE(OFFSET($H$3,0,0,'Données projet'!$E$9+1,1))</f>
        <v>364.3481978218424</v>
      </c>
      <c r="T149" s="59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40.908862158496703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40.908862158496703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636.99999999999977</v>
      </c>
      <c r="AJ149" s="13">
        <f>AI149*VLOOKUP('Données projet'!$B$10,Paramètres!$A$1:$I$89,3,0)*VLOOKUP('Données projet'!$B$10,Paramètres!$A$1:$I$89,5,0)</f>
        <v>356.08299999999991</v>
      </c>
      <c r="AK149" s="13">
        <f t="shared" si="143"/>
        <v>82.813805255716545</v>
      </c>
      <c r="AL149" s="20">
        <f t="shared" si="112"/>
        <v>764.41193582037283</v>
      </c>
      <c r="AM149" s="59">
        <f t="shared" si="113"/>
        <v>1057.7452691537062</v>
      </c>
      <c r="AN149" s="59">
        <f ca="1">AVERAGE(OFFSET($AM$3,0,0,'Données projet'!$E$10+1,1))-AVERAGE(OFFSET($H$3,0,0,'Données projet'!$E$10+1,1))</f>
        <v>443.34220761968419</v>
      </c>
      <c r="AO149" s="59">
        <f t="shared" si="144"/>
        <v>546.58234447298014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17.797416059389967</v>
      </c>
      <c r="AV149" s="21">
        <f>EXP(-LN(2)/25)*AV148+(1-EXP(-LN(2)/25))/(LN(2)/25)*Calculateur!AQ149*Calculateur!AS149*VLOOKUP('Données projet'!$B$10,Paramètres!$A$1:$I$89,3,0)*0.475*44/12</f>
        <v>0.87984075622801539</v>
      </c>
      <c r="AW149" s="21">
        <f>EXP(-LN(2)/2)*AW148+(1-EXP(-LN(2)/2))/(LN(2)/2)*AQ149*AT149*VLOOKUP('Données projet'!$B$10,Paramètres!$A$1:$I$89,3,0)*0.475*44/12</f>
        <v>2.0961693633443215E-17</v>
      </c>
      <c r="AX149" s="21">
        <f t="shared" si="114"/>
        <v>18.677256815617984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403.99999999999989</v>
      </c>
      <c r="BE149" s="13">
        <f>BD149*VLOOKUP('Données projet'!$B$11,Paramètres!$A$1:$I$89,3,0)*VLOOKUP('Données projet'!$B$11,Paramètres!$A$1:$I$89,5,0)</f>
        <v>346.63199999999995</v>
      </c>
      <c r="BF149" s="13">
        <f t="shared" si="145"/>
        <v>80.868615263336864</v>
      </c>
      <c r="BG149" s="20">
        <f t="shared" si="115"/>
        <v>744.56357158364483</v>
      </c>
      <c r="BH149" s="59">
        <f t="shared" si="116"/>
        <v>1037.8969049169782</v>
      </c>
      <c r="BI149" s="59">
        <f ca="1">AVERAGE(OFFSET($BH$3,0,0,'Données projet'!$E$11+1,1))-AVERAGE(OFFSET($H$3,0,0,'Données projet'!$E$11+1,1))</f>
        <v>447.15627913956871</v>
      </c>
      <c r="BJ149" s="59">
        <f t="shared" si="146"/>
        <v>256.77417912163997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59.729014000949171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59.729014000949171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245.99999999999994</v>
      </c>
      <c r="BZ149" s="13">
        <f>BY149*VLOOKUP('Données projet'!$B$12,Paramètres!$A$1:$I$89,3,0)*VLOOKUP('Données projet'!$B$12,Paramètres!$A$1:$I$89,5,0)</f>
        <v>234.09359999999998</v>
      </c>
      <c r="CA149" s="13">
        <f t="shared" si="147"/>
        <v>57.166902703920208</v>
      </c>
      <c r="CB149" s="20">
        <f t="shared" si="118"/>
        <v>507.27870887599425</v>
      </c>
      <c r="CC149" s="59">
        <f t="shared" si="119"/>
        <v>800.61204220932757</v>
      </c>
      <c r="CD149" s="59">
        <f ca="1">AVERAGE(OFFSET($CC$3,0,0,'Données projet'!$E$12+1,1))-AVERAGE(OFFSET($H$3,0,0,'Données projet'!$E$12+1,1))</f>
        <v>448.94764480536713</v>
      </c>
      <c r="CE149" s="59">
        <f t="shared" si="148"/>
        <v>469.26760321719695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42.203435867499017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42.203435867499017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187.80389738728508</v>
      </c>
      <c r="CZ149" s="59">
        <f t="shared" si="150"/>
        <v>439.28159165815265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12.416586684371309</v>
      </c>
      <c r="DG149" s="21">
        <f>EXP(-LN(2)/25)*DG148+(1-EXP(-LN(2)/25))/(LN(2)/25)*Calculateur!DB149*Calculateur!DD149*VLOOKUP('Données projet'!$B$13,Paramètres!$A$1:$I$89,3,0)*0.475*44/12</f>
        <v>0.57663160860435725</v>
      </c>
      <c r="DH149" s="21">
        <f>EXP(-LN(2)/2)*DH148+(1-EXP(-LN(2)/2))/(LN(2)/2)*DB149*DE149*VLOOKUP('Données projet'!$B$13,Paramètres!$A$1:$I$89,3,0)*0.475*44/12</f>
        <v>1.5599329467928418E-19</v>
      </c>
      <c r="DI149" s="22">
        <f t="shared" si="123"/>
        <v>12.993218292975666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255.00000000000006</v>
      </c>
      <c r="DP149" s="17">
        <f>DO149*VLOOKUP('Données projet'!$B$14,Paramètres!$A$1:$I$89,3,0)*VLOOKUP('Données projet'!$B$14,Paramètres!$A$1:$I$89,5,0)</f>
        <v>186.96600000000004</v>
      </c>
      <c r="DQ149" s="13">
        <f t="shared" si="151"/>
        <v>46.868551400324648</v>
      </c>
      <c r="DR149" s="20">
        <f t="shared" si="124"/>
        <v>407.26184368889881</v>
      </c>
      <c r="DS149" s="59">
        <f t="shared" si="125"/>
        <v>700.59517702223206</v>
      </c>
      <c r="DT149" s="59">
        <f ca="1">AVERAGE(OFFSET($DS$3,0,0,'Données projet'!$E$14+1,1))-AVERAGE(OFFSET($H$3,0,0,'Données projet'!$E$14+1,1))</f>
        <v>239.25212250019609</v>
      </c>
      <c r="DU149" s="59">
        <f t="shared" si="152"/>
        <v>213.58492101729695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689</v>
      </c>
      <c r="EK149" s="17">
        <f>EJ149*VLOOKUP('Données projet'!$B$15,Paramètres!$A$1:$I$89,3,0)*VLOOKUP('Données projet'!$B$15,Paramètres!$A$1:$I$89,5,0)</f>
        <v>412.02199999999999</v>
      </c>
      <c r="EL149" s="13">
        <f t="shared" si="153"/>
        <v>94.209724877926391</v>
      </c>
      <c r="EM149" s="20">
        <f t="shared" si="127"/>
        <v>881.686920829055</v>
      </c>
      <c r="EN149" s="59">
        <f t="shared" si="128"/>
        <v>1175.0202541623883</v>
      </c>
      <c r="EO149" s="59">
        <f ca="1">AVERAGE(OFFSET($EN$3,0,0,'Données projet'!$E$15+1,1))-AVERAGE(OFFSET($H$3,0,0,'Données projet'!$E$15+1,1))</f>
        <v>504.81063008331739</v>
      </c>
      <c r="EP149" s="59">
        <f t="shared" si="154"/>
        <v>441.82647565372287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26.484955463567481</v>
      </c>
      <c r="EW149" s="21">
        <f>EXP(-LN(2)/25)*EW148+(1-EXP(-LN(2)/25))/(LN(2)/25)*Calculateur!ER149*Calculateur!ET149*VLOOKUP('Données projet'!$B$15,Paramètres!$A$1:$I$89,3,0)*0.475*44/12</f>
        <v>2.3614730079285779</v>
      </c>
      <c r="EX149" s="21">
        <f>EXP(-LN(2)/2)*EX148+(1-EXP(-LN(2)/2))/(LN(2)/2)*ER149*EU149*VLOOKUP('Données projet'!$B$15,Paramètres!$A$1:$I$89,3,0)*0.475*44/12</f>
        <v>1.8167703892034665E-19</v>
      </c>
      <c r="EY149" s="22">
        <f t="shared" si="129"/>
        <v>28.846428471496058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541.99999999999989</v>
      </c>
      <c r="FF149" s="17">
        <f>FE149*VLOOKUP('Données projet'!$B$16,Paramètres!$A$1:$I$89,3,0)*VLOOKUP('Données projet'!$B$16,Paramètres!$A$1:$I$89,5,0)</f>
        <v>310.02399999999994</v>
      </c>
      <c r="FG149" s="13">
        <f t="shared" si="155"/>
        <v>73.27384230442388</v>
      </c>
      <c r="FH149" s="20">
        <f t="shared" si="130"/>
        <v>667.57707534687154</v>
      </c>
      <c r="FI149" s="59">
        <f t="shared" si="131"/>
        <v>960.91040868020491</v>
      </c>
      <c r="FJ149" s="59">
        <f ca="1">AVERAGE(OFFSET($FI$3,0,0,'Données projet'!$E$16+1,1))-AVERAGE(OFFSET($H$3,0,0,'Données projet'!$E$16+1,1))</f>
        <v>393.41577134252316</v>
      </c>
      <c r="FK149" s="59">
        <f t="shared" si="156"/>
        <v>255.54039659391475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31.012682743477356</v>
      </c>
      <c r="FR149" s="21">
        <f>EXP(-LN(2)/25)*FR148+(1-EXP(-LN(2)/25))/(LN(2)/25)*Calculateur!FM149*Calculateur!FO149*VLOOKUP('Données projet'!$B$16,Paramètres!$A$1:$I$89,3,0)*0.475*44/12</f>
        <v>1.071675009787201</v>
      </c>
      <c r="FS149" s="21">
        <f>EXP(-LN(2)/2)*FS148+(1-EXP(-LN(2)/2))/(LN(2)/2)*FM149*FP149*VLOOKUP('Données projet'!$B$16,Paramètres!$A$1:$I$89,3,0)*0.475*44/12</f>
        <v>1.2639047507518475E-18</v>
      </c>
      <c r="FT149" s="22">
        <f t="shared" si="132"/>
        <v>32.084357753264555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853.00000000000011</v>
      </c>
      <c r="GA149" s="17">
        <f>FZ149*VLOOKUP('Données projet'!$B$17,Paramètres!$A$1:$I$89,3,0)*VLOOKUP('Données projet'!$B$17,Paramètres!$A$1:$I$89,5,0)</f>
        <v>399.20400000000006</v>
      </c>
      <c r="GB149" s="13">
        <f t="shared" si="157"/>
        <v>91.615269732888521</v>
      </c>
      <c r="GC149" s="20">
        <f t="shared" si="133"/>
        <v>854.8435614514475</v>
      </c>
      <c r="GD149" s="59">
        <f t="shared" si="134"/>
        <v>1148.1768947847809</v>
      </c>
      <c r="GE149" s="59">
        <f ca="1">AVERAGE(OFFSET($GD$3,0,0,'Données projet'!$E$17+1,1))-AVERAGE(OFFSET($H$3,0,0,'Données projet'!$E$17+1,1))</f>
        <v>488.67934252295686</v>
      </c>
      <c r="GF149" s="59">
        <f t="shared" si="158"/>
        <v>424.50324471331095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37.504489618146877</v>
      </c>
      <c r="GM149" s="21">
        <f>EXP(-LN(2)/25)*GM148+(1-EXP(-LN(2)/25))/(LN(2)/25)*Calculateur!GH149*Calculateur!GJ149*VLOOKUP('Données projet'!$B$17,Paramètres!$A$1:$I$89,3,0)*0.475*44/12</f>
        <v>1.9647375179432029</v>
      </c>
      <c r="GN149" s="21">
        <f>EXP(-LN(2)/2)*GN148+(1-EXP(-LN(2)/2))/(LN(2)/2)*GH149*GK149*VLOOKUP('Données projet'!$B$17,Paramètres!$A$1:$I$89,3,0)*0.475*44/12</f>
        <v>2.8150605812200231E-18</v>
      </c>
      <c r="GO149" s="21">
        <f t="shared" si="135"/>
        <v>39.469227136090083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789</v>
      </c>
      <c r="GV149" s="17">
        <f>GU149*VLOOKUP('Données projet'!$B$18,Paramètres!$A$1:$I$89,3,0)*VLOOKUP('Données projet'!$B$18,Paramètres!$A$1:$I$89,5,0)</f>
        <v>379.50900000000001</v>
      </c>
      <c r="GW149" s="13">
        <f t="shared" si="159"/>
        <v>87.609801106074272</v>
      </c>
      <c r="GX149" s="20">
        <f t="shared" si="136"/>
        <v>813.56524525974601</v>
      </c>
      <c r="GY149" s="59">
        <f t="shared" si="137"/>
        <v>1106.8985785930793</v>
      </c>
      <c r="GZ149" s="59">
        <f ca="1">AVERAGE(OFFSET($GY$3,0,0,'Données projet'!$E$18+1,1))-AVERAGE(OFFSET($H$3,0,0,'Données projet'!$E$18+1,1))</f>
        <v>458.80976193248841</v>
      </c>
      <c r="HA149" s="59">
        <f t="shared" si="160"/>
        <v>396.07405370178759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37.976215622881355</v>
      </c>
      <c r="HH149" s="21">
        <f>EXP(-LN(2)/25)*HH148+(1-EXP(-LN(2)/25))/(LN(2)/25)*Calculateur!HC149*Calculateur!HE149*VLOOKUP('Données projet'!$B$18,Paramètres!$A$1:$I$89,3,0)*0.475*44/12</f>
        <v>1.8357396000984485</v>
      </c>
      <c r="HI149" s="21">
        <f>EXP(-LN(2)/2)*HI148+(1-EXP(-LN(2)/2))/(LN(2)/2)*HC149*HF149*VLOOKUP('Données projet'!$B$18,Paramètres!$A$1:$I$89,3,0)*0.475*44/12</f>
        <v>1.2990132160505109E-18</v>
      </c>
      <c r="HJ149" s="22">
        <f t="shared" si="138"/>
        <v>39.811955222979805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267</v>
      </c>
      <c r="O150" s="13">
        <f>N150*VLOOKUP('Données projet'!$B$9,Paramètres!$A$1:$I$89,3,0)*VLOOKUP('Données projet'!$B$9,Paramètres!$A$1:$I$89,5,0)</f>
        <v>241.58159999999998</v>
      </c>
      <c r="P150" s="13">
        <f t="shared" si="141"/>
        <v>58.779689232021951</v>
      </c>
      <c r="Q150" s="20">
        <f t="shared" si="108"/>
        <v>523.12924541243819</v>
      </c>
      <c r="R150" s="59">
        <f t="shared" si="109"/>
        <v>816.46257874577145</v>
      </c>
      <c r="S150" s="59">
        <f ca="1">AVERAGE(OFFSET($R$3,0,0,'Données projet'!$E$9+1,1))-AVERAGE(OFFSET($H$3,0,0,'Données projet'!$E$9+1,1))</f>
        <v>364.3481978218424</v>
      </c>
      <c r="T150" s="59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40.106664323510699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40.106664323510699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636.99999999999977</v>
      </c>
      <c r="AJ150" s="13">
        <f>AI150*VLOOKUP('Données projet'!$B$10,Paramètres!$A$1:$I$89,3,0)*VLOOKUP('Données projet'!$B$10,Paramètres!$A$1:$I$89,5,0)</f>
        <v>356.08299999999991</v>
      </c>
      <c r="AK150" s="13">
        <f t="shared" si="143"/>
        <v>82.813805255716545</v>
      </c>
      <c r="AL150" s="20">
        <f t="shared" si="112"/>
        <v>764.41193582037283</v>
      </c>
      <c r="AM150" s="59">
        <f t="shared" si="113"/>
        <v>1057.7452691537062</v>
      </c>
      <c r="AN150" s="59">
        <f ca="1">AVERAGE(OFFSET($AM$3,0,0,'Données projet'!$E$10+1,1))-AVERAGE(OFFSET($H$3,0,0,'Données projet'!$E$10+1,1))</f>
        <v>443.34220761968419</v>
      </c>
      <c r="AO150" s="59">
        <f t="shared" si="144"/>
        <v>546.58234447298014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17.448419585817248</v>
      </c>
      <c r="AV150" s="21">
        <f>EXP(-LN(2)/25)*AV149+(1-EXP(-LN(2)/25))/(LN(2)/25)*Calculateur!AQ150*Calculateur!AS150*VLOOKUP('Données projet'!$B$10,Paramètres!$A$1:$I$89,3,0)*0.475*44/12</f>
        <v>0.8557814644801458</v>
      </c>
      <c r="AW150" s="21">
        <f>EXP(-LN(2)/2)*AW149+(1-EXP(-LN(2)/2))/(LN(2)/2)*AQ150*AT150*VLOOKUP('Données projet'!$B$10,Paramètres!$A$1:$I$89,3,0)*0.475*44/12</f>
        <v>1.4822155713362578E-17</v>
      </c>
      <c r="AX150" s="21">
        <f t="shared" si="114"/>
        <v>18.304201050297394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403.99999999999989</v>
      </c>
      <c r="BE150" s="13">
        <f>BD150*VLOOKUP('Données projet'!$B$11,Paramètres!$A$1:$I$89,3,0)*VLOOKUP('Données projet'!$B$11,Paramètres!$A$1:$I$89,5,0)</f>
        <v>346.63199999999995</v>
      </c>
      <c r="BF150" s="13">
        <f t="shared" si="145"/>
        <v>80.868615263336864</v>
      </c>
      <c r="BG150" s="20">
        <f t="shared" si="115"/>
        <v>744.56357158364483</v>
      </c>
      <c r="BH150" s="59">
        <f t="shared" si="116"/>
        <v>1037.8969049169782</v>
      </c>
      <c r="BI150" s="59">
        <f ca="1">AVERAGE(OFFSET($BH$3,0,0,'Données projet'!$E$11+1,1))-AVERAGE(OFFSET($H$3,0,0,'Données projet'!$E$11+1,1))</f>
        <v>447.15627913956871</v>
      </c>
      <c r="BJ150" s="59">
        <f t="shared" si="146"/>
        <v>256.77417912163997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58.557764467491829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58.557764467491829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245.99999999999994</v>
      </c>
      <c r="BZ150" s="13">
        <f>BY150*VLOOKUP('Données projet'!$B$12,Paramètres!$A$1:$I$89,3,0)*VLOOKUP('Données projet'!$B$12,Paramètres!$A$1:$I$89,5,0)</f>
        <v>234.09359999999998</v>
      </c>
      <c r="CA150" s="13">
        <f t="shared" si="147"/>
        <v>57.166902703920208</v>
      </c>
      <c r="CB150" s="20">
        <f t="shared" si="118"/>
        <v>507.27870887599425</v>
      </c>
      <c r="CC150" s="59">
        <f t="shared" si="119"/>
        <v>800.61204220932757</v>
      </c>
      <c r="CD150" s="59">
        <f ca="1">AVERAGE(OFFSET($CC$3,0,0,'Données projet'!$E$12+1,1))-AVERAGE(OFFSET($H$3,0,0,'Données projet'!$E$12+1,1))</f>
        <v>448.94764480536713</v>
      </c>
      <c r="CE150" s="59">
        <f t="shared" si="148"/>
        <v>469.26760321719695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41.375852231691475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41.375852231691475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187.80389738728508</v>
      </c>
      <c r="CZ150" s="59">
        <f t="shared" si="150"/>
        <v>439.28159165815265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12.173104992860857</v>
      </c>
      <c r="DG150" s="21">
        <f>EXP(-LN(2)/25)*DG149+(1-EXP(-LN(2)/25))/(LN(2)/25)*Calculateur!DB150*Calculateur!DD150*VLOOKUP('Données projet'!$B$13,Paramètres!$A$1:$I$89,3,0)*0.475*44/12</f>
        <v>0.56086358694333271</v>
      </c>
      <c r="DH150" s="21">
        <f>EXP(-LN(2)/2)*DH149+(1-EXP(-LN(2)/2))/(LN(2)/2)*DB150*DE150*VLOOKUP('Données projet'!$B$13,Paramètres!$A$1:$I$89,3,0)*0.475*44/12</f>
        <v>1.1030391648735322E-19</v>
      </c>
      <c r="DI150" s="22">
        <f t="shared" si="123"/>
        <v>12.73396857980419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255.00000000000006</v>
      </c>
      <c r="DP150" s="17">
        <f>DO150*VLOOKUP('Données projet'!$B$14,Paramètres!$A$1:$I$89,3,0)*VLOOKUP('Données projet'!$B$14,Paramètres!$A$1:$I$89,5,0)</f>
        <v>186.96600000000004</v>
      </c>
      <c r="DQ150" s="13">
        <f t="shared" si="151"/>
        <v>46.868551400324648</v>
      </c>
      <c r="DR150" s="20">
        <f t="shared" si="124"/>
        <v>407.26184368889881</v>
      </c>
      <c r="DS150" s="59">
        <f t="shared" si="125"/>
        <v>700.59517702223206</v>
      </c>
      <c r="DT150" s="59">
        <f ca="1">AVERAGE(OFFSET($DS$3,0,0,'Données projet'!$E$14+1,1))-AVERAGE(OFFSET($H$3,0,0,'Données projet'!$E$14+1,1))</f>
        <v>239.25212250019609</v>
      </c>
      <c r="DU150" s="59">
        <f t="shared" si="152"/>
        <v>213.58492101729695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689</v>
      </c>
      <c r="EK150" s="17">
        <f>EJ150*VLOOKUP('Données projet'!$B$15,Paramètres!$A$1:$I$89,3,0)*VLOOKUP('Données projet'!$B$15,Paramètres!$A$1:$I$89,5,0)</f>
        <v>412.02199999999999</v>
      </c>
      <c r="EL150" s="13">
        <f t="shared" si="153"/>
        <v>94.209724877926391</v>
      </c>
      <c r="EM150" s="20">
        <f t="shared" si="127"/>
        <v>881.686920829055</v>
      </c>
      <c r="EN150" s="59">
        <f t="shared" si="128"/>
        <v>1175.0202541623883</v>
      </c>
      <c r="EO150" s="59">
        <f ca="1">AVERAGE(OFFSET($EN$3,0,0,'Données projet'!$E$15+1,1))-AVERAGE(OFFSET($H$3,0,0,'Données projet'!$E$15+1,1))</f>
        <v>504.81063008331739</v>
      </c>
      <c r="EP150" s="59">
        <f t="shared" si="154"/>
        <v>441.82647565372287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25.965601641154656</v>
      </c>
      <c r="EW150" s="21">
        <f>EXP(-LN(2)/25)*EW149+(1-EXP(-LN(2)/25))/(LN(2)/25)*Calculateur!ER150*Calculateur!ET150*VLOOKUP('Données projet'!$B$15,Paramètres!$A$1:$I$89,3,0)*0.475*44/12</f>
        <v>2.2968984043423029</v>
      </c>
      <c r="EX150" s="21">
        <f>EXP(-LN(2)/2)*EX149+(1-EXP(-LN(2)/2))/(LN(2)/2)*ER150*EU150*VLOOKUP('Données projet'!$B$15,Paramètres!$A$1:$I$89,3,0)*0.475*44/12</f>
        <v>1.2846506620646943E-19</v>
      </c>
      <c r="EY150" s="22">
        <f t="shared" si="129"/>
        <v>28.26250004549696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541.99999999999989</v>
      </c>
      <c r="FF150" s="17">
        <f>FE150*VLOOKUP('Données projet'!$B$16,Paramètres!$A$1:$I$89,3,0)*VLOOKUP('Données projet'!$B$16,Paramètres!$A$1:$I$89,5,0)</f>
        <v>310.02399999999994</v>
      </c>
      <c r="FG150" s="13">
        <f t="shared" si="155"/>
        <v>73.27384230442388</v>
      </c>
      <c r="FH150" s="20">
        <f t="shared" si="130"/>
        <v>667.57707534687154</v>
      </c>
      <c r="FI150" s="59">
        <f t="shared" si="131"/>
        <v>960.91040868020491</v>
      </c>
      <c r="FJ150" s="59">
        <f ca="1">AVERAGE(OFFSET($FI$3,0,0,'Données projet'!$E$16+1,1))-AVERAGE(OFFSET($H$3,0,0,'Données projet'!$E$16+1,1))</f>
        <v>393.41577134252316</v>
      </c>
      <c r="FK150" s="59">
        <f t="shared" si="156"/>
        <v>255.54039659391475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30.404542950746453</v>
      </c>
      <c r="FR150" s="21">
        <f>EXP(-LN(2)/25)*FR149+(1-EXP(-LN(2)/25))/(LN(2)/25)*Calculateur!FM150*Calculateur!FO150*VLOOKUP('Données projet'!$B$16,Paramètres!$A$1:$I$89,3,0)*0.475*44/12</f>
        <v>1.0423700002876306</v>
      </c>
      <c r="FS150" s="21">
        <f>EXP(-LN(2)/2)*FS149+(1-EXP(-LN(2)/2))/(LN(2)/2)*FM150*FP150*VLOOKUP('Données projet'!$B$16,Paramètres!$A$1:$I$89,3,0)*0.475*44/12</f>
        <v>8.9371562003052449E-19</v>
      </c>
      <c r="FT150" s="22">
        <f t="shared" si="132"/>
        <v>31.446912951034083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853.00000000000011</v>
      </c>
      <c r="GA150" s="17">
        <f>FZ150*VLOOKUP('Données projet'!$B$17,Paramètres!$A$1:$I$89,3,0)*VLOOKUP('Données projet'!$B$17,Paramètres!$A$1:$I$89,5,0)</f>
        <v>399.20400000000006</v>
      </c>
      <c r="GB150" s="13">
        <f t="shared" si="157"/>
        <v>91.615269732888521</v>
      </c>
      <c r="GC150" s="20">
        <f t="shared" si="133"/>
        <v>854.8435614514475</v>
      </c>
      <c r="GD150" s="59">
        <f t="shared" si="134"/>
        <v>1148.1768947847809</v>
      </c>
      <c r="GE150" s="59">
        <f ca="1">AVERAGE(OFFSET($GD$3,0,0,'Données projet'!$E$17+1,1))-AVERAGE(OFFSET($H$3,0,0,'Données projet'!$E$17+1,1))</f>
        <v>488.67934252295686</v>
      </c>
      <c r="GF150" s="59">
        <f t="shared" si="158"/>
        <v>424.50324471331095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36.769049452214915</v>
      </c>
      <c r="GM150" s="21">
        <f>EXP(-LN(2)/25)*GM149+(1-EXP(-LN(2)/25))/(LN(2)/25)*Calculateur!GH150*Calculateur!GJ150*VLOOKUP('Données projet'!$B$17,Paramètres!$A$1:$I$89,3,0)*0.475*44/12</f>
        <v>1.9110116671939905</v>
      </c>
      <c r="GN150" s="21">
        <f>EXP(-LN(2)/2)*GN149+(1-EXP(-LN(2)/2))/(LN(2)/2)*GH150*GK150*VLOOKUP('Données projet'!$B$17,Paramètres!$A$1:$I$89,3,0)*0.475*44/12</f>
        <v>1.9905484264316221E-18</v>
      </c>
      <c r="GO150" s="21">
        <f t="shared" si="135"/>
        <v>38.680061119408904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789</v>
      </c>
      <c r="GV150" s="17">
        <f>GU150*VLOOKUP('Données projet'!$B$18,Paramètres!$A$1:$I$89,3,0)*VLOOKUP('Données projet'!$B$18,Paramètres!$A$1:$I$89,5,0)</f>
        <v>379.50900000000001</v>
      </c>
      <c r="GW150" s="13">
        <f t="shared" si="159"/>
        <v>87.609801106074272</v>
      </c>
      <c r="GX150" s="20">
        <f t="shared" si="136"/>
        <v>813.56524525974601</v>
      </c>
      <c r="GY150" s="59">
        <f t="shared" si="137"/>
        <v>1106.8985785930793</v>
      </c>
      <c r="GZ150" s="59">
        <f ca="1">AVERAGE(OFFSET($GY$3,0,0,'Données projet'!$E$18+1,1))-AVERAGE(OFFSET($H$3,0,0,'Données projet'!$E$18+1,1))</f>
        <v>458.80976193248841</v>
      </c>
      <c r="HA150" s="59">
        <f t="shared" si="160"/>
        <v>396.07405370178759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37.231525197721005</v>
      </c>
      <c r="HH150" s="21">
        <f>EXP(-LN(2)/25)*HH149+(1-EXP(-LN(2)/25))/(LN(2)/25)*Calculateur!HC150*Calculateur!HE150*VLOOKUP('Données projet'!$B$18,Paramètres!$A$1:$I$89,3,0)*0.475*44/12</f>
        <v>1.7855412041964065</v>
      </c>
      <c r="HI150" s="21">
        <f>EXP(-LN(2)/2)*HI149+(1-EXP(-LN(2)/2))/(LN(2)/2)*HC150*HF150*VLOOKUP('Données projet'!$B$18,Paramètres!$A$1:$I$89,3,0)*0.475*44/12</f>
        <v>9.1854105392026198E-19</v>
      </c>
      <c r="HJ150" s="22">
        <f t="shared" si="138"/>
        <v>39.017066401917411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267</v>
      </c>
      <c r="O151" s="13">
        <f>N151*VLOOKUP('Données projet'!$B$9,Paramètres!$A$1:$I$89,3,0)*VLOOKUP('Données projet'!$B$9,Paramètres!$A$1:$I$89,5,0)</f>
        <v>241.58159999999998</v>
      </c>
      <c r="P151" s="13">
        <f t="shared" si="141"/>
        <v>58.779689232021951</v>
      </c>
      <c r="Q151" s="20">
        <f t="shared" si="108"/>
        <v>523.12924541243819</v>
      </c>
      <c r="R151" s="59">
        <f t="shared" si="109"/>
        <v>816.46257874577145</v>
      </c>
      <c r="S151" s="59">
        <f ca="1">AVERAGE(OFFSET($R$3,0,0,'Données projet'!$E$9+1,1))-AVERAGE(OFFSET($H$3,0,0,'Données projet'!$E$9+1,1))</f>
        <v>364.3481978218424</v>
      </c>
      <c r="T151" s="59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39.320197098776404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39.320197098776404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636.99999999999977</v>
      </c>
      <c r="AJ151" s="13">
        <f>AI151*VLOOKUP('Données projet'!$B$10,Paramètres!$A$1:$I$89,3,0)*VLOOKUP('Données projet'!$B$10,Paramètres!$A$1:$I$89,5,0)</f>
        <v>356.08299999999991</v>
      </c>
      <c r="AK151" s="13">
        <f t="shared" si="143"/>
        <v>82.813805255716545</v>
      </c>
      <c r="AL151" s="20">
        <f t="shared" si="112"/>
        <v>764.41193582037283</v>
      </c>
      <c r="AM151" s="59">
        <f t="shared" si="113"/>
        <v>1057.7452691537062</v>
      </c>
      <c r="AN151" s="59">
        <f ca="1">AVERAGE(OFFSET($AM$3,0,0,'Données projet'!$E$10+1,1))-AVERAGE(OFFSET($H$3,0,0,'Données projet'!$E$10+1,1))</f>
        <v>443.34220761968419</v>
      </c>
      <c r="AO151" s="59">
        <f t="shared" si="144"/>
        <v>546.58234447298014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17.106266720224461</v>
      </c>
      <c r="AV151" s="21">
        <f>EXP(-LN(2)/25)*AV150+(1-EXP(-LN(2)/25))/(LN(2)/25)*Calculateur!AQ151*Calculateur!AS151*VLOOKUP('Données projet'!$B$10,Paramètres!$A$1:$I$89,3,0)*0.475*44/12</f>
        <v>0.83238007533034486</v>
      </c>
      <c r="AW151" s="21">
        <f>EXP(-LN(2)/2)*AW150+(1-EXP(-LN(2)/2))/(LN(2)/2)*AQ151*AT151*VLOOKUP('Données projet'!$B$10,Paramètres!$A$1:$I$89,3,0)*0.475*44/12</f>
        <v>1.0480846816721608E-17</v>
      </c>
      <c r="AX151" s="21">
        <f t="shared" si="114"/>
        <v>17.938646795554806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403.99999999999989</v>
      </c>
      <c r="BE151" s="13">
        <f>BD151*VLOOKUP('Données projet'!$B$11,Paramètres!$A$1:$I$89,3,0)*VLOOKUP('Données projet'!$B$11,Paramètres!$A$1:$I$89,5,0)</f>
        <v>346.63199999999995</v>
      </c>
      <c r="BF151" s="13">
        <f t="shared" si="145"/>
        <v>80.868615263336864</v>
      </c>
      <c r="BG151" s="20">
        <f t="shared" si="115"/>
        <v>744.56357158364483</v>
      </c>
      <c r="BH151" s="59">
        <f t="shared" si="116"/>
        <v>1037.8969049169782</v>
      </c>
      <c r="BI151" s="59">
        <f ca="1">AVERAGE(OFFSET($BH$3,0,0,'Données projet'!$E$11+1,1))-AVERAGE(OFFSET($H$3,0,0,'Données projet'!$E$11+1,1))</f>
        <v>447.15627913956871</v>
      </c>
      <c r="BJ151" s="59">
        <f t="shared" si="146"/>
        <v>256.77417912163997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57.409482422993911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57.409482422993911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245.99999999999994</v>
      </c>
      <c r="BZ151" s="13">
        <f>BY151*VLOOKUP('Données projet'!$B$12,Paramètres!$A$1:$I$89,3,0)*VLOOKUP('Données projet'!$B$12,Paramètres!$A$1:$I$89,5,0)</f>
        <v>234.09359999999998</v>
      </c>
      <c r="CA151" s="13">
        <f t="shared" si="147"/>
        <v>57.166902703920208</v>
      </c>
      <c r="CB151" s="20">
        <f t="shared" si="118"/>
        <v>507.27870887599425</v>
      </c>
      <c r="CC151" s="59">
        <f t="shared" si="119"/>
        <v>800.61204220932757</v>
      </c>
      <c r="CD151" s="59">
        <f ca="1">AVERAGE(OFFSET($CC$3,0,0,'Données projet'!$E$12+1,1))-AVERAGE(OFFSET($H$3,0,0,'Données projet'!$E$12+1,1))</f>
        <v>448.94764480536713</v>
      </c>
      <c r="CE151" s="59">
        <f t="shared" si="148"/>
        <v>469.26760321719695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40.56449700620594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40.56449700620594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187.80389738728508</v>
      </c>
      <c r="CZ151" s="59">
        <f t="shared" si="150"/>
        <v>439.28159165815265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11.934397828811758</v>
      </c>
      <c r="DG151" s="21">
        <f>EXP(-LN(2)/25)*DG150+(1-EXP(-LN(2)/25))/(LN(2)/25)*Calculateur!DB151*Calculateur!DD151*VLOOKUP('Données projet'!$B$13,Paramètres!$A$1:$I$89,3,0)*0.475*44/12</f>
        <v>0.54552674266383316</v>
      </c>
      <c r="DH151" s="21">
        <f>EXP(-LN(2)/2)*DH150+(1-EXP(-LN(2)/2))/(LN(2)/2)*DB151*DE151*VLOOKUP('Données projet'!$B$13,Paramètres!$A$1:$I$89,3,0)*0.475*44/12</f>
        <v>7.7996647339642089E-20</v>
      </c>
      <c r="DI151" s="22">
        <f t="shared" si="123"/>
        <v>12.479924571475591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255.00000000000006</v>
      </c>
      <c r="DP151" s="17">
        <f>DO151*VLOOKUP('Données projet'!$B$14,Paramètres!$A$1:$I$89,3,0)*VLOOKUP('Données projet'!$B$14,Paramètres!$A$1:$I$89,5,0)</f>
        <v>186.96600000000004</v>
      </c>
      <c r="DQ151" s="13">
        <f t="shared" si="151"/>
        <v>46.868551400324648</v>
      </c>
      <c r="DR151" s="20">
        <f t="shared" si="124"/>
        <v>407.26184368889881</v>
      </c>
      <c r="DS151" s="59">
        <f t="shared" si="125"/>
        <v>700.59517702223206</v>
      </c>
      <c r="DT151" s="59">
        <f ca="1">AVERAGE(OFFSET($DS$3,0,0,'Données projet'!$E$14+1,1))-AVERAGE(OFFSET($H$3,0,0,'Données projet'!$E$14+1,1))</f>
        <v>239.25212250019609</v>
      </c>
      <c r="DU151" s="59">
        <f t="shared" si="152"/>
        <v>213.58492101729695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689</v>
      </c>
      <c r="EK151" s="17">
        <f>EJ151*VLOOKUP('Données projet'!$B$15,Paramètres!$A$1:$I$89,3,0)*VLOOKUP('Données projet'!$B$15,Paramètres!$A$1:$I$89,5,0)</f>
        <v>412.02199999999999</v>
      </c>
      <c r="EL151" s="13">
        <f t="shared" si="153"/>
        <v>94.209724877926391</v>
      </c>
      <c r="EM151" s="20">
        <f t="shared" si="127"/>
        <v>881.686920829055</v>
      </c>
      <c r="EN151" s="59">
        <f t="shared" si="128"/>
        <v>1175.0202541623883</v>
      </c>
      <c r="EO151" s="59">
        <f ca="1">AVERAGE(OFFSET($EN$3,0,0,'Données projet'!$E$15+1,1))-AVERAGE(OFFSET($H$3,0,0,'Données projet'!$E$15+1,1))</f>
        <v>504.81063008331739</v>
      </c>
      <c r="EP151" s="59">
        <f t="shared" si="154"/>
        <v>441.82647565372287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25.456432030424796</v>
      </c>
      <c r="EW151" s="21">
        <f>EXP(-LN(2)/25)*EW150+(1-EXP(-LN(2)/25))/(LN(2)/25)*Calculateur!ER151*Calculateur!ET151*VLOOKUP('Données projet'!$B$15,Paramètres!$A$1:$I$89,3,0)*0.475*44/12</f>
        <v>2.2340895966869252</v>
      </c>
      <c r="EX151" s="21">
        <f>EXP(-LN(2)/2)*EX150+(1-EXP(-LN(2)/2))/(LN(2)/2)*ER151*EU151*VLOOKUP('Données projet'!$B$15,Paramètres!$A$1:$I$89,3,0)*0.475*44/12</f>
        <v>9.0838519460173323E-20</v>
      </c>
      <c r="EY151" s="22">
        <f t="shared" si="129"/>
        <v>27.690521627111721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541.99999999999989</v>
      </c>
      <c r="FF151" s="17">
        <f>FE151*VLOOKUP('Données projet'!$B$16,Paramètres!$A$1:$I$89,3,0)*VLOOKUP('Données projet'!$B$16,Paramètres!$A$1:$I$89,5,0)</f>
        <v>310.02399999999994</v>
      </c>
      <c r="FG151" s="13">
        <f t="shared" si="155"/>
        <v>73.27384230442388</v>
      </c>
      <c r="FH151" s="20">
        <f t="shared" si="130"/>
        <v>667.57707534687154</v>
      </c>
      <c r="FI151" s="59">
        <f t="shared" si="131"/>
        <v>960.91040868020491</v>
      </c>
      <c r="FJ151" s="59">
        <f ca="1">AVERAGE(OFFSET($FI$3,0,0,'Données projet'!$E$16+1,1))-AVERAGE(OFFSET($H$3,0,0,'Données projet'!$E$16+1,1))</f>
        <v>393.41577134252316</v>
      </c>
      <c r="FK151" s="59">
        <f t="shared" si="156"/>
        <v>255.54039659391475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29.808328408422355</v>
      </c>
      <c r="FR151" s="21">
        <f>EXP(-LN(2)/25)*FR150+(1-EXP(-LN(2)/25))/(LN(2)/25)*Calculateur!FM151*Calculateur!FO151*VLOOKUP('Données projet'!$B$16,Paramètres!$A$1:$I$89,3,0)*0.475*44/12</f>
        <v>1.0138663378139094</v>
      </c>
      <c r="FS151" s="21">
        <f>EXP(-LN(2)/2)*FS150+(1-EXP(-LN(2)/2))/(LN(2)/2)*FM151*FP151*VLOOKUP('Données projet'!$B$16,Paramètres!$A$1:$I$89,3,0)*0.475*44/12</f>
        <v>6.3195237537592374E-19</v>
      </c>
      <c r="FT151" s="22">
        <f t="shared" si="132"/>
        <v>30.822194746236264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853.00000000000011</v>
      </c>
      <c r="GA151" s="17">
        <f>FZ151*VLOOKUP('Données projet'!$B$17,Paramètres!$A$1:$I$89,3,0)*VLOOKUP('Données projet'!$B$17,Paramètres!$A$1:$I$89,5,0)</f>
        <v>399.20400000000006</v>
      </c>
      <c r="GB151" s="13">
        <f t="shared" si="157"/>
        <v>91.615269732888521</v>
      </c>
      <c r="GC151" s="20">
        <f t="shared" si="133"/>
        <v>854.8435614514475</v>
      </c>
      <c r="GD151" s="59">
        <f t="shared" si="134"/>
        <v>1148.1768947847809</v>
      </c>
      <c r="GE151" s="59">
        <f ca="1">AVERAGE(OFFSET($GD$3,0,0,'Données projet'!$E$17+1,1))-AVERAGE(OFFSET($H$3,0,0,'Données projet'!$E$17+1,1))</f>
        <v>488.67934252295686</v>
      </c>
      <c r="GF151" s="59">
        <f t="shared" si="158"/>
        <v>424.50324471331095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36.048030819362673</v>
      </c>
      <c r="GM151" s="21">
        <f>EXP(-LN(2)/25)*GM150+(1-EXP(-LN(2)/25))/(LN(2)/25)*Calculateur!GH151*Calculateur!GJ151*VLOOKUP('Données projet'!$B$17,Paramètres!$A$1:$I$89,3,0)*0.475*44/12</f>
        <v>1.8587549526588349</v>
      </c>
      <c r="GN151" s="21">
        <f>EXP(-LN(2)/2)*GN150+(1-EXP(-LN(2)/2))/(LN(2)/2)*GH151*GK151*VLOOKUP('Données projet'!$B$17,Paramètres!$A$1:$I$89,3,0)*0.475*44/12</f>
        <v>1.4075302906100116E-18</v>
      </c>
      <c r="GO151" s="21">
        <f t="shared" si="135"/>
        <v>37.906785772021507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789</v>
      </c>
      <c r="GV151" s="17">
        <f>GU151*VLOOKUP('Données projet'!$B$18,Paramètres!$A$1:$I$89,3,0)*VLOOKUP('Données projet'!$B$18,Paramètres!$A$1:$I$89,5,0)</f>
        <v>379.50900000000001</v>
      </c>
      <c r="GW151" s="13">
        <f t="shared" si="159"/>
        <v>87.609801106074272</v>
      </c>
      <c r="GX151" s="20">
        <f t="shared" si="136"/>
        <v>813.56524525974601</v>
      </c>
      <c r="GY151" s="59">
        <f t="shared" si="137"/>
        <v>1106.8985785930793</v>
      </c>
      <c r="GZ151" s="59">
        <f ca="1">AVERAGE(OFFSET($GY$3,0,0,'Données projet'!$E$18+1,1))-AVERAGE(OFFSET($H$3,0,0,'Données projet'!$E$18+1,1))</f>
        <v>458.80976193248841</v>
      </c>
      <c r="HA151" s="59">
        <f t="shared" si="160"/>
        <v>396.07405370178759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36.501437697581743</v>
      </c>
      <c r="HH151" s="21">
        <f>EXP(-LN(2)/25)*HH150+(1-EXP(-LN(2)/25))/(LN(2)/25)*Calculateur!HC151*Calculateur!HE151*VLOOKUP('Données projet'!$B$18,Paramètres!$A$1:$I$89,3,0)*0.475*44/12</f>
        <v>1.7367154860701248</v>
      </c>
      <c r="HI151" s="21">
        <f>EXP(-LN(2)/2)*HI150+(1-EXP(-LN(2)/2))/(LN(2)/2)*HC151*HF151*VLOOKUP('Données projet'!$B$18,Paramètres!$A$1:$I$89,3,0)*0.475*44/12</f>
        <v>6.4950660802525544E-19</v>
      </c>
      <c r="HJ151" s="22">
        <f t="shared" si="138"/>
        <v>38.238153183651868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267</v>
      </c>
      <c r="O152" s="13">
        <f>N152*VLOOKUP('Données projet'!$B$9,Paramètres!$A$1:$I$89,3,0)*VLOOKUP('Données projet'!$B$9,Paramètres!$A$1:$I$89,5,0)</f>
        <v>241.58159999999998</v>
      </c>
      <c r="P152" s="13">
        <f t="shared" si="141"/>
        <v>58.779689232021951</v>
      </c>
      <c r="Q152" s="20">
        <f t="shared" si="108"/>
        <v>523.12924541243819</v>
      </c>
      <c r="R152" s="59">
        <f t="shared" si="109"/>
        <v>816.46257874577145</v>
      </c>
      <c r="S152" s="59">
        <f ca="1">AVERAGE(OFFSET($R$3,0,0,'Données projet'!$E$9+1,1))-AVERAGE(OFFSET($H$3,0,0,'Données projet'!$E$9+1,1))</f>
        <v>364.3481978218424</v>
      </c>
      <c r="T152" s="59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38.549152016621512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38.549152016621512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636.99999999999977</v>
      </c>
      <c r="AJ152" s="13">
        <f>AI152*VLOOKUP('Données projet'!$B$10,Paramètres!$A$1:$I$89,3,0)*VLOOKUP('Données projet'!$B$10,Paramètres!$A$1:$I$89,5,0)</f>
        <v>356.08299999999991</v>
      </c>
      <c r="AK152" s="13">
        <f t="shared" si="143"/>
        <v>82.813805255716545</v>
      </c>
      <c r="AL152" s="20">
        <f t="shared" si="112"/>
        <v>764.41193582037283</v>
      </c>
      <c r="AM152" s="59">
        <f t="shared" si="113"/>
        <v>1057.7452691537062</v>
      </c>
      <c r="AN152" s="59">
        <f ca="1">AVERAGE(OFFSET($AM$3,0,0,'Données projet'!$E$10+1,1))-AVERAGE(OFFSET($H$3,0,0,'Données projet'!$E$10+1,1))</f>
        <v>443.34220761968419</v>
      </c>
      <c r="AO152" s="59">
        <f t="shared" si="144"/>
        <v>546.58234447298014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16.770823263633307</v>
      </c>
      <c r="AV152" s="21">
        <f>EXP(-LN(2)/25)*AV151+(1-EXP(-LN(2)/25))/(LN(2)/25)*Calculateur!AQ152*Calculateur!AS152*VLOOKUP('Données projet'!$B$10,Paramètres!$A$1:$I$89,3,0)*0.475*44/12</f>
        <v>0.80961859839747086</v>
      </c>
      <c r="AW152" s="21">
        <f>EXP(-LN(2)/2)*AW151+(1-EXP(-LN(2)/2))/(LN(2)/2)*AQ152*AT152*VLOOKUP('Données projet'!$B$10,Paramètres!$A$1:$I$89,3,0)*0.475*44/12</f>
        <v>7.4110778566812889E-18</v>
      </c>
      <c r="AX152" s="21">
        <f t="shared" si="114"/>
        <v>17.580441862030778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403.99999999999989</v>
      </c>
      <c r="BE152" s="13">
        <f>BD152*VLOOKUP('Données projet'!$B$11,Paramètres!$A$1:$I$89,3,0)*VLOOKUP('Données projet'!$B$11,Paramètres!$A$1:$I$89,5,0)</f>
        <v>346.63199999999995</v>
      </c>
      <c r="BF152" s="13">
        <f t="shared" si="145"/>
        <v>80.868615263336864</v>
      </c>
      <c r="BG152" s="20">
        <f t="shared" si="115"/>
        <v>744.56357158364483</v>
      </c>
      <c r="BH152" s="59">
        <f t="shared" si="116"/>
        <v>1037.8969049169782</v>
      </c>
      <c r="BI152" s="59">
        <f ca="1">AVERAGE(OFFSET($BH$3,0,0,'Données projet'!$E$11+1,1))-AVERAGE(OFFSET($H$3,0,0,'Données projet'!$E$11+1,1))</f>
        <v>447.15627913956871</v>
      </c>
      <c r="BJ152" s="59">
        <f t="shared" si="146"/>
        <v>256.77417912163997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56.283717489005703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56.283717489005703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245.99999999999994</v>
      </c>
      <c r="BZ152" s="13">
        <f>BY152*VLOOKUP('Données projet'!$B$12,Paramètres!$A$1:$I$89,3,0)*VLOOKUP('Données projet'!$B$12,Paramètres!$A$1:$I$89,5,0)</f>
        <v>234.09359999999998</v>
      </c>
      <c r="CA152" s="13">
        <f t="shared" si="147"/>
        <v>57.166902703920208</v>
      </c>
      <c r="CB152" s="20">
        <f t="shared" si="118"/>
        <v>507.27870887599425</v>
      </c>
      <c r="CC152" s="59">
        <f t="shared" si="119"/>
        <v>800.61204220932757</v>
      </c>
      <c r="CD152" s="59">
        <f ca="1">AVERAGE(OFFSET($CC$3,0,0,'Données projet'!$E$12+1,1))-AVERAGE(OFFSET($H$3,0,0,'Données projet'!$E$12+1,1))</f>
        <v>448.94764480536713</v>
      </c>
      <c r="CE152" s="59">
        <f t="shared" si="148"/>
        <v>469.26760321719695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39.769051961814355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39.769051961814355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187.80389738728508</v>
      </c>
      <c r="CZ152" s="59">
        <f t="shared" si="150"/>
        <v>439.28159165815265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11.700371566652667</v>
      </c>
      <c r="DG152" s="21">
        <f>EXP(-LN(2)/25)*DG151+(1-EXP(-LN(2)/25))/(LN(2)/25)*Calculateur!DB152*Calculateur!DD152*VLOOKUP('Données projet'!$B$13,Paramètres!$A$1:$I$89,3,0)*0.475*44/12</f>
        <v>0.53060928519768602</v>
      </c>
      <c r="DH152" s="21">
        <f>EXP(-LN(2)/2)*DH151+(1-EXP(-LN(2)/2))/(LN(2)/2)*DB152*DE152*VLOOKUP('Données projet'!$B$13,Paramètres!$A$1:$I$89,3,0)*0.475*44/12</f>
        <v>5.5151958243676612E-20</v>
      </c>
      <c r="DI152" s="22">
        <f t="shared" si="123"/>
        <v>12.230980851850353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255.00000000000006</v>
      </c>
      <c r="DP152" s="17">
        <f>DO152*VLOOKUP('Données projet'!$B$14,Paramètres!$A$1:$I$89,3,0)*VLOOKUP('Données projet'!$B$14,Paramètres!$A$1:$I$89,5,0)</f>
        <v>186.96600000000004</v>
      </c>
      <c r="DQ152" s="13">
        <f t="shared" si="151"/>
        <v>46.868551400324648</v>
      </c>
      <c r="DR152" s="20">
        <f t="shared" si="124"/>
        <v>407.26184368889881</v>
      </c>
      <c r="DS152" s="59">
        <f t="shared" si="125"/>
        <v>700.59517702223206</v>
      </c>
      <c r="DT152" s="59">
        <f ca="1">AVERAGE(OFFSET($DS$3,0,0,'Données projet'!$E$14+1,1))-AVERAGE(OFFSET($H$3,0,0,'Données projet'!$E$14+1,1))</f>
        <v>239.25212250019609</v>
      </c>
      <c r="DU152" s="59">
        <f t="shared" si="152"/>
        <v>213.58492101729695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689</v>
      </c>
      <c r="EK152" s="17">
        <f>EJ152*VLOOKUP('Données projet'!$B$15,Paramètres!$A$1:$I$89,3,0)*VLOOKUP('Données projet'!$B$15,Paramètres!$A$1:$I$89,5,0)</f>
        <v>412.02199999999999</v>
      </c>
      <c r="EL152" s="13">
        <f t="shared" si="153"/>
        <v>94.209724877926391</v>
      </c>
      <c r="EM152" s="20">
        <f t="shared" si="127"/>
        <v>881.686920829055</v>
      </c>
      <c r="EN152" s="59">
        <f t="shared" si="128"/>
        <v>1175.0202541623883</v>
      </c>
      <c r="EO152" s="59">
        <f ca="1">AVERAGE(OFFSET($EN$3,0,0,'Données projet'!$E$15+1,1))-AVERAGE(OFFSET($H$3,0,0,'Données projet'!$E$15+1,1))</f>
        <v>504.81063008331739</v>
      </c>
      <c r="EP152" s="59">
        <f t="shared" si="154"/>
        <v>441.82647565372287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24.95724692519855</v>
      </c>
      <c r="EW152" s="21">
        <f>EXP(-LN(2)/25)*EW151+(1-EXP(-LN(2)/25))/(LN(2)/25)*Calculateur!ER152*Calculateur!ET152*VLOOKUP('Données projet'!$B$15,Paramètres!$A$1:$I$89,3,0)*0.475*44/12</f>
        <v>2.1729982991798553</v>
      </c>
      <c r="EX152" s="21">
        <f>EXP(-LN(2)/2)*EX151+(1-EXP(-LN(2)/2))/(LN(2)/2)*ER152*EU152*VLOOKUP('Données projet'!$B$15,Paramètres!$A$1:$I$89,3,0)*0.475*44/12</f>
        <v>6.4232533103234716E-20</v>
      </c>
      <c r="EY152" s="22">
        <f t="shared" si="129"/>
        <v>27.130245224378406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541.99999999999989</v>
      </c>
      <c r="FF152" s="17">
        <f>FE152*VLOOKUP('Données projet'!$B$16,Paramètres!$A$1:$I$89,3,0)*VLOOKUP('Données projet'!$B$16,Paramètres!$A$1:$I$89,5,0)</f>
        <v>310.02399999999994</v>
      </c>
      <c r="FG152" s="13">
        <f t="shared" si="155"/>
        <v>73.27384230442388</v>
      </c>
      <c r="FH152" s="20">
        <f t="shared" si="130"/>
        <v>667.57707534687154</v>
      </c>
      <c r="FI152" s="59">
        <f t="shared" si="131"/>
        <v>960.91040868020491</v>
      </c>
      <c r="FJ152" s="59">
        <f ca="1">AVERAGE(OFFSET($FI$3,0,0,'Données projet'!$E$16+1,1))-AVERAGE(OFFSET($H$3,0,0,'Données projet'!$E$16+1,1))</f>
        <v>393.41577134252316</v>
      </c>
      <c r="FK152" s="59">
        <f t="shared" si="156"/>
        <v>255.54039659391475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29.223805269618268</v>
      </c>
      <c r="FR152" s="21">
        <f>EXP(-LN(2)/25)*FR151+(1-EXP(-LN(2)/25))/(LN(2)/25)*Calculateur!FM152*Calculateur!FO152*VLOOKUP('Données projet'!$B$16,Paramètres!$A$1:$I$89,3,0)*0.475*44/12</f>
        <v>0.98614210948947456</v>
      </c>
      <c r="FS152" s="21">
        <f>EXP(-LN(2)/2)*FS151+(1-EXP(-LN(2)/2))/(LN(2)/2)*FM152*FP152*VLOOKUP('Données projet'!$B$16,Paramètres!$A$1:$I$89,3,0)*0.475*44/12</f>
        <v>4.4685781001526225E-19</v>
      </c>
      <c r="FT152" s="22">
        <f t="shared" si="132"/>
        <v>30.209947379107742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853.00000000000011</v>
      </c>
      <c r="GA152" s="17">
        <f>FZ152*VLOOKUP('Données projet'!$B$17,Paramètres!$A$1:$I$89,3,0)*VLOOKUP('Données projet'!$B$17,Paramètres!$A$1:$I$89,5,0)</f>
        <v>399.20400000000006</v>
      </c>
      <c r="GB152" s="13">
        <f t="shared" si="157"/>
        <v>91.615269732888521</v>
      </c>
      <c r="GC152" s="20">
        <f t="shared" si="133"/>
        <v>854.8435614514475</v>
      </c>
      <c r="GD152" s="59">
        <f t="shared" si="134"/>
        <v>1148.1768947847809</v>
      </c>
      <c r="GE152" s="59">
        <f ca="1">AVERAGE(OFFSET($GD$3,0,0,'Données projet'!$E$17+1,1))-AVERAGE(OFFSET($H$3,0,0,'Données projet'!$E$17+1,1))</f>
        <v>488.67934252295686</v>
      </c>
      <c r="GF152" s="59">
        <f t="shared" si="158"/>
        <v>424.50324471331095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35.341150922122722</v>
      </c>
      <c r="GM152" s="21">
        <f>EXP(-LN(2)/25)*GM151+(1-EXP(-LN(2)/25))/(LN(2)/25)*Calculateur!GH152*Calculateur!GJ152*VLOOKUP('Données projet'!$B$17,Paramètres!$A$1:$I$89,3,0)*0.475*44/12</f>
        <v>1.8079272007307043</v>
      </c>
      <c r="GN152" s="21">
        <f>EXP(-LN(2)/2)*GN151+(1-EXP(-LN(2)/2))/(LN(2)/2)*GH152*GK152*VLOOKUP('Données projet'!$B$17,Paramètres!$A$1:$I$89,3,0)*0.475*44/12</f>
        <v>9.9527421321581106E-19</v>
      </c>
      <c r="GO152" s="21">
        <f t="shared" si="135"/>
        <v>37.149078122853425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789</v>
      </c>
      <c r="GV152" s="17">
        <f>GU152*VLOOKUP('Données projet'!$B$18,Paramètres!$A$1:$I$89,3,0)*VLOOKUP('Données projet'!$B$18,Paramètres!$A$1:$I$89,5,0)</f>
        <v>379.50900000000001</v>
      </c>
      <c r="GW152" s="13">
        <f t="shared" si="159"/>
        <v>87.609801106074272</v>
      </c>
      <c r="GX152" s="20">
        <f t="shared" si="136"/>
        <v>813.56524525974601</v>
      </c>
      <c r="GY152" s="59">
        <f t="shared" si="137"/>
        <v>1106.8985785930793</v>
      </c>
      <c r="GZ152" s="59">
        <f ca="1">AVERAGE(OFFSET($GY$3,0,0,'Données projet'!$E$18+1,1))-AVERAGE(OFFSET($H$3,0,0,'Données projet'!$E$18+1,1))</f>
        <v>458.80976193248841</v>
      </c>
      <c r="HA152" s="59">
        <f t="shared" si="160"/>
        <v>396.07405370178759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35.785666768010806</v>
      </c>
      <c r="HH152" s="21">
        <f>EXP(-LN(2)/25)*HH151+(1-EXP(-LN(2)/25))/(LN(2)/25)*Calculateur!HC152*Calculateur!HE152*VLOOKUP('Données projet'!$B$18,Paramètres!$A$1:$I$89,3,0)*0.475*44/12</f>
        <v>1.6892249097736391</v>
      </c>
      <c r="HI152" s="21">
        <f>EXP(-LN(2)/2)*HI151+(1-EXP(-LN(2)/2))/(LN(2)/2)*HC152*HF152*VLOOKUP('Données projet'!$B$18,Paramètres!$A$1:$I$89,3,0)*0.475*44/12</f>
        <v>4.5927052696013099E-19</v>
      </c>
      <c r="HJ152" s="22">
        <f t="shared" si="138"/>
        <v>37.474891677784449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267</v>
      </c>
      <c r="O153" s="13">
        <f>N153*VLOOKUP('Données projet'!$B$9,Paramètres!$A$1:$I$89,3,0)*VLOOKUP('Données projet'!$B$9,Paramètres!$A$1:$I$89,5,0)</f>
        <v>241.58159999999998</v>
      </c>
      <c r="P153" s="13">
        <f t="shared" si="141"/>
        <v>58.779689232021951</v>
      </c>
      <c r="Q153" s="20">
        <f t="shared" si="108"/>
        <v>523.12924541243819</v>
      </c>
      <c r="R153" s="59">
        <f t="shared" si="109"/>
        <v>816.46257874577145</v>
      </c>
      <c r="S153" s="59">
        <f ca="1">AVERAGE(OFFSET($R$3,0,0,'Données projet'!$E$9+1,1))-AVERAGE(OFFSET($H$3,0,0,'Données projet'!$E$9+1,1))</f>
        <v>364.3481978218424</v>
      </c>
      <c r="T153" s="59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37.793226658236613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37.793226658236613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636.99999999999977</v>
      </c>
      <c r="AJ153" s="13">
        <f>AI153*VLOOKUP('Données projet'!$B$10,Paramètres!$A$1:$I$89,3,0)*VLOOKUP('Données projet'!$B$10,Paramètres!$A$1:$I$89,5,0)</f>
        <v>356.08299999999991</v>
      </c>
      <c r="AK153" s="13">
        <f t="shared" si="143"/>
        <v>82.813805255716545</v>
      </c>
      <c r="AL153" s="20">
        <f t="shared" si="112"/>
        <v>764.41193582037283</v>
      </c>
      <c r="AM153" s="59">
        <f t="shared" si="113"/>
        <v>1057.7452691537062</v>
      </c>
      <c r="AN153" s="59">
        <f ca="1">AVERAGE(OFFSET($AM$3,0,0,'Données projet'!$E$10+1,1))-AVERAGE(OFFSET($H$3,0,0,'Données projet'!$E$10+1,1))</f>
        <v>443.34220761968419</v>
      </c>
      <c r="AO153" s="59">
        <f t="shared" si="144"/>
        <v>546.58234447298014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16.4419576486256</v>
      </c>
      <c r="AV153" s="21">
        <f>EXP(-LN(2)/25)*AV152+(1-EXP(-LN(2)/25))/(LN(2)/25)*Calculateur!AQ153*Calculateur!AS153*VLOOKUP('Données projet'!$B$10,Paramètres!$A$1:$I$89,3,0)*0.475*44/12</f>
        <v>0.78747953524830039</v>
      </c>
      <c r="AW153" s="21">
        <f>EXP(-LN(2)/2)*AW152+(1-EXP(-LN(2)/2))/(LN(2)/2)*AQ153*AT153*VLOOKUP('Données projet'!$B$10,Paramètres!$A$1:$I$89,3,0)*0.475*44/12</f>
        <v>5.2404234083608039E-18</v>
      </c>
      <c r="AX153" s="21">
        <f t="shared" si="114"/>
        <v>17.229437183873902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403.99999999999989</v>
      </c>
      <c r="BE153" s="13">
        <f>BD153*VLOOKUP('Données projet'!$B$11,Paramètres!$A$1:$I$89,3,0)*VLOOKUP('Données projet'!$B$11,Paramètres!$A$1:$I$89,5,0)</f>
        <v>346.63199999999995</v>
      </c>
      <c r="BF153" s="13">
        <f t="shared" si="145"/>
        <v>80.868615263336864</v>
      </c>
      <c r="BG153" s="20">
        <f t="shared" si="115"/>
        <v>744.56357158364483</v>
      </c>
      <c r="BH153" s="59">
        <f t="shared" si="116"/>
        <v>1037.8969049169782</v>
      </c>
      <c r="BI153" s="59">
        <f ca="1">AVERAGE(OFFSET($BH$3,0,0,'Données projet'!$E$11+1,1))-AVERAGE(OFFSET($H$3,0,0,'Données projet'!$E$11+1,1))</f>
        <v>447.15627913956871</v>
      </c>
      <c r="BJ153" s="59">
        <f t="shared" si="146"/>
        <v>256.77417912163997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55.180028118724195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55.180028118724195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245.99999999999994</v>
      </c>
      <c r="BZ153" s="13">
        <f>BY153*VLOOKUP('Données projet'!$B$12,Paramètres!$A$1:$I$89,3,0)*VLOOKUP('Données projet'!$B$12,Paramètres!$A$1:$I$89,5,0)</f>
        <v>234.09359999999998</v>
      </c>
      <c r="CA153" s="13">
        <f t="shared" si="147"/>
        <v>57.166902703920208</v>
      </c>
      <c r="CB153" s="20">
        <f t="shared" si="118"/>
        <v>507.27870887599425</v>
      </c>
      <c r="CC153" s="59">
        <f t="shared" si="119"/>
        <v>800.61204220932757</v>
      </c>
      <c r="CD153" s="59">
        <f ca="1">AVERAGE(OFFSET($CC$3,0,0,'Données projet'!$E$12+1,1))-AVERAGE(OFFSET($H$3,0,0,'Données projet'!$E$12+1,1))</f>
        <v>448.94764480536713</v>
      </c>
      <c r="CE153" s="59">
        <f t="shared" si="148"/>
        <v>469.26760321719695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38.989205109569717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38.989205109569717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187.80389738728508</v>
      </c>
      <c r="CZ153" s="59">
        <f t="shared" si="150"/>
        <v>439.28159165815265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11.470934416752591</v>
      </c>
      <c r="DG153" s="21">
        <f>EXP(-LN(2)/25)*DG152+(1-EXP(-LN(2)/25))/(LN(2)/25)*Calculateur!DB153*Calculateur!DD153*VLOOKUP('Données projet'!$B$13,Paramètres!$A$1:$I$89,3,0)*0.475*44/12</f>
        <v>0.51609974639042566</v>
      </c>
      <c r="DH153" s="21">
        <f>EXP(-LN(2)/2)*DH152+(1-EXP(-LN(2)/2))/(LN(2)/2)*DB153*DE153*VLOOKUP('Données projet'!$B$13,Paramètres!$A$1:$I$89,3,0)*0.475*44/12</f>
        <v>3.8998323669821044E-20</v>
      </c>
      <c r="DI153" s="22">
        <f t="shared" si="123"/>
        <v>11.987034163143017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255.00000000000006</v>
      </c>
      <c r="DP153" s="17">
        <f>DO153*VLOOKUP('Données projet'!$B$14,Paramètres!$A$1:$I$89,3,0)*VLOOKUP('Données projet'!$B$14,Paramètres!$A$1:$I$89,5,0)</f>
        <v>186.96600000000004</v>
      </c>
      <c r="DQ153" s="13">
        <f t="shared" si="151"/>
        <v>46.868551400324648</v>
      </c>
      <c r="DR153" s="20">
        <f t="shared" si="124"/>
        <v>407.26184368889881</v>
      </c>
      <c r="DS153" s="59">
        <f t="shared" si="125"/>
        <v>700.59517702223206</v>
      </c>
      <c r="DT153" s="59">
        <f ca="1">AVERAGE(OFFSET($DS$3,0,0,'Données projet'!$E$14+1,1))-AVERAGE(OFFSET($H$3,0,0,'Données projet'!$E$14+1,1))</f>
        <v>239.25212250019609</v>
      </c>
      <c r="DU153" s="59">
        <f t="shared" si="152"/>
        <v>213.58492101729695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689</v>
      </c>
      <c r="EK153" s="17">
        <f>EJ153*VLOOKUP('Données projet'!$B$15,Paramètres!$A$1:$I$89,3,0)*VLOOKUP('Données projet'!$B$15,Paramètres!$A$1:$I$89,5,0)</f>
        <v>412.02199999999999</v>
      </c>
      <c r="EL153" s="13">
        <f t="shared" si="153"/>
        <v>94.209724877926391</v>
      </c>
      <c r="EM153" s="20">
        <f t="shared" si="127"/>
        <v>881.686920829055</v>
      </c>
      <c r="EN153" s="59">
        <f t="shared" si="128"/>
        <v>1175.0202541623883</v>
      </c>
      <c r="EO153" s="59">
        <f ca="1">AVERAGE(OFFSET($EN$3,0,0,'Données projet'!$E$15+1,1))-AVERAGE(OFFSET($H$3,0,0,'Données projet'!$E$15+1,1))</f>
        <v>504.81063008331739</v>
      </c>
      <c r="EP153" s="59">
        <f t="shared" si="154"/>
        <v>441.82647565372287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24.467850535412943</v>
      </c>
      <c r="EW153" s="21">
        <f>EXP(-LN(2)/25)*EW152+(1-EXP(-LN(2)/25))/(LN(2)/25)*Calculateur!ER153*Calculateur!ET153*VLOOKUP('Données projet'!$B$15,Paramètres!$A$1:$I$89,3,0)*0.475*44/12</f>
        <v>2.113577546415768</v>
      </c>
      <c r="EX153" s="21">
        <f>EXP(-LN(2)/2)*EX152+(1-EXP(-LN(2)/2))/(LN(2)/2)*ER153*EU153*VLOOKUP('Données projet'!$B$15,Paramètres!$A$1:$I$89,3,0)*0.475*44/12</f>
        <v>4.5419259730086661E-20</v>
      </c>
      <c r="EY153" s="22">
        <f t="shared" si="129"/>
        <v>26.581428081828712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541.99999999999989</v>
      </c>
      <c r="FF153" s="17">
        <f>FE153*VLOOKUP('Données projet'!$B$16,Paramètres!$A$1:$I$89,3,0)*VLOOKUP('Données projet'!$B$16,Paramètres!$A$1:$I$89,5,0)</f>
        <v>310.02399999999994</v>
      </c>
      <c r="FG153" s="13">
        <f t="shared" si="155"/>
        <v>73.27384230442388</v>
      </c>
      <c r="FH153" s="20">
        <f t="shared" si="130"/>
        <v>667.57707534687154</v>
      </c>
      <c r="FI153" s="59">
        <f t="shared" si="131"/>
        <v>960.91040868020491</v>
      </c>
      <c r="FJ153" s="59">
        <f ca="1">AVERAGE(OFFSET($FI$3,0,0,'Données projet'!$E$16+1,1))-AVERAGE(OFFSET($H$3,0,0,'Données projet'!$E$16+1,1))</f>
        <v>393.41577134252316</v>
      </c>
      <c r="FK153" s="59">
        <f t="shared" si="156"/>
        <v>255.54039659391475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28.650744273042218</v>
      </c>
      <c r="FR153" s="21">
        <f>EXP(-LN(2)/25)*FR152+(1-EXP(-LN(2)/25))/(LN(2)/25)*Calculateur!FM153*Calculateur!FO153*VLOOKUP('Données projet'!$B$16,Paramètres!$A$1:$I$89,3,0)*0.475*44/12</f>
        <v>0.95917600164652517</v>
      </c>
      <c r="FS153" s="21">
        <f>EXP(-LN(2)/2)*FS152+(1-EXP(-LN(2)/2))/(LN(2)/2)*FM153*FP153*VLOOKUP('Données projet'!$B$16,Paramètres!$A$1:$I$89,3,0)*0.475*44/12</f>
        <v>3.1597618768796187E-19</v>
      </c>
      <c r="FT153" s="22">
        <f t="shared" si="132"/>
        <v>29.609920274688744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853.00000000000011</v>
      </c>
      <c r="GA153" s="17">
        <f>FZ153*VLOOKUP('Données projet'!$B$17,Paramètres!$A$1:$I$89,3,0)*VLOOKUP('Données projet'!$B$17,Paramètres!$A$1:$I$89,5,0)</f>
        <v>399.20400000000006</v>
      </c>
      <c r="GB153" s="13">
        <f t="shared" si="157"/>
        <v>91.615269732888521</v>
      </c>
      <c r="GC153" s="20">
        <f t="shared" si="133"/>
        <v>854.8435614514475</v>
      </c>
      <c r="GD153" s="59">
        <f t="shared" si="134"/>
        <v>1148.1768947847809</v>
      </c>
      <c r="GE153" s="59">
        <f ca="1">AVERAGE(OFFSET($GD$3,0,0,'Données projet'!$E$17+1,1))-AVERAGE(OFFSET($H$3,0,0,'Données projet'!$E$17+1,1))</f>
        <v>488.67934252295686</v>
      </c>
      <c r="GF153" s="59">
        <f t="shared" si="158"/>
        <v>424.50324471331095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34.648132508513484</v>
      </c>
      <c r="GM153" s="21">
        <f>EXP(-LN(2)/25)*GM152+(1-EXP(-LN(2)/25))/(LN(2)/25)*Calculateur!GH153*Calculateur!GJ153*VLOOKUP('Données projet'!$B$17,Paramètres!$A$1:$I$89,3,0)*0.475*44/12</f>
        <v>1.7584893363519638</v>
      </c>
      <c r="GN153" s="21">
        <f>EXP(-LN(2)/2)*GN152+(1-EXP(-LN(2)/2))/(LN(2)/2)*GH153*GK153*VLOOKUP('Données projet'!$B$17,Paramètres!$A$1:$I$89,3,0)*0.475*44/12</f>
        <v>7.0376514530500578E-19</v>
      </c>
      <c r="GO153" s="21">
        <f t="shared" si="135"/>
        <v>36.406621844865448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789</v>
      </c>
      <c r="GV153" s="17">
        <f>GU153*VLOOKUP('Données projet'!$B$18,Paramètres!$A$1:$I$89,3,0)*VLOOKUP('Données projet'!$B$18,Paramètres!$A$1:$I$89,5,0)</f>
        <v>379.50900000000001</v>
      </c>
      <c r="GW153" s="13">
        <f t="shared" si="159"/>
        <v>87.609801106074272</v>
      </c>
      <c r="GX153" s="20">
        <f t="shared" si="136"/>
        <v>813.56524525974601</v>
      </c>
      <c r="GY153" s="59">
        <f t="shared" si="137"/>
        <v>1106.8985785930793</v>
      </c>
      <c r="GZ153" s="59">
        <f ca="1">AVERAGE(OFFSET($GY$3,0,0,'Données projet'!$E$18+1,1))-AVERAGE(OFFSET($H$3,0,0,'Données projet'!$E$18+1,1))</f>
        <v>458.80976193248841</v>
      </c>
      <c r="HA153" s="59">
        <f t="shared" si="160"/>
        <v>396.07405370178759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35.083931669791596</v>
      </c>
      <c r="HH153" s="21">
        <f>EXP(-LN(2)/25)*HH152+(1-EXP(-LN(2)/25))/(LN(2)/25)*Calculateur!HC153*Calculateur!HE153*VLOOKUP('Données projet'!$B$18,Paramètres!$A$1:$I$89,3,0)*0.475*44/12</f>
        <v>1.6430329657834017</v>
      </c>
      <c r="HI153" s="21">
        <f>EXP(-LN(2)/2)*HI152+(1-EXP(-LN(2)/2))/(LN(2)/2)*HC153*HF153*VLOOKUP('Données projet'!$B$18,Paramètres!$A$1:$I$89,3,0)*0.475*44/12</f>
        <v>3.2475330401262772E-19</v>
      </c>
      <c r="HJ153" s="22">
        <f t="shared" si="138"/>
        <v>36.726964635575001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267</v>
      </c>
      <c r="O154" s="13">
        <f>N154*VLOOKUP('Données projet'!$B$9,Paramètres!$A$1:$I$89,3,0)*VLOOKUP('Données projet'!$B$9,Paramètres!$A$1:$I$89,5,0)</f>
        <v>241.58159999999998</v>
      </c>
      <c r="P154" s="13">
        <f t="shared" si="141"/>
        <v>58.779689232021951</v>
      </c>
      <c r="Q154" s="20">
        <f t="shared" ref="Q154:Q203" si="162">(O154+P154)*0.475*44/12</f>
        <v>523.12924541243819</v>
      </c>
      <c r="R154" s="59">
        <f t="shared" si="109"/>
        <v>816.46257874577145</v>
      </c>
      <c r="S154" s="59">
        <f ca="1">AVERAGE(OFFSET($R$3,0,0,'Données projet'!$E$9+1,1))-AVERAGE(OFFSET($H$3,0,0,'Données projet'!$E$9+1,1))</f>
        <v>364.3481978218424</v>
      </c>
      <c r="T154" s="59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37.052124535060699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37.052124535060699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636.99999999999977</v>
      </c>
      <c r="AJ154" s="13">
        <f>AI154*VLOOKUP('Données projet'!$B$10,Paramètres!$A$1:$I$89,3,0)*VLOOKUP('Données projet'!$B$10,Paramètres!$A$1:$I$89,5,0)</f>
        <v>356.08299999999991</v>
      </c>
      <c r="AK154" s="13">
        <f t="shared" ref="AK154:AK203" si="164">EXP(-1.0587+0.8836*LN(AJ154)+0.284)</f>
        <v>82.813805255716545</v>
      </c>
      <c r="AL154" s="20">
        <f t="shared" ref="AL154:AL203" si="165">(AJ154+AK154)*0.475*44/12</f>
        <v>764.41193582037283</v>
      </c>
      <c r="AM154" s="59">
        <f t="shared" si="113"/>
        <v>1057.7452691537062</v>
      </c>
      <c r="AN154" s="59">
        <f ca="1">AVERAGE(OFFSET($AM$3,0,0,'Données projet'!$E$10+1,1))-AVERAGE(OFFSET($H$3,0,0,'Données projet'!$E$10+1,1))</f>
        <v>443.34220761968419</v>
      </c>
      <c r="AO154" s="59">
        <f t="shared" si="144"/>
        <v>546.58234447298014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16.119540887739976</v>
      </c>
      <c r="AV154" s="21">
        <f>EXP(-LN(2)/25)*AV153+(1-EXP(-LN(2)/25))/(LN(2)/25)*Calculateur!AQ154*Calculateur!AS154*VLOOKUP('Données projet'!$B$10,Paramètres!$A$1:$I$89,3,0)*0.475*44/12</f>
        <v>0.76594586594518665</v>
      </c>
      <c r="AW154" s="21">
        <f>EXP(-LN(2)/2)*AW153+(1-EXP(-LN(2)/2))/(LN(2)/2)*AQ154*AT154*VLOOKUP('Données projet'!$B$10,Paramètres!$A$1:$I$89,3,0)*0.475*44/12</f>
        <v>3.7055389283406445E-18</v>
      </c>
      <c r="AX154" s="21">
        <f t="shared" ref="AX154:AX203" si="166">SUM(AU154:AW154)</f>
        <v>16.885486753685164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403.99999999999989</v>
      </c>
      <c r="BE154" s="13">
        <f>BD154*VLOOKUP('Données projet'!$B$11,Paramètres!$A$1:$I$89,3,0)*VLOOKUP('Données projet'!$B$11,Paramètres!$A$1:$I$89,5,0)</f>
        <v>346.63199999999995</v>
      </c>
      <c r="BF154" s="13">
        <f t="shared" ref="BF154:BF203" si="167">EXP(-1.0587+0.8836*LN(BE154)+0.284)</f>
        <v>80.868615263336864</v>
      </c>
      <c r="BG154" s="20">
        <f t="shared" ref="BG154:BG203" si="168">(BE154+BF154)*0.475*44/12</f>
        <v>744.56357158364483</v>
      </c>
      <c r="BH154" s="59">
        <f t="shared" si="116"/>
        <v>1037.8969049169782</v>
      </c>
      <c r="BI154" s="59">
        <f ca="1">AVERAGE(OFFSET($BH$3,0,0,'Données projet'!$E$11+1,1))-AVERAGE(OFFSET($H$3,0,0,'Données projet'!$E$11+1,1))</f>
        <v>447.15627913956871</v>
      </c>
      <c r="BJ154" s="59">
        <f t="shared" si="146"/>
        <v>256.77417912163997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54.097981423809863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54.097981423809863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245.99999999999994</v>
      </c>
      <c r="BZ154" s="13">
        <f>BY154*VLOOKUP('Données projet'!$B$12,Paramètres!$A$1:$I$89,3,0)*VLOOKUP('Données projet'!$B$12,Paramètres!$A$1:$I$89,5,0)</f>
        <v>234.09359999999998</v>
      </c>
      <c r="CA154" s="13">
        <f t="shared" ref="CA154:CA203" si="170">EXP(-1.0587+0.8836*LN(BZ154)+0.284)</f>
        <v>57.166902703920208</v>
      </c>
      <c r="CB154" s="20">
        <f t="shared" ref="CB154:CB203" si="171">(BZ154+CA154)*0.475*44/12</f>
        <v>507.27870887599425</v>
      </c>
      <c r="CC154" s="59">
        <f t="shared" si="119"/>
        <v>800.61204220932757</v>
      </c>
      <c r="CD154" s="59">
        <f ca="1">AVERAGE(OFFSET($CC$3,0,0,'Données projet'!$E$12+1,1))-AVERAGE(OFFSET($H$3,0,0,'Données projet'!$E$12+1,1))</f>
        <v>448.94764480536713</v>
      </c>
      <c r="CE154" s="59">
        <f t="shared" si="148"/>
        <v>469.26760321719695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38.224650578437988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38.224650578437988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187.80389738728508</v>
      </c>
      <c r="CZ154" s="59">
        <f t="shared" si="150"/>
        <v>439.28159165815265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11.245996389419213</v>
      </c>
      <c r="DG154" s="21">
        <f>EXP(-LN(2)/25)*DG153+(1-EXP(-LN(2)/25))/(LN(2)/25)*Calculateur!DB154*Calculateur!DD154*VLOOKUP('Données projet'!$B$13,Paramètres!$A$1:$I$89,3,0)*0.475*44/12</f>
        <v>0.50198697168487338</v>
      </c>
      <c r="DH154" s="21">
        <f>EXP(-LN(2)/2)*DH153+(1-EXP(-LN(2)/2))/(LN(2)/2)*DB154*DE154*VLOOKUP('Données projet'!$B$13,Paramètres!$A$1:$I$89,3,0)*0.475*44/12</f>
        <v>2.7575979121838306E-20</v>
      </c>
      <c r="DI154" s="22">
        <f t="shared" ref="DI154:DI203" si="175">SUM(DF154:DH154)</f>
        <v>11.747983361104087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255.00000000000006</v>
      </c>
      <c r="DP154" s="17">
        <f>DO154*VLOOKUP('Données projet'!$B$14,Paramètres!$A$1:$I$89,3,0)*VLOOKUP('Données projet'!$B$14,Paramètres!$A$1:$I$89,5,0)</f>
        <v>186.96600000000004</v>
      </c>
      <c r="DQ154" s="13">
        <f t="shared" ref="DQ154:DQ203" si="176">EXP(-1.0587+0.8836*LN(DP154)+0.284)</f>
        <v>46.868551400324648</v>
      </c>
      <c r="DR154" s="20">
        <f t="shared" ref="DR154:DR203" si="177">(DP154+DQ154)*0.475*44/12</f>
        <v>407.26184368889881</v>
      </c>
      <c r="DS154" s="59">
        <f t="shared" si="125"/>
        <v>700.59517702223206</v>
      </c>
      <c r="DT154" s="59">
        <f ca="1">AVERAGE(OFFSET($DS$3,0,0,'Données projet'!$E$14+1,1))-AVERAGE(OFFSET($H$3,0,0,'Données projet'!$E$14+1,1))</f>
        <v>239.25212250019609</v>
      </c>
      <c r="DU154" s="59">
        <f t="shared" si="152"/>
        <v>213.58492101729695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689</v>
      </c>
      <c r="EK154" s="17">
        <f>EJ154*VLOOKUP('Données projet'!$B$15,Paramètres!$A$1:$I$89,3,0)*VLOOKUP('Données projet'!$B$15,Paramètres!$A$1:$I$89,5,0)</f>
        <v>412.02199999999999</v>
      </c>
      <c r="EL154" s="13">
        <f t="shared" ref="EL154:EL203" si="179">EXP(-1.0587+0.8836*LN(EK154)+0.284)</f>
        <v>94.209724877926391</v>
      </c>
      <c r="EM154" s="20">
        <f t="shared" ref="EM154:EM203" si="180">(EK154+EL154)*0.475*44/12</f>
        <v>881.686920829055</v>
      </c>
      <c r="EN154" s="59">
        <f t="shared" si="128"/>
        <v>1175.0202541623883</v>
      </c>
      <c r="EO154" s="59">
        <f ca="1">AVERAGE(OFFSET($EN$3,0,0,'Données projet'!$E$15+1,1))-AVERAGE(OFFSET($H$3,0,0,'Données projet'!$E$15+1,1))</f>
        <v>504.81063008331739</v>
      </c>
      <c r="EP154" s="59">
        <f t="shared" si="154"/>
        <v>441.82647565372287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23.988050910328706</v>
      </c>
      <c r="EW154" s="21">
        <f>EXP(-LN(2)/25)*EW153+(1-EXP(-LN(2)/25))/(LN(2)/25)*Calculateur!ER154*Calculateur!ET154*VLOOKUP('Données projet'!$B$15,Paramètres!$A$1:$I$89,3,0)*0.475*44/12</f>
        <v>2.0557816572608165</v>
      </c>
      <c r="EX154" s="21">
        <f>EXP(-LN(2)/2)*EX153+(1-EXP(-LN(2)/2))/(LN(2)/2)*ER154*EU154*VLOOKUP('Données projet'!$B$15,Paramètres!$A$1:$I$89,3,0)*0.475*44/12</f>
        <v>3.2116266551617358E-20</v>
      </c>
      <c r="EY154" s="22">
        <f t="shared" ref="EY154:EY203" si="181">SUM(EV154:EX154)</f>
        <v>26.043832567589522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541.99999999999989</v>
      </c>
      <c r="FF154" s="17">
        <f>FE154*VLOOKUP('Données projet'!$B$16,Paramètres!$A$1:$I$89,3,0)*VLOOKUP('Données projet'!$B$16,Paramètres!$A$1:$I$89,5,0)</f>
        <v>310.02399999999994</v>
      </c>
      <c r="FG154" s="13">
        <f t="shared" ref="FG154:FG203" si="182">EXP(-1.0587+0.8836*LN(FF154)+0.284)</f>
        <v>73.27384230442388</v>
      </c>
      <c r="FH154" s="20">
        <f t="shared" ref="FH154:FH203" si="183">(FF154+FG154)*0.475*44/12</f>
        <v>667.57707534687154</v>
      </c>
      <c r="FI154" s="59">
        <f t="shared" si="131"/>
        <v>960.91040868020491</v>
      </c>
      <c r="FJ154" s="59">
        <f ca="1">AVERAGE(OFFSET($FI$3,0,0,'Données projet'!$E$16+1,1))-AVERAGE(OFFSET($H$3,0,0,'Données projet'!$E$16+1,1))</f>
        <v>393.41577134252316</v>
      </c>
      <c r="FK154" s="59">
        <f t="shared" si="156"/>
        <v>255.54039659391475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28.088920653076332</v>
      </c>
      <c r="FR154" s="21">
        <f>EXP(-LN(2)/25)*FR153+(1-EXP(-LN(2)/25))/(LN(2)/25)*Calculateur!FM154*Calculateur!FO154*VLOOKUP('Données projet'!$B$16,Paramètres!$A$1:$I$89,3,0)*0.475*44/12</f>
        <v>0.93294728344062727</v>
      </c>
      <c r="FS154" s="21">
        <f>EXP(-LN(2)/2)*FS153+(1-EXP(-LN(2)/2))/(LN(2)/2)*FM154*FP154*VLOOKUP('Données projet'!$B$16,Paramètres!$A$1:$I$89,3,0)*0.475*44/12</f>
        <v>2.2342890500763112E-19</v>
      </c>
      <c r="FT154" s="22">
        <f t="shared" ref="FT154:FT203" si="184">SUM(FQ154:FS154)</f>
        <v>29.021867936516959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853.00000000000011</v>
      </c>
      <c r="GA154" s="17">
        <f>FZ154*VLOOKUP('Données projet'!$B$17,Paramètres!$A$1:$I$89,3,0)*VLOOKUP('Données projet'!$B$17,Paramètres!$A$1:$I$89,5,0)</f>
        <v>399.20400000000006</v>
      </c>
      <c r="GB154" s="13">
        <f t="shared" ref="GB154:GB203" si="185">EXP(-1.0587+0.8836*LN(GA154)+0.284)</f>
        <v>91.615269732888521</v>
      </c>
      <c r="GC154" s="20">
        <f t="shared" ref="GC154:GC203" si="186">(GA154+GB154)*0.475*44/12</f>
        <v>854.8435614514475</v>
      </c>
      <c r="GD154" s="59">
        <f t="shared" si="134"/>
        <v>1148.1768947847809</v>
      </c>
      <c r="GE154" s="59">
        <f ca="1">AVERAGE(OFFSET($GD$3,0,0,'Données projet'!$E$17+1,1))-AVERAGE(OFFSET($H$3,0,0,'Données projet'!$E$17+1,1))</f>
        <v>488.67934252295686</v>
      </c>
      <c r="GF154" s="59">
        <f t="shared" si="158"/>
        <v>424.50324471331095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33.968703763295629</v>
      </c>
      <c r="GM154" s="21">
        <f>EXP(-LN(2)/25)*GM153+(1-EXP(-LN(2)/25))/(LN(2)/25)*Calculateur!GH154*Calculateur!GJ154*VLOOKUP('Données projet'!$B$17,Paramètres!$A$1:$I$89,3,0)*0.475*44/12</f>
        <v>1.7104033529744842</v>
      </c>
      <c r="GN154" s="21">
        <f>EXP(-LN(2)/2)*GN153+(1-EXP(-LN(2)/2))/(LN(2)/2)*GH154*GK154*VLOOKUP('Données projet'!$B$17,Paramètres!$A$1:$I$89,3,0)*0.475*44/12</f>
        <v>4.9763710660790553E-19</v>
      </c>
      <c r="GO154" s="21">
        <f t="shared" ref="GO154:GO203" si="187">SUM(GL154:GN154)</f>
        <v>35.67910711627011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789</v>
      </c>
      <c r="GV154" s="17">
        <f>GU154*VLOOKUP('Données projet'!$B$18,Paramètres!$A$1:$I$89,3,0)*VLOOKUP('Données projet'!$B$18,Paramètres!$A$1:$I$89,5,0)</f>
        <v>379.50900000000001</v>
      </c>
      <c r="GW154" s="13">
        <f t="shared" ref="GW154:GW203" si="188">EXP(-1.0587+0.8836*LN(GV154)+0.284)</f>
        <v>87.609801106074272</v>
      </c>
      <c r="GX154" s="20">
        <f t="shared" ref="GX154:GX203" si="189">(GV154+GW154)*0.475*44/12</f>
        <v>813.56524525974601</v>
      </c>
      <c r="GY154" s="59">
        <f t="shared" si="137"/>
        <v>1106.8985785930793</v>
      </c>
      <c r="GZ154" s="59">
        <f ca="1">AVERAGE(OFFSET($GY$3,0,0,'Données projet'!$E$18+1,1))-AVERAGE(OFFSET($H$3,0,0,'Données projet'!$E$18+1,1))</f>
        <v>458.80976193248841</v>
      </c>
      <c r="HA154" s="59">
        <f t="shared" si="160"/>
        <v>396.07405370178759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34.395957168832318</v>
      </c>
      <c r="HH154" s="21">
        <f>EXP(-LN(2)/25)*HH153+(1-EXP(-LN(2)/25))/(LN(2)/25)*Calculateur!HC154*Calculateur!HE154*VLOOKUP('Données projet'!$B$18,Paramètres!$A$1:$I$89,3,0)*0.475*44/12</f>
        <v>1.5981041429307061</v>
      </c>
      <c r="HI154" s="21">
        <f>EXP(-LN(2)/2)*HI153+(1-EXP(-LN(2)/2))/(LN(2)/2)*HC154*HF154*VLOOKUP('Données projet'!$B$18,Paramètres!$A$1:$I$89,3,0)*0.475*44/12</f>
        <v>2.296352634800655E-19</v>
      </c>
      <c r="HJ154" s="22">
        <f t="shared" ref="HJ154:HJ203" si="190">SUM(HG154:HI154)</f>
        <v>35.994061311763026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267</v>
      </c>
      <c r="O155" s="13">
        <f>N155*VLOOKUP('Données projet'!$B$9,Paramètres!$A$1:$I$89,3,0)*VLOOKUP('Données projet'!$B$9,Paramètres!$A$1:$I$89,5,0)</f>
        <v>241.58159999999998</v>
      </c>
      <c r="P155" s="13">
        <f t="shared" si="141"/>
        <v>58.779689232021951</v>
      </c>
      <c r="Q155" s="20">
        <f t="shared" si="162"/>
        <v>523.12924541243819</v>
      </c>
      <c r="R155" s="59">
        <f t="shared" si="109"/>
        <v>816.46257874577145</v>
      </c>
      <c r="S155" s="59">
        <f ca="1">AVERAGE(OFFSET($R$3,0,0,'Données projet'!$E$9+1,1))-AVERAGE(OFFSET($H$3,0,0,'Données projet'!$E$9+1,1))</f>
        <v>364.3481978218424</v>
      </c>
      <c r="T155" s="59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36.325554972492604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36.325554972492604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636.99999999999977</v>
      </c>
      <c r="AJ155" s="13">
        <f>AI155*VLOOKUP('Données projet'!$B$10,Paramètres!$A$1:$I$89,3,0)*VLOOKUP('Données projet'!$B$10,Paramètres!$A$1:$I$89,5,0)</f>
        <v>356.08299999999991</v>
      </c>
      <c r="AK155" s="13">
        <f t="shared" si="164"/>
        <v>82.813805255716545</v>
      </c>
      <c r="AL155" s="20">
        <f t="shared" si="165"/>
        <v>764.41193582037283</v>
      </c>
      <c r="AM155" s="59">
        <f t="shared" si="113"/>
        <v>1057.7452691537062</v>
      </c>
      <c r="AN155" s="59">
        <f ca="1">AVERAGE(OFFSET($AM$3,0,0,'Données projet'!$E$10+1,1))-AVERAGE(OFFSET($H$3,0,0,'Données projet'!$E$10+1,1))</f>
        <v>443.34220761968419</v>
      </c>
      <c r="AO155" s="59">
        <f t="shared" si="144"/>
        <v>546.58234447298014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15.803446522880513</v>
      </c>
      <c r="AV155" s="21">
        <f>EXP(-LN(2)/25)*AV154+(1-EXP(-LN(2)/25))/(LN(2)/25)*Calculateur!AQ155*Calculateur!AS155*VLOOKUP('Données projet'!$B$10,Paramètres!$A$1:$I$89,3,0)*0.475*44/12</f>
        <v>0.74500103596157308</v>
      </c>
      <c r="AW155" s="21">
        <f>EXP(-LN(2)/2)*AW154+(1-EXP(-LN(2)/2))/(LN(2)/2)*AQ155*AT155*VLOOKUP('Données projet'!$B$10,Paramètres!$A$1:$I$89,3,0)*0.475*44/12</f>
        <v>2.6202117041804019E-18</v>
      </c>
      <c r="AX155" s="21">
        <f t="shared" si="166"/>
        <v>16.548447558842085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403.99999999999989</v>
      </c>
      <c r="BE155" s="13">
        <f>BD155*VLOOKUP('Données projet'!$B$11,Paramètres!$A$1:$I$89,3,0)*VLOOKUP('Données projet'!$B$11,Paramètres!$A$1:$I$89,5,0)</f>
        <v>346.63199999999995</v>
      </c>
      <c r="BF155" s="13">
        <f t="shared" si="167"/>
        <v>80.868615263336864</v>
      </c>
      <c r="BG155" s="20">
        <f t="shared" si="168"/>
        <v>744.56357158364483</v>
      </c>
      <c r="BH155" s="59">
        <f t="shared" si="116"/>
        <v>1037.8969049169782</v>
      </c>
      <c r="BI155" s="59">
        <f ca="1">AVERAGE(OFFSET($BH$3,0,0,'Données projet'!$E$11+1,1))-AVERAGE(OFFSET($H$3,0,0,'Données projet'!$E$11+1,1))</f>
        <v>447.15627913956871</v>
      </c>
      <c r="BJ155" s="59">
        <f t="shared" si="146"/>
        <v>256.77417912163997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53.037153004599482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53.037153004599482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245.99999999999994</v>
      </c>
      <c r="BZ155" s="13">
        <f>BY155*VLOOKUP('Données projet'!$B$12,Paramètres!$A$1:$I$89,3,0)*VLOOKUP('Données projet'!$B$12,Paramètres!$A$1:$I$89,5,0)</f>
        <v>234.09359999999998</v>
      </c>
      <c r="CA155" s="13">
        <f t="shared" si="170"/>
        <v>57.166902703920208</v>
      </c>
      <c r="CB155" s="20">
        <f t="shared" si="171"/>
        <v>507.27870887599425</v>
      </c>
      <c r="CC155" s="59">
        <f t="shared" si="119"/>
        <v>800.61204220932757</v>
      </c>
      <c r="CD155" s="59">
        <f ca="1">AVERAGE(OFFSET($CC$3,0,0,'Données projet'!$E$12+1,1))-AVERAGE(OFFSET($H$3,0,0,'Données projet'!$E$12+1,1))</f>
        <v>448.94764480536713</v>
      </c>
      <c r="CE155" s="59">
        <f t="shared" si="148"/>
        <v>469.26760321719695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37.47508849532953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37.47508849532953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187.80389738728508</v>
      </c>
      <c r="CZ155" s="59">
        <f t="shared" si="150"/>
        <v>439.28159165815265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11.025469259603192</v>
      </c>
      <c r="DG155" s="21">
        <f>EXP(-LN(2)/25)*DG154+(1-EXP(-LN(2)/25))/(LN(2)/25)*Calculateur!DB155*Calculateur!DD155*VLOOKUP('Données projet'!$B$13,Paramètres!$A$1:$I$89,3,0)*0.475*44/12</f>
        <v>0.48826011154580301</v>
      </c>
      <c r="DH155" s="21">
        <f>EXP(-LN(2)/2)*DH154+(1-EXP(-LN(2)/2))/(LN(2)/2)*DB155*DE155*VLOOKUP('Données projet'!$B$13,Paramètres!$A$1:$I$89,3,0)*0.475*44/12</f>
        <v>1.9499161834910522E-20</v>
      </c>
      <c r="DI155" s="22">
        <f t="shared" si="175"/>
        <v>11.513729371148994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255.00000000000006</v>
      </c>
      <c r="DP155" s="17">
        <f>DO155*VLOOKUP('Données projet'!$B$14,Paramètres!$A$1:$I$89,3,0)*VLOOKUP('Données projet'!$B$14,Paramètres!$A$1:$I$89,5,0)</f>
        <v>186.96600000000004</v>
      </c>
      <c r="DQ155" s="13">
        <f t="shared" si="176"/>
        <v>46.868551400324648</v>
      </c>
      <c r="DR155" s="20">
        <f t="shared" si="177"/>
        <v>407.26184368889881</v>
      </c>
      <c r="DS155" s="59">
        <f t="shared" si="125"/>
        <v>700.59517702223206</v>
      </c>
      <c r="DT155" s="59">
        <f ca="1">AVERAGE(OFFSET($DS$3,0,0,'Données projet'!$E$14+1,1))-AVERAGE(OFFSET($H$3,0,0,'Données projet'!$E$14+1,1))</f>
        <v>239.25212250019609</v>
      </c>
      <c r="DU155" s="59">
        <f t="shared" si="152"/>
        <v>213.58492101729695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689</v>
      </c>
      <c r="EK155" s="17">
        <f>EJ155*VLOOKUP('Données projet'!$B$15,Paramètres!$A$1:$I$89,3,0)*VLOOKUP('Données projet'!$B$15,Paramètres!$A$1:$I$89,5,0)</f>
        <v>412.02199999999999</v>
      </c>
      <c r="EL155" s="13">
        <f t="shared" si="179"/>
        <v>94.209724877926391</v>
      </c>
      <c r="EM155" s="20">
        <f t="shared" si="180"/>
        <v>881.686920829055</v>
      </c>
      <c r="EN155" s="59">
        <f t="shared" si="128"/>
        <v>1175.0202541623883</v>
      </c>
      <c r="EO155" s="59">
        <f ca="1">AVERAGE(OFFSET($EN$3,0,0,'Données projet'!$E$15+1,1))-AVERAGE(OFFSET($H$3,0,0,'Données projet'!$E$15+1,1))</f>
        <v>504.81063008331739</v>
      </c>
      <c r="EP155" s="59">
        <f t="shared" si="154"/>
        <v>441.82647565372287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23.517659863243498</v>
      </c>
      <c r="EW155" s="21">
        <f>EXP(-LN(2)/25)*EW154+(1-EXP(-LN(2)/25))/(LN(2)/25)*Calculateur!ER155*Calculateur!ET155*VLOOKUP('Données projet'!$B$15,Paramètres!$A$1:$I$89,3,0)*0.475*44/12</f>
        <v>1.9995661997341607</v>
      </c>
      <c r="EX155" s="21">
        <f>EXP(-LN(2)/2)*EX154+(1-EXP(-LN(2)/2))/(LN(2)/2)*ER155*EU155*VLOOKUP('Données projet'!$B$15,Paramètres!$A$1:$I$89,3,0)*0.475*44/12</f>
        <v>2.2709629865043331E-20</v>
      </c>
      <c r="EY155" s="22">
        <f t="shared" si="181"/>
        <v>25.517226062977659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541.99999999999989</v>
      </c>
      <c r="FF155" s="17">
        <f>FE155*VLOOKUP('Données projet'!$B$16,Paramètres!$A$1:$I$89,3,0)*VLOOKUP('Données projet'!$B$16,Paramètres!$A$1:$I$89,5,0)</f>
        <v>310.02399999999994</v>
      </c>
      <c r="FG155" s="13">
        <f t="shared" si="182"/>
        <v>73.27384230442388</v>
      </c>
      <c r="FH155" s="20">
        <f t="shared" si="183"/>
        <v>667.57707534687154</v>
      </c>
      <c r="FI155" s="59">
        <f t="shared" si="131"/>
        <v>960.91040868020491</v>
      </c>
      <c r="FJ155" s="59">
        <f ca="1">AVERAGE(OFFSET($FI$3,0,0,'Données projet'!$E$16+1,1))-AVERAGE(OFFSET($H$3,0,0,'Données projet'!$E$16+1,1))</f>
        <v>393.41577134252316</v>
      </c>
      <c r="FK155" s="59">
        <f t="shared" si="156"/>
        <v>255.54039659391475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27.538114051619406</v>
      </c>
      <c r="FR155" s="21">
        <f>EXP(-LN(2)/25)*FR154+(1-EXP(-LN(2)/25))/(LN(2)/25)*Calculateur!FM155*Calculateur!FO155*VLOOKUP('Données projet'!$B$16,Paramètres!$A$1:$I$89,3,0)*0.475*44/12</f>
        <v>0.907435790913378</v>
      </c>
      <c r="FS155" s="21">
        <f>EXP(-LN(2)/2)*FS154+(1-EXP(-LN(2)/2))/(LN(2)/2)*FM155*FP155*VLOOKUP('Données projet'!$B$16,Paramètres!$A$1:$I$89,3,0)*0.475*44/12</f>
        <v>1.5798809384398094E-19</v>
      </c>
      <c r="FT155" s="22">
        <f t="shared" si="184"/>
        <v>28.445549842532785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853.00000000000011</v>
      </c>
      <c r="GA155" s="17">
        <f>FZ155*VLOOKUP('Données projet'!$B$17,Paramètres!$A$1:$I$89,3,0)*VLOOKUP('Données projet'!$B$17,Paramètres!$A$1:$I$89,5,0)</f>
        <v>399.20400000000006</v>
      </c>
      <c r="GB155" s="13">
        <f t="shared" si="185"/>
        <v>91.615269732888521</v>
      </c>
      <c r="GC155" s="20">
        <f t="shared" si="186"/>
        <v>854.8435614514475</v>
      </c>
      <c r="GD155" s="59">
        <f t="shared" si="134"/>
        <v>1148.1768947847809</v>
      </c>
      <c r="GE155" s="59">
        <f ca="1">AVERAGE(OFFSET($GD$3,0,0,'Données projet'!$E$17+1,1))-AVERAGE(OFFSET($H$3,0,0,'Données projet'!$E$17+1,1))</f>
        <v>488.67934252295686</v>
      </c>
      <c r="GF155" s="59">
        <f t="shared" si="158"/>
        <v>424.50324471331095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33.30259820136088</v>
      </c>
      <c r="GM155" s="21">
        <f>EXP(-LN(2)/25)*GM154+(1-EXP(-LN(2)/25))/(LN(2)/25)*Calculateur!GH155*Calculateur!GJ155*VLOOKUP('Données projet'!$B$17,Paramètres!$A$1:$I$89,3,0)*0.475*44/12</f>
        <v>1.6636322833411938</v>
      </c>
      <c r="GN155" s="21">
        <f>EXP(-LN(2)/2)*GN154+(1-EXP(-LN(2)/2))/(LN(2)/2)*GH155*GK155*VLOOKUP('Données projet'!$B$17,Paramètres!$A$1:$I$89,3,0)*0.475*44/12</f>
        <v>3.5188257265250289E-19</v>
      </c>
      <c r="GO155" s="21">
        <f t="shared" si="187"/>
        <v>34.966230484702074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789</v>
      </c>
      <c r="GV155" s="17">
        <f>GU155*VLOOKUP('Données projet'!$B$18,Paramètres!$A$1:$I$89,3,0)*VLOOKUP('Données projet'!$B$18,Paramètres!$A$1:$I$89,5,0)</f>
        <v>379.50900000000001</v>
      </c>
      <c r="GW155" s="13">
        <f t="shared" si="188"/>
        <v>87.609801106074272</v>
      </c>
      <c r="GX155" s="20">
        <f t="shared" si="189"/>
        <v>813.56524525974601</v>
      </c>
      <c r="GY155" s="59">
        <f t="shared" si="137"/>
        <v>1106.8985785930793</v>
      </c>
      <c r="GZ155" s="59">
        <f ca="1">AVERAGE(OFFSET($GY$3,0,0,'Données projet'!$E$18+1,1))-AVERAGE(OFFSET($H$3,0,0,'Données projet'!$E$18+1,1))</f>
        <v>458.80976193248841</v>
      </c>
      <c r="HA155" s="59">
        <f t="shared" si="160"/>
        <v>396.07405370178759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33.721473428213841</v>
      </c>
      <c r="HH155" s="21">
        <f>EXP(-LN(2)/25)*HH154+(1-EXP(-LN(2)/25))/(LN(2)/25)*Calculateur!HC155*Calculateur!HE155*VLOOKUP('Données projet'!$B$18,Paramètres!$A$1:$I$89,3,0)*0.475*44/12</f>
        <v>1.5544039011016215</v>
      </c>
      <c r="HI155" s="21">
        <f>EXP(-LN(2)/2)*HI154+(1-EXP(-LN(2)/2))/(LN(2)/2)*HC155*HF155*VLOOKUP('Données projet'!$B$18,Paramètres!$A$1:$I$89,3,0)*0.475*44/12</f>
        <v>1.6237665200631386E-19</v>
      </c>
      <c r="HJ155" s="22">
        <f t="shared" si="190"/>
        <v>35.275877329315463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267</v>
      </c>
      <c r="O156" s="13">
        <f>N156*VLOOKUP('Données projet'!$B$9,Paramètres!$A$1:$I$89,3,0)*VLOOKUP('Données projet'!$B$9,Paramètres!$A$1:$I$89,5,0)</f>
        <v>241.58159999999998</v>
      </c>
      <c r="P156" s="13">
        <f t="shared" si="141"/>
        <v>58.779689232021951</v>
      </c>
      <c r="Q156" s="20">
        <f t="shared" si="162"/>
        <v>523.12924541243819</v>
      </c>
      <c r="R156" s="59">
        <f t="shared" si="109"/>
        <v>816.46257874577145</v>
      </c>
      <c r="S156" s="59">
        <f ca="1">AVERAGE(OFFSET($R$3,0,0,'Données projet'!$E$9+1,1))-AVERAGE(OFFSET($H$3,0,0,'Données projet'!$E$9+1,1))</f>
        <v>364.3481978218424</v>
      </c>
      <c r="T156" s="59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35.613232995882797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35.613232995882797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636.99999999999977</v>
      </c>
      <c r="AJ156" s="13">
        <f>AI156*VLOOKUP('Données projet'!$B$10,Paramètres!$A$1:$I$89,3,0)*VLOOKUP('Données projet'!$B$10,Paramètres!$A$1:$I$89,5,0)</f>
        <v>356.08299999999991</v>
      </c>
      <c r="AK156" s="13">
        <f t="shared" si="164"/>
        <v>82.813805255716545</v>
      </c>
      <c r="AL156" s="20">
        <f t="shared" si="165"/>
        <v>764.41193582037283</v>
      </c>
      <c r="AM156" s="59">
        <f t="shared" si="113"/>
        <v>1057.7452691537062</v>
      </c>
      <c r="AN156" s="59">
        <f ca="1">AVERAGE(OFFSET($AM$3,0,0,'Données projet'!$E$10+1,1))-AVERAGE(OFFSET($H$3,0,0,'Données projet'!$E$10+1,1))</f>
        <v>443.34220761968419</v>
      </c>
      <c r="AO156" s="59">
        <f t="shared" si="144"/>
        <v>546.58234447298014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15.493550575717418</v>
      </c>
      <c r="AV156" s="21">
        <f>EXP(-LN(2)/25)*AV155+(1-EXP(-LN(2)/25))/(LN(2)/25)*Calculateur!AQ156*Calculateur!AS156*VLOOKUP('Données projet'!$B$10,Paramètres!$A$1:$I$89,3,0)*0.475*44/12</f>
        <v>0.72462894345530215</v>
      </c>
      <c r="AW156" s="21">
        <f>EXP(-LN(2)/2)*AW155+(1-EXP(-LN(2)/2))/(LN(2)/2)*AQ156*AT156*VLOOKUP('Données projet'!$B$10,Paramètres!$A$1:$I$89,3,0)*0.475*44/12</f>
        <v>1.8527694641703222E-18</v>
      </c>
      <c r="AX156" s="21">
        <f t="shared" si="166"/>
        <v>16.218179519172718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403.99999999999989</v>
      </c>
      <c r="BE156" s="13">
        <f>BD156*VLOOKUP('Données projet'!$B$11,Paramètres!$A$1:$I$89,3,0)*VLOOKUP('Données projet'!$B$11,Paramètres!$A$1:$I$89,5,0)</f>
        <v>346.63199999999995</v>
      </c>
      <c r="BF156" s="13">
        <f t="shared" si="167"/>
        <v>80.868615263336864</v>
      </c>
      <c r="BG156" s="20">
        <f t="shared" si="168"/>
        <v>744.56357158364483</v>
      </c>
      <c r="BH156" s="59">
        <f t="shared" si="116"/>
        <v>1037.8969049169782</v>
      </c>
      <c r="BI156" s="59">
        <f ca="1">AVERAGE(OFFSET($BH$3,0,0,'Données projet'!$E$11+1,1))-AVERAGE(OFFSET($H$3,0,0,'Données projet'!$E$11+1,1))</f>
        <v>447.15627913956871</v>
      </c>
      <c r="BJ156" s="59">
        <f t="shared" si="146"/>
        <v>256.77417912163997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51.997126783648376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51.997126783648376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245.99999999999994</v>
      </c>
      <c r="BZ156" s="13">
        <f>BY156*VLOOKUP('Données projet'!$B$12,Paramètres!$A$1:$I$89,3,0)*VLOOKUP('Données projet'!$B$12,Paramètres!$A$1:$I$89,5,0)</f>
        <v>234.09359999999998</v>
      </c>
      <c r="CA156" s="13">
        <f t="shared" si="170"/>
        <v>57.166902703920208</v>
      </c>
      <c r="CB156" s="20">
        <f t="shared" si="171"/>
        <v>507.27870887599425</v>
      </c>
      <c r="CC156" s="59">
        <f t="shared" si="119"/>
        <v>800.61204220932757</v>
      </c>
      <c r="CD156" s="59">
        <f ca="1">AVERAGE(OFFSET($CC$3,0,0,'Données projet'!$E$12+1,1))-AVERAGE(OFFSET($H$3,0,0,'Données projet'!$E$12+1,1))</f>
        <v>448.94764480536713</v>
      </c>
      <c r="CE156" s="59">
        <f t="shared" si="148"/>
        <v>469.26760321719695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36.740224867483107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36.740224867483107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187.80389738728508</v>
      </c>
      <c r="CZ156" s="59">
        <f t="shared" si="150"/>
        <v>439.28159165815265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10.809266532294595</v>
      </c>
      <c r="DG156" s="21">
        <f>EXP(-LN(2)/25)*DG155+(1-EXP(-LN(2)/25))/(LN(2)/25)*Calculateur!DB156*Calculateur!DD156*VLOOKUP('Données projet'!$B$13,Paramètres!$A$1:$I$89,3,0)*0.475*44/12</f>
        <v>0.47490861311909971</v>
      </c>
      <c r="DH156" s="21">
        <f>EXP(-LN(2)/2)*DH155+(1-EXP(-LN(2)/2))/(LN(2)/2)*DB156*DE156*VLOOKUP('Données projet'!$B$13,Paramètres!$A$1:$I$89,3,0)*0.475*44/12</f>
        <v>1.3787989560919153E-20</v>
      </c>
      <c r="DI156" s="22">
        <f t="shared" si="175"/>
        <v>11.284175145413695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255.00000000000006</v>
      </c>
      <c r="DP156" s="17">
        <f>DO156*VLOOKUP('Données projet'!$B$14,Paramètres!$A$1:$I$89,3,0)*VLOOKUP('Données projet'!$B$14,Paramètres!$A$1:$I$89,5,0)</f>
        <v>186.96600000000004</v>
      </c>
      <c r="DQ156" s="13">
        <f t="shared" si="176"/>
        <v>46.868551400324648</v>
      </c>
      <c r="DR156" s="20">
        <f t="shared" si="177"/>
        <v>407.26184368889881</v>
      </c>
      <c r="DS156" s="59">
        <f t="shared" si="125"/>
        <v>700.59517702223206</v>
      </c>
      <c r="DT156" s="59">
        <f ca="1">AVERAGE(OFFSET($DS$3,0,0,'Données projet'!$E$14+1,1))-AVERAGE(OFFSET($H$3,0,0,'Données projet'!$E$14+1,1))</f>
        <v>239.25212250019609</v>
      </c>
      <c r="DU156" s="59">
        <f t="shared" si="152"/>
        <v>213.58492101729695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689</v>
      </c>
      <c r="EK156" s="17">
        <f>EJ156*VLOOKUP('Données projet'!$B$15,Paramètres!$A$1:$I$89,3,0)*VLOOKUP('Données projet'!$B$15,Paramètres!$A$1:$I$89,5,0)</f>
        <v>412.02199999999999</v>
      </c>
      <c r="EL156" s="13">
        <f t="shared" si="179"/>
        <v>94.209724877926391</v>
      </c>
      <c r="EM156" s="20">
        <f t="shared" si="180"/>
        <v>881.686920829055</v>
      </c>
      <c r="EN156" s="59">
        <f t="shared" si="128"/>
        <v>1175.0202541623883</v>
      </c>
      <c r="EO156" s="59">
        <f ca="1">AVERAGE(OFFSET($EN$3,0,0,'Données projet'!$E$15+1,1))-AVERAGE(OFFSET($H$3,0,0,'Données projet'!$E$15+1,1))</f>
        <v>504.81063008331739</v>
      </c>
      <c r="EP156" s="59">
        <f t="shared" si="154"/>
        <v>441.82647565372287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23.056492897681423</v>
      </c>
      <c r="EW156" s="21">
        <f>EXP(-LN(2)/25)*EW155+(1-EXP(-LN(2)/25))/(LN(2)/25)*Calculateur!ER156*Calculateur!ET156*VLOOKUP('Données projet'!$B$15,Paramètres!$A$1:$I$89,3,0)*0.475*44/12</f>
        <v>1.9448879568498136</v>
      </c>
      <c r="EX156" s="21">
        <f>EXP(-LN(2)/2)*EX155+(1-EXP(-LN(2)/2))/(LN(2)/2)*ER156*EU156*VLOOKUP('Données projet'!$B$15,Paramètres!$A$1:$I$89,3,0)*0.475*44/12</f>
        <v>1.6058133275808679E-20</v>
      </c>
      <c r="EY156" s="22">
        <f t="shared" si="181"/>
        <v>25.001380854531238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541.99999999999989</v>
      </c>
      <c r="FF156" s="17">
        <f>FE156*VLOOKUP('Données projet'!$B$16,Paramètres!$A$1:$I$89,3,0)*VLOOKUP('Données projet'!$B$16,Paramètres!$A$1:$I$89,5,0)</f>
        <v>310.02399999999994</v>
      </c>
      <c r="FG156" s="13">
        <f t="shared" si="182"/>
        <v>73.27384230442388</v>
      </c>
      <c r="FH156" s="20">
        <f t="shared" si="183"/>
        <v>667.57707534687154</v>
      </c>
      <c r="FI156" s="59">
        <f t="shared" si="131"/>
        <v>960.91040868020491</v>
      </c>
      <c r="FJ156" s="59">
        <f ca="1">AVERAGE(OFFSET($FI$3,0,0,'Données projet'!$E$16+1,1))-AVERAGE(OFFSET($H$3,0,0,'Données projet'!$E$16+1,1))</f>
        <v>393.41577134252316</v>
      </c>
      <c r="FK156" s="59">
        <f t="shared" si="156"/>
        <v>255.54039659391475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26.998108431658196</v>
      </c>
      <c r="FR156" s="21">
        <f>EXP(-LN(2)/25)*FR155+(1-EXP(-LN(2)/25))/(LN(2)/25)*Calculateur!FM156*Calculateur!FO156*VLOOKUP('Données projet'!$B$16,Paramètres!$A$1:$I$89,3,0)*0.475*44/12</f>
        <v>0.88262191149087743</v>
      </c>
      <c r="FS156" s="21">
        <f>EXP(-LN(2)/2)*FS155+(1-EXP(-LN(2)/2))/(LN(2)/2)*FM156*FP156*VLOOKUP('Données projet'!$B$16,Paramètres!$A$1:$I$89,3,0)*0.475*44/12</f>
        <v>1.1171445250381556E-19</v>
      </c>
      <c r="FT156" s="22">
        <f t="shared" si="184"/>
        <v>27.880730343149072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853.00000000000011</v>
      </c>
      <c r="GA156" s="17">
        <f>FZ156*VLOOKUP('Données projet'!$B$17,Paramètres!$A$1:$I$89,3,0)*VLOOKUP('Données projet'!$B$17,Paramètres!$A$1:$I$89,5,0)</f>
        <v>399.20400000000006</v>
      </c>
      <c r="GB156" s="13">
        <f t="shared" si="185"/>
        <v>91.615269732888521</v>
      </c>
      <c r="GC156" s="20">
        <f t="shared" si="186"/>
        <v>854.8435614514475</v>
      </c>
      <c r="GD156" s="59">
        <f t="shared" si="134"/>
        <v>1148.1768947847809</v>
      </c>
      <c r="GE156" s="59">
        <f ca="1">AVERAGE(OFFSET($GD$3,0,0,'Données projet'!$E$17+1,1))-AVERAGE(OFFSET($H$3,0,0,'Données projet'!$E$17+1,1))</f>
        <v>488.67934252295686</v>
      </c>
      <c r="GF156" s="59">
        <f t="shared" si="158"/>
        <v>424.50324471331095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32.649554563211396</v>
      </c>
      <c r="GM156" s="21">
        <f>EXP(-LN(2)/25)*GM155+(1-EXP(-LN(2)/25))/(LN(2)/25)*Calculateur!GH156*Calculateur!GJ156*VLOOKUP('Données projet'!$B$17,Paramètres!$A$1:$I$89,3,0)*0.475*44/12</f>
        <v>1.6181401710666095</v>
      </c>
      <c r="GN156" s="21">
        <f>EXP(-LN(2)/2)*GN155+(1-EXP(-LN(2)/2))/(LN(2)/2)*GH156*GK156*VLOOKUP('Données projet'!$B$17,Paramètres!$A$1:$I$89,3,0)*0.475*44/12</f>
        <v>2.4881855330395277E-19</v>
      </c>
      <c r="GO156" s="21">
        <f t="shared" si="187"/>
        <v>34.267694734278002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789</v>
      </c>
      <c r="GV156" s="17">
        <f>GU156*VLOOKUP('Données projet'!$B$18,Paramètres!$A$1:$I$89,3,0)*VLOOKUP('Données projet'!$B$18,Paramètres!$A$1:$I$89,5,0)</f>
        <v>379.50900000000001</v>
      </c>
      <c r="GW156" s="13">
        <f t="shared" si="188"/>
        <v>87.609801106074272</v>
      </c>
      <c r="GX156" s="20">
        <f t="shared" si="189"/>
        <v>813.56524525974601</v>
      </c>
      <c r="GY156" s="59">
        <f t="shared" si="137"/>
        <v>1106.8985785930793</v>
      </c>
      <c r="GZ156" s="59">
        <f ca="1">AVERAGE(OFFSET($GY$3,0,0,'Données projet'!$E$18+1,1))-AVERAGE(OFFSET($H$3,0,0,'Données projet'!$E$18+1,1))</f>
        <v>458.80976193248841</v>
      </c>
      <c r="HA156" s="59">
        <f t="shared" si="160"/>
        <v>396.07405370178759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33.060215902354429</v>
      </c>
      <c r="HH156" s="21">
        <f>EXP(-LN(2)/25)*HH155+(1-EXP(-LN(2)/25))/(LN(2)/25)*Calculateur!HC156*Calculateur!HE156*VLOOKUP('Données projet'!$B$18,Paramètres!$A$1:$I$89,3,0)*0.475*44/12</f>
        <v>1.5118986446834493</v>
      </c>
      <c r="HI156" s="21">
        <f>EXP(-LN(2)/2)*HI155+(1-EXP(-LN(2)/2))/(LN(2)/2)*HC156*HF156*VLOOKUP('Données projet'!$B$18,Paramètres!$A$1:$I$89,3,0)*0.475*44/12</f>
        <v>1.1481763174003275E-19</v>
      </c>
      <c r="HJ156" s="22">
        <f t="shared" si="190"/>
        <v>34.572114547037877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267</v>
      </c>
      <c r="O157" s="13">
        <f>N157*VLOOKUP('Données projet'!$B$9,Paramètres!$A$1:$I$89,3,0)*VLOOKUP('Données projet'!$B$9,Paramètres!$A$1:$I$89,5,0)</f>
        <v>241.58159999999998</v>
      </c>
      <c r="P157" s="13">
        <f t="shared" si="141"/>
        <v>58.779689232021951</v>
      </c>
      <c r="Q157" s="20">
        <f t="shared" si="162"/>
        <v>523.12924541243819</v>
      </c>
      <c r="R157" s="59">
        <f t="shared" si="109"/>
        <v>816.46257874577145</v>
      </c>
      <c r="S157" s="59">
        <f ca="1">AVERAGE(OFFSET($R$3,0,0,'Données projet'!$E$9+1,1))-AVERAGE(OFFSET($H$3,0,0,'Données projet'!$E$9+1,1))</f>
        <v>364.3481978218424</v>
      </c>
      <c r="T157" s="59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34.914879218760802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34.914879218760802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636.99999999999977</v>
      </c>
      <c r="AJ157" s="13">
        <f>AI157*VLOOKUP('Données projet'!$B$10,Paramètres!$A$1:$I$89,3,0)*VLOOKUP('Données projet'!$B$10,Paramètres!$A$1:$I$89,5,0)</f>
        <v>356.08299999999991</v>
      </c>
      <c r="AK157" s="13">
        <f t="shared" si="164"/>
        <v>82.813805255716545</v>
      </c>
      <c r="AL157" s="20">
        <f t="shared" si="165"/>
        <v>764.41193582037283</v>
      </c>
      <c r="AM157" s="59">
        <f t="shared" si="113"/>
        <v>1057.7452691537062</v>
      </c>
      <c r="AN157" s="59">
        <f ca="1">AVERAGE(OFFSET($AM$3,0,0,'Données projet'!$E$10+1,1))-AVERAGE(OFFSET($H$3,0,0,'Données projet'!$E$10+1,1))</f>
        <v>443.34220761968419</v>
      </c>
      <c r="AO157" s="59">
        <f t="shared" si="144"/>
        <v>546.58234447298014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15.189731499060327</v>
      </c>
      <c r="AV157" s="21">
        <f>EXP(-LN(2)/25)*AV156+(1-EXP(-LN(2)/25))/(LN(2)/25)*Calculateur!AQ157*Calculateur!AS157*VLOOKUP('Données projet'!$B$10,Paramètres!$A$1:$I$89,3,0)*0.475*44/12</f>
        <v>0.70481392688993694</v>
      </c>
      <c r="AW157" s="21">
        <f>EXP(-LN(2)/2)*AW156+(1-EXP(-LN(2)/2))/(LN(2)/2)*AQ157*AT157*VLOOKUP('Données projet'!$B$10,Paramètres!$A$1:$I$89,3,0)*0.475*44/12</f>
        <v>1.310105852090201E-18</v>
      </c>
      <c r="AX157" s="21">
        <f t="shared" si="166"/>
        <v>15.894545425950264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403.99999999999989</v>
      </c>
      <c r="BE157" s="13">
        <f>BD157*VLOOKUP('Données projet'!$B$11,Paramètres!$A$1:$I$89,3,0)*VLOOKUP('Données projet'!$B$11,Paramètres!$A$1:$I$89,5,0)</f>
        <v>346.63199999999995</v>
      </c>
      <c r="BF157" s="13">
        <f t="shared" si="167"/>
        <v>80.868615263336864</v>
      </c>
      <c r="BG157" s="20">
        <f t="shared" si="168"/>
        <v>744.56357158364483</v>
      </c>
      <c r="BH157" s="59">
        <f t="shared" si="116"/>
        <v>1037.8969049169782</v>
      </c>
      <c r="BI157" s="59">
        <f ca="1">AVERAGE(OFFSET($BH$3,0,0,'Données projet'!$E$11+1,1))-AVERAGE(OFFSET($H$3,0,0,'Données projet'!$E$11+1,1))</f>
        <v>447.15627913956871</v>
      </c>
      <c r="BJ157" s="59">
        <f t="shared" si="146"/>
        <v>256.77417912163997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50.977494842536764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50.977494842536764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245.99999999999994</v>
      </c>
      <c r="BZ157" s="13">
        <f>BY157*VLOOKUP('Données projet'!$B$12,Paramètres!$A$1:$I$89,3,0)*VLOOKUP('Données projet'!$B$12,Paramètres!$A$1:$I$89,5,0)</f>
        <v>234.09359999999998</v>
      </c>
      <c r="CA157" s="13">
        <f t="shared" si="170"/>
        <v>57.166902703920208</v>
      </c>
      <c r="CB157" s="20">
        <f t="shared" si="171"/>
        <v>507.27870887599425</v>
      </c>
      <c r="CC157" s="59">
        <f t="shared" si="119"/>
        <v>800.61204220932757</v>
      </c>
      <c r="CD157" s="59">
        <f ca="1">AVERAGE(OFFSET($CC$3,0,0,'Données projet'!$E$12+1,1))-AVERAGE(OFFSET($H$3,0,0,'Données projet'!$E$12+1,1))</f>
        <v>448.94764480536713</v>
      </c>
      <c r="CE157" s="59">
        <f t="shared" si="148"/>
        <v>469.26760321719695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36.019771467156197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36.019771467156197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187.80389738728508</v>
      </c>
      <c r="CZ157" s="59">
        <f t="shared" si="150"/>
        <v>439.28159165815265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10.597303408597877</v>
      </c>
      <c r="DG157" s="21">
        <f>EXP(-LN(2)/25)*DG156+(1-EXP(-LN(2)/25))/(LN(2)/25)*Calculateur!DB157*Calculateur!DD157*VLOOKUP('Données projet'!$B$13,Paramètres!$A$1:$I$89,3,0)*0.475*44/12</f>
        <v>0.46192221211899936</v>
      </c>
      <c r="DH157" s="21">
        <f>EXP(-LN(2)/2)*DH156+(1-EXP(-LN(2)/2))/(LN(2)/2)*DB157*DE157*VLOOKUP('Données projet'!$B$13,Paramètres!$A$1:$I$89,3,0)*0.475*44/12</f>
        <v>9.7495809174552611E-21</v>
      </c>
      <c r="DI157" s="22">
        <f t="shared" si="175"/>
        <v>11.059225620716877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255.00000000000006</v>
      </c>
      <c r="DP157" s="17">
        <f>DO157*VLOOKUP('Données projet'!$B$14,Paramètres!$A$1:$I$89,3,0)*VLOOKUP('Données projet'!$B$14,Paramètres!$A$1:$I$89,5,0)</f>
        <v>186.96600000000004</v>
      </c>
      <c r="DQ157" s="13">
        <f t="shared" si="176"/>
        <v>46.868551400324648</v>
      </c>
      <c r="DR157" s="20">
        <f t="shared" si="177"/>
        <v>407.26184368889881</v>
      </c>
      <c r="DS157" s="59">
        <f t="shared" si="125"/>
        <v>700.59517702223206</v>
      </c>
      <c r="DT157" s="59">
        <f ca="1">AVERAGE(OFFSET($DS$3,0,0,'Données projet'!$E$14+1,1))-AVERAGE(OFFSET($H$3,0,0,'Données projet'!$E$14+1,1))</f>
        <v>239.25212250019609</v>
      </c>
      <c r="DU157" s="59">
        <f t="shared" si="152"/>
        <v>213.58492101729695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689</v>
      </c>
      <c r="EK157" s="17">
        <f>EJ157*VLOOKUP('Données projet'!$B$15,Paramètres!$A$1:$I$89,3,0)*VLOOKUP('Données projet'!$B$15,Paramètres!$A$1:$I$89,5,0)</f>
        <v>412.02199999999999</v>
      </c>
      <c r="EL157" s="13">
        <f t="shared" si="179"/>
        <v>94.209724877926391</v>
      </c>
      <c r="EM157" s="20">
        <f t="shared" si="180"/>
        <v>881.686920829055</v>
      </c>
      <c r="EN157" s="59">
        <f t="shared" si="128"/>
        <v>1175.0202541623883</v>
      </c>
      <c r="EO157" s="59">
        <f ca="1">AVERAGE(OFFSET($EN$3,0,0,'Données projet'!$E$15+1,1))-AVERAGE(OFFSET($H$3,0,0,'Données projet'!$E$15+1,1))</f>
        <v>504.81063008331739</v>
      </c>
      <c r="EP157" s="59">
        <f t="shared" si="154"/>
        <v>441.82647565372287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22.604369135029945</v>
      </c>
      <c r="EW157" s="21">
        <f>EXP(-LN(2)/25)*EW156+(1-EXP(-LN(2)/25))/(LN(2)/25)*Calculateur!ER157*Calculateur!ET157*VLOOKUP('Données projet'!$B$15,Paramètres!$A$1:$I$89,3,0)*0.475*44/12</f>
        <v>1.8917048933925429</v>
      </c>
      <c r="EX157" s="21">
        <f>EXP(-LN(2)/2)*EX156+(1-EXP(-LN(2)/2))/(LN(2)/2)*ER157*EU157*VLOOKUP('Données projet'!$B$15,Paramètres!$A$1:$I$89,3,0)*0.475*44/12</f>
        <v>1.1354814932521665E-20</v>
      </c>
      <c r="EY157" s="22">
        <f t="shared" si="181"/>
        <v>24.496074028422488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541.99999999999989</v>
      </c>
      <c r="FF157" s="17">
        <f>FE157*VLOOKUP('Données projet'!$B$16,Paramètres!$A$1:$I$89,3,0)*VLOOKUP('Données projet'!$B$16,Paramètres!$A$1:$I$89,5,0)</f>
        <v>310.02399999999994</v>
      </c>
      <c r="FG157" s="13">
        <f t="shared" si="182"/>
        <v>73.27384230442388</v>
      </c>
      <c r="FH157" s="20">
        <f t="shared" si="183"/>
        <v>667.57707534687154</v>
      </c>
      <c r="FI157" s="59">
        <f t="shared" si="131"/>
        <v>960.91040868020491</v>
      </c>
      <c r="FJ157" s="59">
        <f ca="1">AVERAGE(OFFSET($FI$3,0,0,'Données projet'!$E$16+1,1))-AVERAGE(OFFSET($H$3,0,0,'Données projet'!$E$16+1,1))</f>
        <v>393.41577134252316</v>
      </c>
      <c r="FK157" s="59">
        <f t="shared" si="156"/>
        <v>255.54039659391475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26.468691992533518</v>
      </c>
      <c r="FR157" s="21">
        <f>EXP(-LN(2)/25)*FR156+(1-EXP(-LN(2)/25))/(LN(2)/25)*Calculateur!FM157*Calculateur!FO157*VLOOKUP('Données projet'!$B$16,Paramètres!$A$1:$I$89,3,0)*0.475*44/12</f>
        <v>0.85848656890609032</v>
      </c>
      <c r="FS157" s="21">
        <f>EXP(-LN(2)/2)*FS156+(1-EXP(-LN(2)/2))/(LN(2)/2)*FM157*FP157*VLOOKUP('Données projet'!$B$16,Paramètres!$A$1:$I$89,3,0)*0.475*44/12</f>
        <v>7.8994046921990468E-20</v>
      </c>
      <c r="FT157" s="22">
        <f t="shared" si="184"/>
        <v>27.327178561439609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853.00000000000011</v>
      </c>
      <c r="GA157" s="17">
        <f>FZ157*VLOOKUP('Données projet'!$B$17,Paramètres!$A$1:$I$89,3,0)*VLOOKUP('Données projet'!$B$17,Paramètres!$A$1:$I$89,5,0)</f>
        <v>399.20400000000006</v>
      </c>
      <c r="GB157" s="13">
        <f t="shared" si="185"/>
        <v>91.615269732888521</v>
      </c>
      <c r="GC157" s="20">
        <f t="shared" si="186"/>
        <v>854.8435614514475</v>
      </c>
      <c r="GD157" s="59">
        <f t="shared" si="134"/>
        <v>1148.1768947847809</v>
      </c>
      <c r="GE157" s="59">
        <f ca="1">AVERAGE(OFFSET($GD$3,0,0,'Données projet'!$E$17+1,1))-AVERAGE(OFFSET($H$3,0,0,'Données projet'!$E$17+1,1))</f>
        <v>488.67934252295686</v>
      </c>
      <c r="GF157" s="59">
        <f t="shared" si="158"/>
        <v>424.50324471331095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32.009316712488733</v>
      </c>
      <c r="GM157" s="21">
        <f>EXP(-LN(2)/25)*GM156+(1-EXP(-LN(2)/25))/(LN(2)/25)*Calculateur!GH157*Calculateur!GJ157*VLOOKUP('Données projet'!$B$17,Paramètres!$A$1:$I$89,3,0)*0.475*44/12</f>
        <v>1.5738920429944998</v>
      </c>
      <c r="GN157" s="21">
        <f>EXP(-LN(2)/2)*GN156+(1-EXP(-LN(2)/2))/(LN(2)/2)*GH157*GK157*VLOOKUP('Données projet'!$B$17,Paramètres!$A$1:$I$89,3,0)*0.475*44/12</f>
        <v>1.7594128632625144E-19</v>
      </c>
      <c r="GO157" s="21">
        <f t="shared" si="187"/>
        <v>33.583208755483234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789</v>
      </c>
      <c r="GV157" s="17">
        <f>GU157*VLOOKUP('Données projet'!$B$18,Paramètres!$A$1:$I$89,3,0)*VLOOKUP('Données projet'!$B$18,Paramètres!$A$1:$I$89,5,0)</f>
        <v>379.50900000000001</v>
      </c>
      <c r="GW157" s="13">
        <f t="shared" si="188"/>
        <v>87.609801106074272</v>
      </c>
      <c r="GX157" s="20">
        <f t="shared" si="189"/>
        <v>813.56524525974601</v>
      </c>
      <c r="GY157" s="59">
        <f t="shared" si="137"/>
        <v>1106.8985785930793</v>
      </c>
      <c r="GZ157" s="59">
        <f ca="1">AVERAGE(OFFSET($GY$3,0,0,'Données projet'!$E$18+1,1))-AVERAGE(OFFSET($H$3,0,0,'Données projet'!$E$18+1,1))</f>
        <v>458.80976193248841</v>
      </c>
      <c r="HA157" s="59">
        <f t="shared" si="160"/>
        <v>396.07405370178759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32.411925233249853</v>
      </c>
      <c r="HH157" s="21">
        <f>EXP(-LN(2)/25)*HH156+(1-EXP(-LN(2)/25))/(LN(2)/25)*Calculateur!HC157*Calculateur!HE157*VLOOKUP('Données projet'!$B$18,Paramètres!$A$1:$I$89,3,0)*0.475*44/12</f>
        <v>1.4705556967372861</v>
      </c>
      <c r="HI157" s="21">
        <f>EXP(-LN(2)/2)*HI156+(1-EXP(-LN(2)/2))/(LN(2)/2)*HC157*HF157*VLOOKUP('Données projet'!$B$18,Paramètres!$A$1:$I$89,3,0)*0.475*44/12</f>
        <v>8.118832600315693E-20</v>
      </c>
      <c r="HJ157" s="22">
        <f t="shared" si="190"/>
        <v>33.882480929987139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267</v>
      </c>
      <c r="O158" s="13">
        <f>N158*VLOOKUP('Données projet'!$B$9,Paramètres!$A$1:$I$89,3,0)*VLOOKUP('Données projet'!$B$9,Paramètres!$A$1:$I$89,5,0)</f>
        <v>241.58159999999998</v>
      </c>
      <c r="P158" s="13">
        <f t="shared" si="141"/>
        <v>58.779689232021951</v>
      </c>
      <c r="Q158" s="20">
        <f t="shared" si="162"/>
        <v>523.12924541243819</v>
      </c>
      <c r="R158" s="59">
        <f t="shared" si="109"/>
        <v>816.46257874577145</v>
      </c>
      <c r="S158" s="59">
        <f ca="1">AVERAGE(OFFSET($R$3,0,0,'Données projet'!$E$9+1,1))-AVERAGE(OFFSET($H$3,0,0,'Données projet'!$E$9+1,1))</f>
        <v>364.3481978218424</v>
      </c>
      <c r="T158" s="59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34.230219733254422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34.230219733254422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636.99999999999977</v>
      </c>
      <c r="AJ158" s="13">
        <f>AI158*VLOOKUP('Données projet'!$B$10,Paramètres!$A$1:$I$89,3,0)*VLOOKUP('Données projet'!$B$10,Paramètres!$A$1:$I$89,5,0)</f>
        <v>356.08299999999991</v>
      </c>
      <c r="AK158" s="13">
        <f t="shared" si="164"/>
        <v>82.813805255716545</v>
      </c>
      <c r="AL158" s="20">
        <f t="shared" si="165"/>
        <v>764.41193582037283</v>
      </c>
      <c r="AM158" s="59">
        <f t="shared" si="113"/>
        <v>1057.7452691537062</v>
      </c>
      <c r="AN158" s="59">
        <f ca="1">AVERAGE(OFFSET($AM$3,0,0,'Données projet'!$E$10+1,1))-AVERAGE(OFFSET($H$3,0,0,'Données projet'!$E$10+1,1))</f>
        <v>443.34220761968419</v>
      </c>
      <c r="AO158" s="59">
        <f t="shared" si="144"/>
        <v>546.58234447298014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14.891870129185143</v>
      </c>
      <c r="AV158" s="21">
        <f>EXP(-LN(2)/25)*AV157+(1-EXP(-LN(2)/25))/(LN(2)/25)*Calculateur!AQ158*Calculateur!AS158*VLOOKUP('Données projet'!$B$10,Paramètres!$A$1:$I$89,3,0)*0.475*44/12</f>
        <v>0.68554075299457806</v>
      </c>
      <c r="AW158" s="21">
        <f>EXP(-LN(2)/2)*AW157+(1-EXP(-LN(2)/2))/(LN(2)/2)*AQ158*AT158*VLOOKUP('Données projet'!$B$10,Paramètres!$A$1:$I$89,3,0)*0.475*44/12</f>
        <v>9.2638473208516112E-19</v>
      </c>
      <c r="AX158" s="21">
        <f t="shared" si="166"/>
        <v>15.577410882179722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403.99999999999989</v>
      </c>
      <c r="BE158" s="13">
        <f>BD158*VLOOKUP('Données projet'!$B$11,Paramètres!$A$1:$I$89,3,0)*VLOOKUP('Données projet'!$B$11,Paramètres!$A$1:$I$89,5,0)</f>
        <v>346.63199999999995</v>
      </c>
      <c r="BF158" s="13">
        <f t="shared" si="167"/>
        <v>80.868615263336864</v>
      </c>
      <c r="BG158" s="20">
        <f t="shared" si="168"/>
        <v>744.56357158364483</v>
      </c>
      <c r="BH158" s="59">
        <f t="shared" si="116"/>
        <v>1037.8969049169782</v>
      </c>
      <c r="BI158" s="59">
        <f ca="1">AVERAGE(OFFSET($BH$3,0,0,'Données projet'!$E$11+1,1))-AVERAGE(OFFSET($H$3,0,0,'Données projet'!$E$11+1,1))</f>
        <v>447.15627913956871</v>
      </c>
      <c r="BJ158" s="59">
        <f t="shared" si="146"/>
        <v>256.77417912163997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49.977857261876274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49.977857261876274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245.99999999999994</v>
      </c>
      <c r="BZ158" s="13">
        <f>BY158*VLOOKUP('Données projet'!$B$12,Paramètres!$A$1:$I$89,3,0)*VLOOKUP('Données projet'!$B$12,Paramètres!$A$1:$I$89,5,0)</f>
        <v>234.09359999999998</v>
      </c>
      <c r="CA158" s="13">
        <f t="shared" si="170"/>
        <v>57.166902703920208</v>
      </c>
      <c r="CB158" s="20">
        <f t="shared" si="171"/>
        <v>507.27870887599425</v>
      </c>
      <c r="CC158" s="59">
        <f t="shared" si="119"/>
        <v>800.61204220932757</v>
      </c>
      <c r="CD158" s="59">
        <f ca="1">AVERAGE(OFFSET($CC$3,0,0,'Données projet'!$E$12+1,1))-AVERAGE(OFFSET($H$3,0,0,'Données projet'!$E$12+1,1))</f>
        <v>448.94764480536713</v>
      </c>
      <c r="CE158" s="59">
        <f t="shared" si="148"/>
        <v>469.26760321719695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35.31344571857651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35.31344571857651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187.80389738728508</v>
      </c>
      <c r="CZ158" s="59">
        <f t="shared" si="150"/>
        <v>439.28159165815265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10.389496752472112</v>
      </c>
      <c r="DG158" s="21">
        <f>EXP(-LN(2)/25)*DG157+(1-EXP(-LN(2)/25))/(LN(2)/25)*Calculateur!DB158*Calculateur!DD158*VLOOKUP('Données projet'!$B$13,Paramètres!$A$1:$I$89,3,0)*0.475*44/12</f>
        <v>0.44929092493717193</v>
      </c>
      <c r="DH158" s="21">
        <f>EXP(-LN(2)/2)*DH157+(1-EXP(-LN(2)/2))/(LN(2)/2)*DB158*DE158*VLOOKUP('Données projet'!$B$13,Paramètres!$A$1:$I$89,3,0)*0.475*44/12</f>
        <v>6.8939947804595765E-21</v>
      </c>
      <c r="DI158" s="22">
        <f t="shared" si="175"/>
        <v>10.838787677409284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255.00000000000006</v>
      </c>
      <c r="DP158" s="17">
        <f>DO158*VLOOKUP('Données projet'!$B$14,Paramètres!$A$1:$I$89,3,0)*VLOOKUP('Données projet'!$B$14,Paramètres!$A$1:$I$89,5,0)</f>
        <v>186.96600000000004</v>
      </c>
      <c r="DQ158" s="13">
        <f t="shared" si="176"/>
        <v>46.868551400324648</v>
      </c>
      <c r="DR158" s="20">
        <f t="shared" si="177"/>
        <v>407.26184368889881</v>
      </c>
      <c r="DS158" s="59">
        <f t="shared" si="125"/>
        <v>700.59517702223206</v>
      </c>
      <c r="DT158" s="59">
        <f ca="1">AVERAGE(OFFSET($DS$3,0,0,'Données projet'!$E$14+1,1))-AVERAGE(OFFSET($H$3,0,0,'Données projet'!$E$14+1,1))</f>
        <v>239.25212250019609</v>
      </c>
      <c r="DU158" s="59">
        <f t="shared" si="152"/>
        <v>213.58492101729695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689</v>
      </c>
      <c r="EK158" s="17">
        <f>EJ158*VLOOKUP('Données projet'!$B$15,Paramètres!$A$1:$I$89,3,0)*VLOOKUP('Données projet'!$B$15,Paramètres!$A$1:$I$89,5,0)</f>
        <v>412.02199999999999</v>
      </c>
      <c r="EL158" s="13">
        <f t="shared" si="179"/>
        <v>94.209724877926391</v>
      </c>
      <c r="EM158" s="20">
        <f t="shared" si="180"/>
        <v>881.686920829055</v>
      </c>
      <c r="EN158" s="59">
        <f t="shared" si="128"/>
        <v>1175.0202541623883</v>
      </c>
      <c r="EO158" s="59">
        <f ca="1">AVERAGE(OFFSET($EN$3,0,0,'Données projet'!$E$15+1,1))-AVERAGE(OFFSET($H$3,0,0,'Données projet'!$E$15+1,1))</f>
        <v>504.81063008331739</v>
      </c>
      <c r="EP158" s="59">
        <f t="shared" si="154"/>
        <v>441.82647565372287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22.161111243595798</v>
      </c>
      <c r="EW158" s="21">
        <f>EXP(-LN(2)/25)*EW157+(1-EXP(-LN(2)/25))/(LN(2)/25)*Calculateur!ER158*Calculateur!ET158*VLOOKUP('Données projet'!$B$15,Paramètres!$A$1:$I$89,3,0)*0.475*44/12</f>
        <v>1.8399761236022869</v>
      </c>
      <c r="EX158" s="21">
        <f>EXP(-LN(2)/2)*EX157+(1-EXP(-LN(2)/2))/(LN(2)/2)*ER158*EU158*VLOOKUP('Données projet'!$B$15,Paramètres!$A$1:$I$89,3,0)*0.475*44/12</f>
        <v>8.0290666379043395E-21</v>
      </c>
      <c r="EY158" s="22">
        <f t="shared" si="181"/>
        <v>24.001087367198085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541.99999999999989</v>
      </c>
      <c r="FF158" s="17">
        <f>FE158*VLOOKUP('Données projet'!$B$16,Paramètres!$A$1:$I$89,3,0)*VLOOKUP('Données projet'!$B$16,Paramètres!$A$1:$I$89,5,0)</f>
        <v>310.02399999999994</v>
      </c>
      <c r="FG158" s="13">
        <f t="shared" si="182"/>
        <v>73.27384230442388</v>
      </c>
      <c r="FH158" s="20">
        <f t="shared" si="183"/>
        <v>667.57707534687154</v>
      </c>
      <c r="FI158" s="59">
        <f t="shared" si="131"/>
        <v>960.91040868020491</v>
      </c>
      <c r="FJ158" s="59">
        <f ca="1">AVERAGE(OFFSET($FI$3,0,0,'Données projet'!$E$16+1,1))-AVERAGE(OFFSET($H$3,0,0,'Données projet'!$E$16+1,1))</f>
        <v>393.41577134252316</v>
      </c>
      <c r="FK158" s="59">
        <f t="shared" si="156"/>
        <v>255.54039659391475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25.949657086867933</v>
      </c>
      <c r="FR158" s="21">
        <f>EXP(-LN(2)/25)*FR157+(1-EXP(-LN(2)/25))/(LN(2)/25)*Calculateur!FM158*Calculateur!FO158*VLOOKUP('Données projet'!$B$16,Paramètres!$A$1:$I$89,3,0)*0.475*44/12</f>
        <v>0.83501120853350674</v>
      </c>
      <c r="FS158" s="21">
        <f>EXP(-LN(2)/2)*FS157+(1-EXP(-LN(2)/2))/(LN(2)/2)*FM158*FP158*VLOOKUP('Données projet'!$B$16,Paramètres!$A$1:$I$89,3,0)*0.475*44/12</f>
        <v>5.5857226251907781E-20</v>
      </c>
      <c r="FT158" s="22">
        <f t="shared" si="184"/>
        <v>26.784668295401442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853.00000000000011</v>
      </c>
      <c r="GA158" s="17">
        <f>FZ158*VLOOKUP('Données projet'!$B$17,Paramètres!$A$1:$I$89,3,0)*VLOOKUP('Données projet'!$B$17,Paramètres!$A$1:$I$89,5,0)</f>
        <v>399.20400000000006</v>
      </c>
      <c r="GB158" s="13">
        <f t="shared" si="185"/>
        <v>91.615269732888521</v>
      </c>
      <c r="GC158" s="20">
        <f t="shared" si="186"/>
        <v>854.8435614514475</v>
      </c>
      <c r="GD158" s="59">
        <f t="shared" si="134"/>
        <v>1148.1768947847809</v>
      </c>
      <c r="GE158" s="59">
        <f ca="1">AVERAGE(OFFSET($GD$3,0,0,'Données projet'!$E$17+1,1))-AVERAGE(OFFSET($H$3,0,0,'Données projet'!$E$17+1,1))</f>
        <v>488.67934252295686</v>
      </c>
      <c r="GF158" s="59">
        <f t="shared" si="158"/>
        <v>424.50324471331095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31.381633535512211</v>
      </c>
      <c r="GM158" s="21">
        <f>EXP(-LN(2)/25)*GM157+(1-EXP(-LN(2)/25))/(LN(2)/25)*Calculateur!GH158*Calculateur!GJ158*VLOOKUP('Données projet'!$B$17,Paramètres!$A$1:$I$89,3,0)*0.475*44/12</f>
        <v>1.5308538823114299</v>
      </c>
      <c r="GN158" s="21">
        <f>EXP(-LN(2)/2)*GN157+(1-EXP(-LN(2)/2))/(LN(2)/2)*GH158*GK158*VLOOKUP('Données projet'!$B$17,Paramètres!$A$1:$I$89,3,0)*0.475*44/12</f>
        <v>1.2440927665197638E-19</v>
      </c>
      <c r="GO158" s="21">
        <f t="shared" si="187"/>
        <v>32.912487417823641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789</v>
      </c>
      <c r="GV158" s="17">
        <f>GU158*VLOOKUP('Données projet'!$B$18,Paramètres!$A$1:$I$89,3,0)*VLOOKUP('Données projet'!$B$18,Paramètres!$A$1:$I$89,5,0)</f>
        <v>379.50900000000001</v>
      </c>
      <c r="GW158" s="13">
        <f t="shared" si="188"/>
        <v>87.609801106074272</v>
      </c>
      <c r="GX158" s="20">
        <f t="shared" si="189"/>
        <v>813.56524525974601</v>
      </c>
      <c r="GY158" s="59">
        <f t="shared" si="137"/>
        <v>1106.8985785930793</v>
      </c>
      <c r="GZ158" s="59">
        <f ca="1">AVERAGE(OFFSET($GY$3,0,0,'Données projet'!$E$18+1,1))-AVERAGE(OFFSET($H$3,0,0,'Données projet'!$E$18+1,1))</f>
        <v>458.80976193248841</v>
      </c>
      <c r="HA158" s="59">
        <f t="shared" si="160"/>
        <v>396.07405370178759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31.776347148748158</v>
      </c>
      <c r="HH158" s="21">
        <f>EXP(-LN(2)/25)*HH157+(1-EXP(-LN(2)/25))/(LN(2)/25)*Calculateur!HC158*Calculateur!HE158*VLOOKUP('Données projet'!$B$18,Paramètres!$A$1:$I$89,3,0)*0.475*44/12</f>
        <v>1.430343273876842</v>
      </c>
      <c r="HI158" s="21">
        <f>EXP(-LN(2)/2)*HI157+(1-EXP(-LN(2)/2))/(LN(2)/2)*HC158*HF158*VLOOKUP('Données projet'!$B$18,Paramètres!$A$1:$I$89,3,0)*0.475*44/12</f>
        <v>5.7408815870016374E-20</v>
      </c>
      <c r="HJ158" s="22">
        <f t="shared" si="190"/>
        <v>33.206690422625002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267</v>
      </c>
      <c r="O159" s="13">
        <f>N159*VLOOKUP('Données projet'!$B$9,Paramètres!$A$1:$I$89,3,0)*VLOOKUP('Données projet'!$B$9,Paramètres!$A$1:$I$89,5,0)</f>
        <v>241.58159999999998</v>
      </c>
      <c r="P159" s="13">
        <f t="shared" si="141"/>
        <v>58.779689232021951</v>
      </c>
      <c r="Q159" s="20">
        <f t="shared" si="162"/>
        <v>523.12924541243819</v>
      </c>
      <c r="R159" s="59">
        <f t="shared" si="109"/>
        <v>816.46257874577145</v>
      </c>
      <c r="S159" s="59">
        <f ca="1">AVERAGE(OFFSET($R$3,0,0,'Données projet'!$E$9+1,1))-AVERAGE(OFFSET($H$3,0,0,'Données projet'!$E$9+1,1))</f>
        <v>364.3481978218424</v>
      </c>
      <c r="T159" s="59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33.558986002657775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33.558986002657775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636.99999999999977</v>
      </c>
      <c r="AJ159" s="13">
        <f>AI159*VLOOKUP('Données projet'!$B$10,Paramètres!$A$1:$I$89,3,0)*VLOOKUP('Données projet'!$B$10,Paramètres!$A$1:$I$89,5,0)</f>
        <v>356.08299999999991</v>
      </c>
      <c r="AK159" s="13">
        <f t="shared" si="164"/>
        <v>82.813805255716545</v>
      </c>
      <c r="AL159" s="20">
        <f t="shared" si="165"/>
        <v>764.41193582037283</v>
      </c>
      <c r="AM159" s="59">
        <f t="shared" si="113"/>
        <v>1057.7452691537062</v>
      </c>
      <c r="AN159" s="59">
        <f ca="1">AVERAGE(OFFSET($AM$3,0,0,'Données projet'!$E$10+1,1))-AVERAGE(OFFSET($H$3,0,0,'Données projet'!$E$10+1,1))</f>
        <v>443.34220761968419</v>
      </c>
      <c r="AO159" s="59">
        <f t="shared" si="144"/>
        <v>546.58234447298014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14.599849639095716</v>
      </c>
      <c r="AV159" s="21">
        <f>EXP(-LN(2)/25)*AV158+(1-EXP(-LN(2)/25))/(LN(2)/25)*Calculateur!AQ159*Calculateur!AS159*VLOOKUP('Données projet'!$B$10,Paramètres!$A$1:$I$89,3,0)*0.475*44/12</f>
        <v>0.66679460505291999</v>
      </c>
      <c r="AW159" s="21">
        <f>EXP(-LN(2)/2)*AW158+(1-EXP(-LN(2)/2))/(LN(2)/2)*AQ159*AT159*VLOOKUP('Données projet'!$B$10,Paramètres!$A$1:$I$89,3,0)*0.475*44/12</f>
        <v>6.5505292604510048E-19</v>
      </c>
      <c r="AX159" s="21">
        <f t="shared" si="166"/>
        <v>15.266644244148635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403.99999999999989</v>
      </c>
      <c r="BE159" s="13">
        <f>BD159*VLOOKUP('Données projet'!$B$11,Paramètres!$A$1:$I$89,3,0)*VLOOKUP('Données projet'!$B$11,Paramètres!$A$1:$I$89,5,0)</f>
        <v>346.63199999999995</v>
      </c>
      <c r="BF159" s="13">
        <f t="shared" si="167"/>
        <v>80.868615263336864</v>
      </c>
      <c r="BG159" s="20">
        <f t="shared" si="168"/>
        <v>744.56357158364483</v>
      </c>
      <c r="BH159" s="59">
        <f t="shared" si="116"/>
        <v>1037.8969049169782</v>
      </c>
      <c r="BI159" s="59">
        <f ca="1">AVERAGE(OFFSET($BH$3,0,0,'Données projet'!$E$11+1,1))-AVERAGE(OFFSET($H$3,0,0,'Données projet'!$E$11+1,1))</f>
        <v>447.15627913956871</v>
      </c>
      <c r="BJ159" s="59">
        <f t="shared" si="146"/>
        <v>256.77417912163997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48.997821964453813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48.997821964453813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245.99999999999994</v>
      </c>
      <c r="BZ159" s="13">
        <f>BY159*VLOOKUP('Données projet'!$B$12,Paramètres!$A$1:$I$89,3,0)*VLOOKUP('Données projet'!$B$12,Paramètres!$A$1:$I$89,5,0)</f>
        <v>234.09359999999998</v>
      </c>
      <c r="CA159" s="13">
        <f t="shared" si="170"/>
        <v>57.166902703920208</v>
      </c>
      <c r="CB159" s="20">
        <f t="shared" si="171"/>
        <v>507.27870887599425</v>
      </c>
      <c r="CC159" s="59">
        <f t="shared" si="119"/>
        <v>800.61204220932757</v>
      </c>
      <c r="CD159" s="59">
        <f ca="1">AVERAGE(OFFSET($CC$3,0,0,'Données projet'!$E$12+1,1))-AVERAGE(OFFSET($H$3,0,0,'Données projet'!$E$12+1,1))</f>
        <v>448.94764480536713</v>
      </c>
      <c r="CE159" s="59">
        <f t="shared" si="148"/>
        <v>469.26760321719695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34.620970587110307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34.620970587110307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187.80389738728508</v>
      </c>
      <c r="CZ159" s="59">
        <f t="shared" si="150"/>
        <v>439.28159165815265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10.18576505812343</v>
      </c>
      <c r="DG159" s="21">
        <f>EXP(-LN(2)/25)*DG158+(1-EXP(-LN(2)/25))/(LN(2)/25)*Calculateur!DB159*Calculateur!DD159*VLOOKUP('Données projet'!$B$13,Paramètres!$A$1:$I$89,3,0)*0.475*44/12</f>
        <v>0.43700504096758208</v>
      </c>
      <c r="DH159" s="21">
        <f>EXP(-LN(2)/2)*DH158+(1-EXP(-LN(2)/2))/(LN(2)/2)*DB159*DE159*VLOOKUP('Données projet'!$B$13,Paramètres!$A$1:$I$89,3,0)*0.475*44/12</f>
        <v>4.8747904587276305E-21</v>
      </c>
      <c r="DI159" s="22">
        <f t="shared" si="175"/>
        <v>10.622770099091012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255.00000000000006</v>
      </c>
      <c r="DP159" s="17">
        <f>DO159*VLOOKUP('Données projet'!$B$14,Paramètres!$A$1:$I$89,3,0)*VLOOKUP('Données projet'!$B$14,Paramètres!$A$1:$I$89,5,0)</f>
        <v>186.96600000000004</v>
      </c>
      <c r="DQ159" s="13">
        <f t="shared" si="176"/>
        <v>46.868551400324648</v>
      </c>
      <c r="DR159" s="20">
        <f t="shared" si="177"/>
        <v>407.26184368889881</v>
      </c>
      <c r="DS159" s="59">
        <f t="shared" si="125"/>
        <v>700.59517702223206</v>
      </c>
      <c r="DT159" s="59">
        <f ca="1">AVERAGE(OFFSET($DS$3,0,0,'Données projet'!$E$14+1,1))-AVERAGE(OFFSET($H$3,0,0,'Données projet'!$E$14+1,1))</f>
        <v>239.25212250019609</v>
      </c>
      <c r="DU159" s="59">
        <f t="shared" si="152"/>
        <v>213.58492101729695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689</v>
      </c>
      <c r="EK159" s="17">
        <f>EJ159*VLOOKUP('Données projet'!$B$15,Paramètres!$A$1:$I$89,3,0)*VLOOKUP('Données projet'!$B$15,Paramètres!$A$1:$I$89,5,0)</f>
        <v>412.02199999999999</v>
      </c>
      <c r="EL159" s="13">
        <f t="shared" si="179"/>
        <v>94.209724877926391</v>
      </c>
      <c r="EM159" s="20">
        <f t="shared" si="180"/>
        <v>881.686920829055</v>
      </c>
      <c r="EN159" s="59">
        <f t="shared" si="128"/>
        <v>1175.0202541623883</v>
      </c>
      <c r="EO159" s="59">
        <f ca="1">AVERAGE(OFFSET($EN$3,0,0,'Données projet'!$E$15+1,1))-AVERAGE(OFFSET($H$3,0,0,'Données projet'!$E$15+1,1))</f>
        <v>504.81063008331739</v>
      </c>
      <c r="EP159" s="59">
        <f t="shared" si="154"/>
        <v>441.82647565372287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21.726545369052054</v>
      </c>
      <c r="EW159" s="21">
        <f>EXP(-LN(2)/25)*EW158+(1-EXP(-LN(2)/25))/(LN(2)/25)*Calculateur!ER159*Calculateur!ET159*VLOOKUP('Données projet'!$B$15,Paramètres!$A$1:$I$89,3,0)*0.475*44/12</f>
        <v>1.7896618797422434</v>
      </c>
      <c r="EX159" s="21">
        <f>EXP(-LN(2)/2)*EX158+(1-EXP(-LN(2)/2))/(LN(2)/2)*ER159*EU159*VLOOKUP('Données projet'!$B$15,Paramètres!$A$1:$I$89,3,0)*0.475*44/12</f>
        <v>5.6774074662608327E-21</v>
      </c>
      <c r="EY159" s="22">
        <f t="shared" si="181"/>
        <v>23.516207248794299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541.99999999999989</v>
      </c>
      <c r="FF159" s="17">
        <f>FE159*VLOOKUP('Données projet'!$B$16,Paramètres!$A$1:$I$89,3,0)*VLOOKUP('Données projet'!$B$16,Paramètres!$A$1:$I$89,5,0)</f>
        <v>310.02399999999994</v>
      </c>
      <c r="FG159" s="13">
        <f t="shared" si="182"/>
        <v>73.27384230442388</v>
      </c>
      <c r="FH159" s="20">
        <f t="shared" si="183"/>
        <v>667.57707534687154</v>
      </c>
      <c r="FI159" s="59">
        <f t="shared" si="131"/>
        <v>960.91040868020491</v>
      </c>
      <c r="FJ159" s="59">
        <f ca="1">AVERAGE(OFFSET($FI$3,0,0,'Données projet'!$E$16+1,1))-AVERAGE(OFFSET($H$3,0,0,'Données projet'!$E$16+1,1))</f>
        <v>393.41577134252316</v>
      </c>
      <c r="FK159" s="59">
        <f t="shared" si="156"/>
        <v>255.54039659391475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25.44080013912242</v>
      </c>
      <c r="FR159" s="21">
        <f>EXP(-LN(2)/25)*FR158+(1-EXP(-LN(2)/25))/(LN(2)/25)*Calculateur!FM159*Calculateur!FO159*VLOOKUP('Données projet'!$B$16,Paramètres!$A$1:$I$89,3,0)*0.475*44/12</f>
        <v>0.81217778312482702</v>
      </c>
      <c r="FS159" s="21">
        <f>EXP(-LN(2)/2)*FS158+(1-EXP(-LN(2)/2))/(LN(2)/2)*FM159*FP159*VLOOKUP('Données projet'!$B$16,Paramètres!$A$1:$I$89,3,0)*0.475*44/12</f>
        <v>3.9497023460995234E-20</v>
      </c>
      <c r="FT159" s="22">
        <f t="shared" si="184"/>
        <v>26.252977922247247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853.00000000000011</v>
      </c>
      <c r="GA159" s="17">
        <f>FZ159*VLOOKUP('Données projet'!$B$17,Paramètres!$A$1:$I$89,3,0)*VLOOKUP('Données projet'!$B$17,Paramètres!$A$1:$I$89,5,0)</f>
        <v>399.20400000000006</v>
      </c>
      <c r="GB159" s="13">
        <f t="shared" si="185"/>
        <v>91.615269732888521</v>
      </c>
      <c r="GC159" s="20">
        <f t="shared" si="186"/>
        <v>854.8435614514475</v>
      </c>
      <c r="GD159" s="59">
        <f t="shared" si="134"/>
        <v>1148.1768947847809</v>
      </c>
      <c r="GE159" s="59">
        <f ca="1">AVERAGE(OFFSET($GD$3,0,0,'Données projet'!$E$17+1,1))-AVERAGE(OFFSET($H$3,0,0,'Données projet'!$E$17+1,1))</f>
        <v>488.67934252295686</v>
      </c>
      <c r="GF159" s="59">
        <f t="shared" si="158"/>
        <v>424.50324471331095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30.766258842787266</v>
      </c>
      <c r="GM159" s="21">
        <f>EXP(-LN(2)/25)*GM158+(1-EXP(-LN(2)/25))/(LN(2)/25)*Calculateur!GH159*Calculateur!GJ159*VLOOKUP('Données projet'!$B$17,Paramètres!$A$1:$I$89,3,0)*0.475*44/12</f>
        <v>1.4889926023955171</v>
      </c>
      <c r="GN159" s="21">
        <f>EXP(-LN(2)/2)*GN158+(1-EXP(-LN(2)/2))/(LN(2)/2)*GH159*GK159*VLOOKUP('Données projet'!$B$17,Paramètres!$A$1:$I$89,3,0)*0.475*44/12</f>
        <v>8.7970643163125722E-20</v>
      </c>
      <c r="GO159" s="21">
        <f t="shared" si="187"/>
        <v>32.255251445182786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789</v>
      </c>
      <c r="GV159" s="17">
        <f>GU159*VLOOKUP('Données projet'!$B$18,Paramètres!$A$1:$I$89,3,0)*VLOOKUP('Données projet'!$B$18,Paramètres!$A$1:$I$89,5,0)</f>
        <v>379.50900000000001</v>
      </c>
      <c r="GW159" s="13">
        <f t="shared" si="188"/>
        <v>87.609801106074272</v>
      </c>
      <c r="GX159" s="20">
        <f t="shared" si="189"/>
        <v>813.56524525974601</v>
      </c>
      <c r="GY159" s="59">
        <f t="shared" si="137"/>
        <v>1106.8985785930793</v>
      </c>
      <c r="GZ159" s="59">
        <f ca="1">AVERAGE(OFFSET($GY$3,0,0,'Données projet'!$E$18+1,1))-AVERAGE(OFFSET($H$3,0,0,'Données projet'!$E$18+1,1))</f>
        <v>458.80976193248841</v>
      </c>
      <c r="HA159" s="59">
        <f t="shared" si="160"/>
        <v>396.07405370178759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31.153232362819189</v>
      </c>
      <c r="HH159" s="21">
        <f>EXP(-LN(2)/25)*HH158+(1-EXP(-LN(2)/25))/(LN(2)/25)*Calculateur!HC159*Calculateur!HE159*VLOOKUP('Données projet'!$B$18,Paramètres!$A$1:$I$89,3,0)*0.475*44/12</f>
        <v>1.3912304618341962</v>
      </c>
      <c r="HI159" s="21">
        <f>EXP(-LN(2)/2)*HI158+(1-EXP(-LN(2)/2))/(LN(2)/2)*HC159*HF159*VLOOKUP('Données projet'!$B$18,Paramètres!$A$1:$I$89,3,0)*0.475*44/12</f>
        <v>4.0594163001578465E-20</v>
      </c>
      <c r="HJ159" s="22">
        <f t="shared" si="190"/>
        <v>32.544462824653387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267</v>
      </c>
      <c r="O160" s="13">
        <f>N160*VLOOKUP('Données projet'!$B$9,Paramètres!$A$1:$I$89,3,0)*VLOOKUP('Données projet'!$B$9,Paramètres!$A$1:$I$89,5,0)</f>
        <v>241.58159999999998</v>
      </c>
      <c r="P160" s="13">
        <f t="shared" si="141"/>
        <v>58.779689232021951</v>
      </c>
      <c r="Q160" s="20">
        <f t="shared" si="162"/>
        <v>523.12924541243819</v>
      </c>
      <c r="R160" s="59">
        <f t="shared" si="109"/>
        <v>816.46257874577145</v>
      </c>
      <c r="S160" s="59">
        <f ca="1">AVERAGE(OFFSET($R$3,0,0,'Données projet'!$E$9+1,1))-AVERAGE(OFFSET($H$3,0,0,'Données projet'!$E$9+1,1))</f>
        <v>364.3481978218424</v>
      </c>
      <c r="T160" s="59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32.900914756105976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32.900914756105976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636.99999999999977</v>
      </c>
      <c r="AJ160" s="13">
        <f>AI160*VLOOKUP('Données projet'!$B$10,Paramètres!$A$1:$I$89,3,0)*VLOOKUP('Données projet'!$B$10,Paramètres!$A$1:$I$89,5,0)</f>
        <v>356.08299999999991</v>
      </c>
      <c r="AK160" s="13">
        <f t="shared" si="164"/>
        <v>82.813805255716545</v>
      </c>
      <c r="AL160" s="20">
        <f t="shared" si="165"/>
        <v>764.41193582037283</v>
      </c>
      <c r="AM160" s="59">
        <f t="shared" si="113"/>
        <v>1057.7452691537062</v>
      </c>
      <c r="AN160" s="59">
        <f ca="1">AVERAGE(OFFSET($AM$3,0,0,'Données projet'!$E$10+1,1))-AVERAGE(OFFSET($H$3,0,0,'Données projet'!$E$10+1,1))</f>
        <v>443.34220761968419</v>
      </c>
      <c r="AO160" s="59">
        <f t="shared" si="144"/>
        <v>546.58234447298014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14.313555492702029</v>
      </c>
      <c r="AV160" s="21">
        <f>EXP(-LN(2)/25)*AV159+(1-EXP(-LN(2)/25))/(LN(2)/25)*Calculateur!AQ160*Calculateur!AS160*VLOOKUP('Données projet'!$B$10,Paramètres!$A$1:$I$89,3,0)*0.475*44/12</f>
        <v>0.64856107151254361</v>
      </c>
      <c r="AW160" s="21">
        <f>EXP(-LN(2)/2)*AW159+(1-EXP(-LN(2)/2))/(LN(2)/2)*AQ160*AT160*VLOOKUP('Données projet'!$B$10,Paramètres!$A$1:$I$89,3,0)*0.475*44/12</f>
        <v>4.6319236604258056E-19</v>
      </c>
      <c r="AX160" s="21">
        <f t="shared" si="166"/>
        <v>14.962116564214574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403.99999999999989</v>
      </c>
      <c r="BE160" s="13">
        <f>BD160*VLOOKUP('Données projet'!$B$11,Paramètres!$A$1:$I$89,3,0)*VLOOKUP('Données projet'!$B$11,Paramètres!$A$1:$I$89,5,0)</f>
        <v>346.63199999999995</v>
      </c>
      <c r="BF160" s="13">
        <f t="shared" si="167"/>
        <v>80.868615263336864</v>
      </c>
      <c r="BG160" s="20">
        <f t="shared" si="168"/>
        <v>744.56357158364483</v>
      </c>
      <c r="BH160" s="59">
        <f t="shared" si="116"/>
        <v>1037.8969049169782</v>
      </c>
      <c r="BI160" s="59">
        <f ca="1">AVERAGE(OFFSET($BH$3,0,0,'Données projet'!$E$11+1,1))-AVERAGE(OFFSET($H$3,0,0,'Données projet'!$E$11+1,1))</f>
        <v>447.15627913956871</v>
      </c>
      <c r="BJ160" s="59">
        <f t="shared" si="146"/>
        <v>256.77417912163997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48.037004561451305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48.037004561451305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245.99999999999994</v>
      </c>
      <c r="BZ160" s="13">
        <f>BY160*VLOOKUP('Données projet'!$B$12,Paramètres!$A$1:$I$89,3,0)*VLOOKUP('Données projet'!$B$12,Paramètres!$A$1:$I$89,5,0)</f>
        <v>234.09359999999998</v>
      </c>
      <c r="CA160" s="13">
        <f t="shared" si="170"/>
        <v>57.166902703920208</v>
      </c>
      <c r="CB160" s="20">
        <f t="shared" si="171"/>
        <v>507.27870887599425</v>
      </c>
      <c r="CC160" s="59">
        <f t="shared" si="119"/>
        <v>800.61204220932757</v>
      </c>
      <c r="CD160" s="59">
        <f ca="1">AVERAGE(OFFSET($CC$3,0,0,'Données projet'!$E$12+1,1))-AVERAGE(OFFSET($H$3,0,0,'Données projet'!$E$12+1,1))</f>
        <v>448.94764480536713</v>
      </c>
      <c r="CE160" s="59">
        <f t="shared" si="148"/>
        <v>469.26760321719695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33.942074470604027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33.942074470604027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187.80389738728508</v>
      </c>
      <c r="CZ160" s="59">
        <f t="shared" si="150"/>
        <v>439.28159165815265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9.9860284180368613</v>
      </c>
      <c r="DG160" s="21">
        <f>EXP(-LN(2)/25)*DG159+(1-EXP(-LN(2)/25))/(LN(2)/25)*Calculateur!DB160*Calculateur!DD160*VLOOKUP('Données projet'!$B$13,Paramètres!$A$1:$I$89,3,0)*0.475*44/12</f>
        <v>0.42505511514122724</v>
      </c>
      <c r="DH160" s="21">
        <f>EXP(-LN(2)/2)*DH159+(1-EXP(-LN(2)/2))/(LN(2)/2)*DB160*DE160*VLOOKUP('Données projet'!$B$13,Paramètres!$A$1:$I$89,3,0)*0.475*44/12</f>
        <v>3.4469973902297883E-21</v>
      </c>
      <c r="DI160" s="22">
        <f t="shared" si="175"/>
        <v>10.411083533178088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255.00000000000006</v>
      </c>
      <c r="DP160" s="17">
        <f>DO160*VLOOKUP('Données projet'!$B$14,Paramètres!$A$1:$I$89,3,0)*VLOOKUP('Données projet'!$B$14,Paramètres!$A$1:$I$89,5,0)</f>
        <v>186.96600000000004</v>
      </c>
      <c r="DQ160" s="13">
        <f t="shared" si="176"/>
        <v>46.868551400324648</v>
      </c>
      <c r="DR160" s="20">
        <f t="shared" si="177"/>
        <v>407.26184368889881</v>
      </c>
      <c r="DS160" s="59">
        <f t="shared" si="125"/>
        <v>700.59517702223206</v>
      </c>
      <c r="DT160" s="59">
        <f ca="1">AVERAGE(OFFSET($DS$3,0,0,'Données projet'!$E$14+1,1))-AVERAGE(OFFSET($H$3,0,0,'Données projet'!$E$14+1,1))</f>
        <v>239.25212250019609</v>
      </c>
      <c r="DU160" s="59">
        <f t="shared" si="152"/>
        <v>213.58492101729695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689</v>
      </c>
      <c r="EK160" s="17">
        <f>EJ160*VLOOKUP('Données projet'!$B$15,Paramètres!$A$1:$I$89,3,0)*VLOOKUP('Données projet'!$B$15,Paramètres!$A$1:$I$89,5,0)</f>
        <v>412.02199999999999</v>
      </c>
      <c r="EL160" s="13">
        <f t="shared" si="179"/>
        <v>94.209724877926391</v>
      </c>
      <c r="EM160" s="20">
        <f t="shared" si="180"/>
        <v>881.686920829055</v>
      </c>
      <c r="EN160" s="59">
        <f t="shared" si="128"/>
        <v>1175.0202541623883</v>
      </c>
      <c r="EO160" s="59">
        <f ca="1">AVERAGE(OFFSET($EN$3,0,0,'Données projet'!$E$15+1,1))-AVERAGE(OFFSET($H$3,0,0,'Données projet'!$E$15+1,1))</f>
        <v>504.81063008331739</v>
      </c>
      <c r="EP160" s="59">
        <f t="shared" si="154"/>
        <v>441.82647565372287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21.300501066249105</v>
      </c>
      <c r="EW160" s="21">
        <f>EXP(-LN(2)/25)*EW159+(1-EXP(-LN(2)/25))/(LN(2)/25)*Calculateur!ER160*Calculateur!ET160*VLOOKUP('Données projet'!$B$15,Paramètres!$A$1:$I$89,3,0)*0.475*44/12</f>
        <v>1.7407234815264638</v>
      </c>
      <c r="EX160" s="21">
        <f>EXP(-LN(2)/2)*EX159+(1-EXP(-LN(2)/2))/(LN(2)/2)*ER160*EU160*VLOOKUP('Données projet'!$B$15,Paramètres!$A$1:$I$89,3,0)*0.475*44/12</f>
        <v>4.0145333189521697E-21</v>
      </c>
      <c r="EY160" s="22">
        <f t="shared" si="181"/>
        <v>23.041224547775567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541.99999999999989</v>
      </c>
      <c r="FF160" s="17">
        <f>FE160*VLOOKUP('Données projet'!$B$16,Paramètres!$A$1:$I$89,3,0)*VLOOKUP('Données projet'!$B$16,Paramètres!$A$1:$I$89,5,0)</f>
        <v>310.02399999999994</v>
      </c>
      <c r="FG160" s="13">
        <f t="shared" si="182"/>
        <v>73.27384230442388</v>
      </c>
      <c r="FH160" s="20">
        <f t="shared" si="183"/>
        <v>667.57707534687154</v>
      </c>
      <c r="FI160" s="59">
        <f t="shared" si="131"/>
        <v>960.91040868020491</v>
      </c>
      <c r="FJ160" s="59">
        <f ca="1">AVERAGE(OFFSET($FI$3,0,0,'Données projet'!$E$16+1,1))-AVERAGE(OFFSET($H$3,0,0,'Données projet'!$E$16+1,1))</f>
        <v>393.41577134252316</v>
      </c>
      <c r="FK160" s="59">
        <f t="shared" si="156"/>
        <v>255.54039659391475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24.941921565750103</v>
      </c>
      <c r="FR160" s="21">
        <f>EXP(-LN(2)/25)*FR159+(1-EXP(-LN(2)/25))/(LN(2)/25)*Calculateur!FM160*Calculateur!FO160*VLOOKUP('Données projet'!$B$16,Paramètres!$A$1:$I$89,3,0)*0.475*44/12</f>
        <v>0.78996873893470532</v>
      </c>
      <c r="FS160" s="21">
        <f>EXP(-LN(2)/2)*FS159+(1-EXP(-LN(2)/2))/(LN(2)/2)*FM160*FP160*VLOOKUP('Données projet'!$B$16,Paramètres!$A$1:$I$89,3,0)*0.475*44/12</f>
        <v>2.792861312595389E-20</v>
      </c>
      <c r="FT160" s="22">
        <f t="shared" si="184"/>
        <v>25.731890304684807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853.00000000000011</v>
      </c>
      <c r="GA160" s="17">
        <f>FZ160*VLOOKUP('Données projet'!$B$17,Paramètres!$A$1:$I$89,3,0)*VLOOKUP('Données projet'!$B$17,Paramètres!$A$1:$I$89,5,0)</f>
        <v>399.20400000000006</v>
      </c>
      <c r="GB160" s="13">
        <f t="shared" si="185"/>
        <v>91.615269732888521</v>
      </c>
      <c r="GC160" s="20">
        <f t="shared" si="186"/>
        <v>854.8435614514475</v>
      </c>
      <c r="GD160" s="59">
        <f t="shared" si="134"/>
        <v>1148.1768947847809</v>
      </c>
      <c r="GE160" s="59">
        <f ca="1">AVERAGE(OFFSET($GD$3,0,0,'Données projet'!$E$17+1,1))-AVERAGE(OFFSET($H$3,0,0,'Données projet'!$E$17+1,1))</f>
        <v>488.67934252295686</v>
      </c>
      <c r="GF160" s="59">
        <f t="shared" si="158"/>
        <v>424.50324471331095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30.162951272445156</v>
      </c>
      <c r="GM160" s="21">
        <f>EXP(-LN(2)/25)*GM159+(1-EXP(-LN(2)/25))/(LN(2)/25)*Calculateur!GH160*Calculateur!GJ160*VLOOKUP('Données projet'!$B$17,Paramètres!$A$1:$I$89,3,0)*0.475*44/12</f>
        <v>1.4482760213802939</v>
      </c>
      <c r="GN160" s="21">
        <f>EXP(-LN(2)/2)*GN159+(1-EXP(-LN(2)/2))/(LN(2)/2)*GH160*GK160*VLOOKUP('Données projet'!$B$17,Paramètres!$A$1:$I$89,3,0)*0.475*44/12</f>
        <v>6.2204638325988191E-20</v>
      </c>
      <c r="GO160" s="21">
        <f t="shared" si="187"/>
        <v>31.611227293825451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789</v>
      </c>
      <c r="GV160" s="17">
        <f>GU160*VLOOKUP('Données projet'!$B$18,Paramètres!$A$1:$I$89,3,0)*VLOOKUP('Données projet'!$B$18,Paramètres!$A$1:$I$89,5,0)</f>
        <v>379.50900000000001</v>
      </c>
      <c r="GW160" s="13">
        <f t="shared" si="188"/>
        <v>87.609801106074272</v>
      </c>
      <c r="GX160" s="20">
        <f t="shared" si="189"/>
        <v>813.56524525974601</v>
      </c>
      <c r="GY160" s="59">
        <f t="shared" si="137"/>
        <v>1106.8985785930793</v>
      </c>
      <c r="GZ160" s="59">
        <f ca="1">AVERAGE(OFFSET($GY$3,0,0,'Données projet'!$E$18+1,1))-AVERAGE(OFFSET($H$3,0,0,'Données projet'!$E$18+1,1))</f>
        <v>458.80976193248841</v>
      </c>
      <c r="HA160" s="59">
        <f t="shared" si="160"/>
        <v>396.07405370178759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30.542336477779795</v>
      </c>
      <c r="HH160" s="21">
        <f>EXP(-LN(2)/25)*HH159+(1-EXP(-LN(2)/25))/(LN(2)/25)*Calculateur!HC160*Calculateur!HE160*VLOOKUP('Données projet'!$B$18,Paramètres!$A$1:$I$89,3,0)*0.475*44/12</f>
        <v>1.3531871916937097</v>
      </c>
      <c r="HI160" s="21">
        <f>EXP(-LN(2)/2)*HI159+(1-EXP(-LN(2)/2))/(LN(2)/2)*HC160*HF160*VLOOKUP('Données projet'!$B$18,Paramètres!$A$1:$I$89,3,0)*0.475*44/12</f>
        <v>2.8704407935008187E-20</v>
      </c>
      <c r="HJ160" s="22">
        <f t="shared" si="190"/>
        <v>31.895523669473505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267</v>
      </c>
      <c r="O161" s="13">
        <f>N161*VLOOKUP('Données projet'!$B$9,Paramètres!$A$1:$I$89,3,0)*VLOOKUP('Données projet'!$B$9,Paramètres!$A$1:$I$89,5,0)</f>
        <v>241.58159999999998</v>
      </c>
      <c r="P161" s="13">
        <f t="shared" si="141"/>
        <v>58.779689232021951</v>
      </c>
      <c r="Q161" s="20">
        <f t="shared" si="162"/>
        <v>523.12924541243819</v>
      </c>
      <c r="R161" s="59">
        <f t="shared" si="109"/>
        <v>816.46257874577145</v>
      </c>
      <c r="S161" s="59">
        <f ca="1">AVERAGE(OFFSET($R$3,0,0,'Données projet'!$E$9+1,1))-AVERAGE(OFFSET($H$3,0,0,'Données projet'!$E$9+1,1))</f>
        <v>364.3481978218424</v>
      </c>
      <c r="T161" s="59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32.25574788531523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32.25574788531523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636.99999999999977</v>
      </c>
      <c r="AJ161" s="13">
        <f>AI161*VLOOKUP('Données projet'!$B$10,Paramètres!$A$1:$I$89,3,0)*VLOOKUP('Données projet'!$B$10,Paramètres!$A$1:$I$89,5,0)</f>
        <v>356.08299999999991</v>
      </c>
      <c r="AK161" s="13">
        <f t="shared" si="164"/>
        <v>82.813805255716545</v>
      </c>
      <c r="AL161" s="20">
        <f t="shared" si="165"/>
        <v>764.41193582037283</v>
      </c>
      <c r="AM161" s="59">
        <f t="shared" si="113"/>
        <v>1057.7452691537062</v>
      </c>
      <c r="AN161" s="59">
        <f ca="1">AVERAGE(OFFSET($AM$3,0,0,'Données projet'!$E$10+1,1))-AVERAGE(OFFSET($H$3,0,0,'Données projet'!$E$10+1,1))</f>
        <v>443.34220761968419</v>
      </c>
      <c r="AO161" s="59">
        <f t="shared" si="144"/>
        <v>546.58234447298014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14.032875399896938</v>
      </c>
      <c r="AV161" s="21">
        <f>EXP(-LN(2)/25)*AV160+(1-EXP(-LN(2)/25))/(LN(2)/25)*Calculateur!AQ161*Calculateur!AS161*VLOOKUP('Données projet'!$B$10,Paramètres!$A$1:$I$89,3,0)*0.475*44/12</f>
        <v>0.63082613490568862</v>
      </c>
      <c r="AW161" s="21">
        <f>EXP(-LN(2)/2)*AW160+(1-EXP(-LN(2)/2))/(LN(2)/2)*AQ161*AT161*VLOOKUP('Données projet'!$B$10,Paramètres!$A$1:$I$89,3,0)*0.475*44/12</f>
        <v>3.2752646302255024E-19</v>
      </c>
      <c r="AX161" s="21">
        <f t="shared" si="166"/>
        <v>14.663701534802627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403.99999999999989</v>
      </c>
      <c r="BE161" s="13">
        <f>BD161*VLOOKUP('Données projet'!$B$11,Paramètres!$A$1:$I$89,3,0)*VLOOKUP('Données projet'!$B$11,Paramètres!$A$1:$I$89,5,0)</f>
        <v>346.63199999999995</v>
      </c>
      <c r="BF161" s="13">
        <f t="shared" si="167"/>
        <v>80.868615263336864</v>
      </c>
      <c r="BG161" s="20">
        <f t="shared" si="168"/>
        <v>744.56357158364483</v>
      </c>
      <c r="BH161" s="59">
        <f t="shared" si="116"/>
        <v>1037.8969049169782</v>
      </c>
      <c r="BI161" s="59">
        <f ca="1">AVERAGE(OFFSET($BH$3,0,0,'Données projet'!$E$11+1,1))-AVERAGE(OFFSET($H$3,0,0,'Données projet'!$E$11+1,1))</f>
        <v>447.15627913956871</v>
      </c>
      <c r="BJ161" s="59">
        <f t="shared" si="146"/>
        <v>256.77417912163997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47.095028201680925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47.095028201680925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245.99999999999994</v>
      </c>
      <c r="BZ161" s="13">
        <f>BY161*VLOOKUP('Données projet'!$B$12,Paramètres!$A$1:$I$89,3,0)*VLOOKUP('Données projet'!$B$12,Paramètres!$A$1:$I$89,5,0)</f>
        <v>234.09359999999998</v>
      </c>
      <c r="CA161" s="13">
        <f t="shared" si="170"/>
        <v>57.166902703920208</v>
      </c>
      <c r="CB161" s="20">
        <f t="shared" si="171"/>
        <v>507.27870887599425</v>
      </c>
      <c r="CC161" s="59">
        <f t="shared" si="119"/>
        <v>800.61204220932757</v>
      </c>
      <c r="CD161" s="59">
        <f ca="1">AVERAGE(OFFSET($CC$3,0,0,'Données projet'!$E$12+1,1))-AVERAGE(OFFSET($H$3,0,0,'Données projet'!$E$12+1,1))</f>
        <v>448.94764480536713</v>
      </c>
      <c r="CE161" s="59">
        <f t="shared" si="148"/>
        <v>469.26760321719695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33.276491092856695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33.276491092856695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187.80389738728508</v>
      </c>
      <c r="CZ161" s="59">
        <f t="shared" si="150"/>
        <v>439.28159165815265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9.7902084916350702</v>
      </c>
      <c r="DG161" s="21">
        <f>EXP(-LN(2)/25)*DG160+(1-EXP(-LN(2)/25))/(LN(2)/25)*Calculateur!DB161*Calculateur!DD161*VLOOKUP('Données projet'!$B$13,Paramètres!$A$1:$I$89,3,0)*0.475*44/12</f>
        <v>0.41343196066501336</v>
      </c>
      <c r="DH161" s="21">
        <f>EXP(-LN(2)/2)*DH160+(1-EXP(-LN(2)/2))/(LN(2)/2)*DB161*DE161*VLOOKUP('Données projet'!$B$13,Paramètres!$A$1:$I$89,3,0)*0.475*44/12</f>
        <v>2.4373952293638153E-21</v>
      </c>
      <c r="DI161" s="22">
        <f t="shared" si="175"/>
        <v>10.203640452300084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255.00000000000006</v>
      </c>
      <c r="DP161" s="17">
        <f>DO161*VLOOKUP('Données projet'!$B$14,Paramètres!$A$1:$I$89,3,0)*VLOOKUP('Données projet'!$B$14,Paramètres!$A$1:$I$89,5,0)</f>
        <v>186.96600000000004</v>
      </c>
      <c r="DQ161" s="13">
        <f t="shared" si="176"/>
        <v>46.868551400324648</v>
      </c>
      <c r="DR161" s="20">
        <f t="shared" si="177"/>
        <v>407.26184368889881</v>
      </c>
      <c r="DS161" s="59">
        <f t="shared" si="125"/>
        <v>700.59517702223206</v>
      </c>
      <c r="DT161" s="59">
        <f ca="1">AVERAGE(OFFSET($DS$3,0,0,'Données projet'!$E$14+1,1))-AVERAGE(OFFSET($H$3,0,0,'Données projet'!$E$14+1,1))</f>
        <v>239.25212250019609</v>
      </c>
      <c r="DU161" s="59">
        <f t="shared" si="152"/>
        <v>213.58492101729695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689</v>
      </c>
      <c r="EK161" s="17">
        <f>EJ161*VLOOKUP('Données projet'!$B$15,Paramètres!$A$1:$I$89,3,0)*VLOOKUP('Données projet'!$B$15,Paramètres!$A$1:$I$89,5,0)</f>
        <v>412.02199999999999</v>
      </c>
      <c r="EL161" s="13">
        <f t="shared" si="179"/>
        <v>94.209724877926391</v>
      </c>
      <c r="EM161" s="20">
        <f t="shared" si="180"/>
        <v>881.686920829055</v>
      </c>
      <c r="EN161" s="59">
        <f t="shared" si="128"/>
        <v>1175.0202541623883</v>
      </c>
      <c r="EO161" s="59">
        <f ca="1">AVERAGE(OFFSET($EN$3,0,0,'Données projet'!$E$15+1,1))-AVERAGE(OFFSET($H$3,0,0,'Données projet'!$E$15+1,1))</f>
        <v>504.81063008331739</v>
      </c>
      <c r="EP161" s="59">
        <f t="shared" si="154"/>
        <v>441.82647565372287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20.882811232362755</v>
      </c>
      <c r="EW161" s="21">
        <f>EXP(-LN(2)/25)*EW160+(1-EXP(-LN(2)/25))/(LN(2)/25)*Calculateur!ER161*Calculateur!ET161*VLOOKUP('Données projet'!$B$15,Paramètres!$A$1:$I$89,3,0)*0.475*44/12</f>
        <v>1.6931233063834532</v>
      </c>
      <c r="EX161" s="21">
        <f>EXP(-LN(2)/2)*EX160+(1-EXP(-LN(2)/2))/(LN(2)/2)*ER161*EU161*VLOOKUP('Données projet'!$B$15,Paramètres!$A$1:$I$89,3,0)*0.475*44/12</f>
        <v>2.8387037331304163E-21</v>
      </c>
      <c r="EY161" s="22">
        <f t="shared" si="181"/>
        <v>22.575934538746207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541.99999999999989</v>
      </c>
      <c r="FF161" s="17">
        <f>FE161*VLOOKUP('Données projet'!$B$16,Paramètres!$A$1:$I$89,3,0)*VLOOKUP('Données projet'!$B$16,Paramètres!$A$1:$I$89,5,0)</f>
        <v>310.02399999999994</v>
      </c>
      <c r="FG161" s="13">
        <f t="shared" si="182"/>
        <v>73.27384230442388</v>
      </c>
      <c r="FH161" s="20">
        <f t="shared" si="183"/>
        <v>667.57707534687154</v>
      </c>
      <c r="FI161" s="59">
        <f t="shared" si="131"/>
        <v>960.91040868020491</v>
      </c>
      <c r="FJ161" s="59">
        <f ca="1">AVERAGE(OFFSET($FI$3,0,0,'Données projet'!$E$16+1,1))-AVERAGE(OFFSET($H$3,0,0,'Données projet'!$E$16+1,1))</f>
        <v>393.41577134252316</v>
      </c>
      <c r="FK161" s="59">
        <f t="shared" si="156"/>
        <v>255.54039659391475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24.452825696915735</v>
      </c>
      <c r="FR161" s="21">
        <f>EXP(-LN(2)/25)*FR160+(1-EXP(-LN(2)/25))/(LN(2)/25)*Calculateur!FM161*Calculateur!FO161*VLOOKUP('Données projet'!$B$16,Paramètres!$A$1:$I$89,3,0)*0.475*44/12</f>
        <v>0.76836700222588528</v>
      </c>
      <c r="FS161" s="21">
        <f>EXP(-LN(2)/2)*FS160+(1-EXP(-LN(2)/2))/(LN(2)/2)*FM161*FP161*VLOOKUP('Données projet'!$B$16,Paramètres!$A$1:$I$89,3,0)*0.475*44/12</f>
        <v>1.9748511730497617E-20</v>
      </c>
      <c r="FT161" s="22">
        <f t="shared" si="184"/>
        <v>25.221192699141621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853.00000000000011</v>
      </c>
      <c r="GA161" s="17">
        <f>FZ161*VLOOKUP('Données projet'!$B$17,Paramètres!$A$1:$I$89,3,0)*VLOOKUP('Données projet'!$B$17,Paramètres!$A$1:$I$89,5,0)</f>
        <v>399.20400000000006</v>
      </c>
      <c r="GB161" s="13">
        <f t="shared" si="185"/>
        <v>91.615269732888521</v>
      </c>
      <c r="GC161" s="20">
        <f t="shared" si="186"/>
        <v>854.8435614514475</v>
      </c>
      <c r="GD161" s="59">
        <f t="shared" si="134"/>
        <v>1148.1768947847809</v>
      </c>
      <c r="GE161" s="59">
        <f ca="1">AVERAGE(OFFSET($GD$3,0,0,'Données projet'!$E$17+1,1))-AVERAGE(OFFSET($H$3,0,0,'Données projet'!$E$17+1,1))</f>
        <v>488.67934252295686</v>
      </c>
      <c r="GF161" s="59">
        <f t="shared" si="158"/>
        <v>424.50324471331095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29.571474195576172</v>
      </c>
      <c r="GM161" s="21">
        <f>EXP(-LN(2)/25)*GM160+(1-EXP(-LN(2)/25))/(LN(2)/25)*Calculateur!GH161*Calculateur!GJ161*VLOOKUP('Données projet'!$B$17,Paramètres!$A$1:$I$89,3,0)*0.475*44/12</f>
        <v>1.4086728374141237</v>
      </c>
      <c r="GN161" s="21">
        <f>EXP(-LN(2)/2)*GN160+(1-EXP(-LN(2)/2))/(LN(2)/2)*GH161*GK161*VLOOKUP('Données projet'!$B$17,Paramètres!$A$1:$I$89,3,0)*0.475*44/12</f>
        <v>4.3985321581562861E-20</v>
      </c>
      <c r="GO161" s="21">
        <f t="shared" si="187"/>
        <v>30.980147032990295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789</v>
      </c>
      <c r="GV161" s="17">
        <f>GU161*VLOOKUP('Données projet'!$B$18,Paramètres!$A$1:$I$89,3,0)*VLOOKUP('Données projet'!$B$18,Paramètres!$A$1:$I$89,5,0)</f>
        <v>379.50900000000001</v>
      </c>
      <c r="GW161" s="13">
        <f t="shared" si="188"/>
        <v>87.609801106074272</v>
      </c>
      <c r="GX161" s="20">
        <f t="shared" si="189"/>
        <v>813.56524525974601</v>
      </c>
      <c r="GY161" s="59">
        <f t="shared" si="137"/>
        <v>1106.8985785930793</v>
      </c>
      <c r="GZ161" s="59">
        <f ca="1">AVERAGE(OFFSET($GY$3,0,0,'Données projet'!$E$18+1,1))-AVERAGE(OFFSET($H$3,0,0,'Données projet'!$E$18+1,1))</f>
        <v>458.80976193248841</v>
      </c>
      <c r="HA161" s="59">
        <f t="shared" si="160"/>
        <v>396.07405370178759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29.943419888436324</v>
      </c>
      <c r="HH161" s="21">
        <f>EXP(-LN(2)/25)*HH160+(1-EXP(-LN(2)/25))/(LN(2)/25)*Calculateur!HC161*Calculateur!HE161*VLOOKUP('Données projet'!$B$18,Paramètres!$A$1:$I$89,3,0)*0.475*44/12</f>
        <v>1.3161842167758235</v>
      </c>
      <c r="HI161" s="21">
        <f>EXP(-LN(2)/2)*HI160+(1-EXP(-LN(2)/2))/(LN(2)/2)*HC161*HF161*VLOOKUP('Données projet'!$B$18,Paramètres!$A$1:$I$89,3,0)*0.475*44/12</f>
        <v>2.0297081500789233E-20</v>
      </c>
      <c r="HJ161" s="22">
        <f t="shared" si="190"/>
        <v>31.259604105212148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267</v>
      </c>
      <c r="O162" s="13">
        <f>N162*VLOOKUP('Données projet'!$B$9,Paramètres!$A$1:$I$89,3,0)*VLOOKUP('Données projet'!$B$9,Paramètres!$A$1:$I$89,5,0)</f>
        <v>241.58159999999998</v>
      </c>
      <c r="P162" s="13">
        <f t="shared" si="141"/>
        <v>58.779689232021951</v>
      </c>
      <c r="Q162" s="20">
        <f t="shared" si="162"/>
        <v>523.12924541243819</v>
      </c>
      <c r="R162" s="59">
        <f t="shared" si="109"/>
        <v>816.46257874577145</v>
      </c>
      <c r="S162" s="59">
        <f ca="1">AVERAGE(OFFSET($R$3,0,0,'Données projet'!$E$9+1,1))-AVERAGE(OFFSET($H$3,0,0,'Données projet'!$E$9+1,1))</f>
        <v>364.3481978218424</v>
      </c>
      <c r="T162" s="59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31.623232343347755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31.623232343347755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636.99999999999977</v>
      </c>
      <c r="AJ162" s="13">
        <f>AI162*VLOOKUP('Données projet'!$B$10,Paramètres!$A$1:$I$89,3,0)*VLOOKUP('Données projet'!$B$10,Paramètres!$A$1:$I$89,5,0)</f>
        <v>356.08299999999991</v>
      </c>
      <c r="AK162" s="13">
        <f t="shared" si="164"/>
        <v>82.813805255716545</v>
      </c>
      <c r="AL162" s="20">
        <f t="shared" si="165"/>
        <v>764.41193582037283</v>
      </c>
      <c r="AM162" s="59">
        <f t="shared" si="113"/>
        <v>1057.7452691537062</v>
      </c>
      <c r="AN162" s="59">
        <f ca="1">AVERAGE(OFFSET($AM$3,0,0,'Données projet'!$E$10+1,1))-AVERAGE(OFFSET($H$3,0,0,'Données projet'!$E$10+1,1))</f>
        <v>443.34220761968419</v>
      </c>
      <c r="AO162" s="59">
        <f t="shared" si="144"/>
        <v>546.58234447298014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13.757699272513801</v>
      </c>
      <c r="AV162" s="21">
        <f>EXP(-LN(2)/25)*AV161+(1-EXP(-LN(2)/25))/(LN(2)/25)*Calculateur!AQ162*Calculateur!AS162*VLOOKUP('Données projet'!$B$10,Paramètres!$A$1:$I$89,3,0)*0.475*44/12</f>
        <v>0.61357616107298785</v>
      </c>
      <c r="AW162" s="21">
        <f>EXP(-LN(2)/2)*AW161+(1-EXP(-LN(2)/2))/(LN(2)/2)*AQ162*AT162*VLOOKUP('Données projet'!$B$10,Paramètres!$A$1:$I$89,3,0)*0.475*44/12</f>
        <v>2.3159618302129028E-19</v>
      </c>
      <c r="AX162" s="21">
        <f t="shared" si="166"/>
        <v>14.371275433586788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403.99999999999989</v>
      </c>
      <c r="BE162" s="13">
        <f>BD162*VLOOKUP('Données projet'!$B$11,Paramètres!$A$1:$I$89,3,0)*VLOOKUP('Données projet'!$B$11,Paramètres!$A$1:$I$89,5,0)</f>
        <v>346.63199999999995</v>
      </c>
      <c r="BF162" s="13">
        <f t="shared" si="167"/>
        <v>80.868615263336864</v>
      </c>
      <c r="BG162" s="20">
        <f t="shared" si="168"/>
        <v>744.56357158364483</v>
      </c>
      <c r="BH162" s="59">
        <f t="shared" si="116"/>
        <v>1037.8969049169782</v>
      </c>
      <c r="BI162" s="59">
        <f ca="1">AVERAGE(OFFSET($BH$3,0,0,'Données projet'!$E$11+1,1))-AVERAGE(OFFSET($H$3,0,0,'Données projet'!$E$11+1,1))</f>
        <v>447.15627913956871</v>
      </c>
      <c r="BJ162" s="59">
        <f t="shared" si="146"/>
        <v>256.77417912163997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46.171523423776797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46.171523423776797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245.99999999999994</v>
      </c>
      <c r="BZ162" s="13">
        <f>BY162*VLOOKUP('Données projet'!$B$12,Paramètres!$A$1:$I$89,3,0)*VLOOKUP('Données projet'!$B$12,Paramètres!$A$1:$I$89,5,0)</f>
        <v>234.09359999999998</v>
      </c>
      <c r="CA162" s="13">
        <f t="shared" si="170"/>
        <v>57.166902703920208</v>
      </c>
      <c r="CB162" s="20">
        <f t="shared" si="171"/>
        <v>507.27870887599425</v>
      </c>
      <c r="CC162" s="59">
        <f t="shared" si="119"/>
        <v>800.61204220932757</v>
      </c>
      <c r="CD162" s="59">
        <f ca="1">AVERAGE(OFFSET($CC$3,0,0,'Données projet'!$E$12+1,1))-AVERAGE(OFFSET($H$3,0,0,'Données projet'!$E$12+1,1))</f>
        <v>448.94764480536713</v>
      </c>
      <c r="CE162" s="59">
        <f t="shared" si="148"/>
        <v>469.26760321719695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32.62395939918121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32.62395939918121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187.80389738728508</v>
      </c>
      <c r="CZ162" s="59">
        <f t="shared" si="150"/>
        <v>439.28159165815265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9.5982284745516555</v>
      </c>
      <c r="DG162" s="21">
        <f>EXP(-LN(2)/25)*DG161+(1-EXP(-LN(2)/25))/(LN(2)/25)*Calculateur!DB162*Calculateur!DD162*VLOOKUP('Données projet'!$B$13,Paramètres!$A$1:$I$89,3,0)*0.475*44/12</f>
        <v>0.40212664195918668</v>
      </c>
      <c r="DH162" s="21">
        <f>EXP(-LN(2)/2)*DH161+(1-EXP(-LN(2)/2))/(LN(2)/2)*DB162*DE162*VLOOKUP('Données projet'!$B$13,Paramètres!$A$1:$I$89,3,0)*0.475*44/12</f>
        <v>1.7234986951148941E-21</v>
      </c>
      <c r="DI162" s="22">
        <f t="shared" si="175"/>
        <v>10.000355116510843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255.00000000000006</v>
      </c>
      <c r="DP162" s="17">
        <f>DO162*VLOOKUP('Données projet'!$B$14,Paramètres!$A$1:$I$89,3,0)*VLOOKUP('Données projet'!$B$14,Paramètres!$A$1:$I$89,5,0)</f>
        <v>186.96600000000004</v>
      </c>
      <c r="DQ162" s="13">
        <f t="shared" si="176"/>
        <v>46.868551400324648</v>
      </c>
      <c r="DR162" s="20">
        <f t="shared" si="177"/>
        <v>407.26184368889881</v>
      </c>
      <c r="DS162" s="59">
        <f t="shared" si="125"/>
        <v>700.59517702223206</v>
      </c>
      <c r="DT162" s="59">
        <f ca="1">AVERAGE(OFFSET($DS$3,0,0,'Données projet'!$E$14+1,1))-AVERAGE(OFFSET($H$3,0,0,'Données projet'!$E$14+1,1))</f>
        <v>239.25212250019609</v>
      </c>
      <c r="DU162" s="59">
        <f t="shared" si="152"/>
        <v>213.58492101729695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689</v>
      </c>
      <c r="EK162" s="17">
        <f>EJ162*VLOOKUP('Données projet'!$B$15,Paramètres!$A$1:$I$89,3,0)*VLOOKUP('Données projet'!$B$15,Paramètres!$A$1:$I$89,5,0)</f>
        <v>412.02199999999999</v>
      </c>
      <c r="EL162" s="13">
        <f t="shared" si="179"/>
        <v>94.209724877926391</v>
      </c>
      <c r="EM162" s="20">
        <f t="shared" si="180"/>
        <v>881.686920829055</v>
      </c>
      <c r="EN162" s="59">
        <f t="shared" si="128"/>
        <v>1175.0202541623883</v>
      </c>
      <c r="EO162" s="59">
        <f ca="1">AVERAGE(OFFSET($EN$3,0,0,'Données projet'!$E$15+1,1))-AVERAGE(OFFSET($H$3,0,0,'Données projet'!$E$15+1,1))</f>
        <v>504.81063008331739</v>
      </c>
      <c r="EP162" s="59">
        <f t="shared" si="154"/>
        <v>441.82647565372287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20.473312041353275</v>
      </c>
      <c r="EW162" s="21">
        <f>EXP(-LN(2)/25)*EW161+(1-EXP(-LN(2)/25))/(LN(2)/25)*Calculateur!ER162*Calculateur!ET162*VLOOKUP('Données projet'!$B$15,Paramètres!$A$1:$I$89,3,0)*0.475*44/12</f>
        <v>1.6468247605329127</v>
      </c>
      <c r="EX162" s="21">
        <f>EXP(-LN(2)/2)*EX161+(1-EXP(-LN(2)/2))/(LN(2)/2)*ER162*EU162*VLOOKUP('Données projet'!$B$15,Paramètres!$A$1:$I$89,3,0)*0.475*44/12</f>
        <v>2.0072666594760849E-21</v>
      </c>
      <c r="EY162" s="22">
        <f t="shared" si="181"/>
        <v>22.120136801886186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541.99999999999989</v>
      </c>
      <c r="FF162" s="17">
        <f>FE162*VLOOKUP('Données projet'!$B$16,Paramètres!$A$1:$I$89,3,0)*VLOOKUP('Données projet'!$B$16,Paramètres!$A$1:$I$89,5,0)</f>
        <v>310.02399999999994</v>
      </c>
      <c r="FG162" s="13">
        <f t="shared" si="182"/>
        <v>73.27384230442388</v>
      </c>
      <c r="FH162" s="20">
        <f t="shared" si="183"/>
        <v>667.57707534687154</v>
      </c>
      <c r="FI162" s="59">
        <f t="shared" si="131"/>
        <v>960.91040868020491</v>
      </c>
      <c r="FJ162" s="59">
        <f ca="1">AVERAGE(OFFSET($FI$3,0,0,'Données projet'!$E$16+1,1))-AVERAGE(OFFSET($H$3,0,0,'Données projet'!$E$16+1,1))</f>
        <v>393.41577134252316</v>
      </c>
      <c r="FK162" s="59">
        <f t="shared" si="156"/>
        <v>255.54039659391475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23.973320699750182</v>
      </c>
      <c r="FR162" s="21">
        <f>EXP(-LN(2)/25)*FR161+(1-EXP(-LN(2)/25))/(LN(2)/25)*Calculateur!FM162*Calculateur!FO162*VLOOKUP('Données projet'!$B$16,Paramètres!$A$1:$I$89,3,0)*0.475*44/12</f>
        <v>0.74735596614335398</v>
      </c>
      <c r="FS162" s="21">
        <f>EXP(-LN(2)/2)*FS161+(1-EXP(-LN(2)/2))/(LN(2)/2)*FM162*FP162*VLOOKUP('Données projet'!$B$16,Paramètres!$A$1:$I$89,3,0)*0.475*44/12</f>
        <v>1.3964306562976945E-20</v>
      </c>
      <c r="FT162" s="22">
        <f t="shared" si="184"/>
        <v>24.720676665893535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853.00000000000011</v>
      </c>
      <c r="GA162" s="17">
        <f>FZ162*VLOOKUP('Données projet'!$B$17,Paramètres!$A$1:$I$89,3,0)*VLOOKUP('Données projet'!$B$17,Paramètres!$A$1:$I$89,5,0)</f>
        <v>399.20400000000006</v>
      </c>
      <c r="GB162" s="13">
        <f t="shared" si="185"/>
        <v>91.615269732888521</v>
      </c>
      <c r="GC162" s="20">
        <f t="shared" si="186"/>
        <v>854.8435614514475</v>
      </c>
      <c r="GD162" s="59">
        <f t="shared" si="134"/>
        <v>1148.1768947847809</v>
      </c>
      <c r="GE162" s="59">
        <f ca="1">AVERAGE(OFFSET($GD$3,0,0,'Données projet'!$E$17+1,1))-AVERAGE(OFFSET($H$3,0,0,'Données projet'!$E$17+1,1))</f>
        <v>488.67934252295686</v>
      </c>
      <c r="GF162" s="59">
        <f t="shared" si="158"/>
        <v>424.50324471331095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28.991595623419194</v>
      </c>
      <c r="GM162" s="21">
        <f>EXP(-LN(2)/25)*GM161+(1-EXP(-LN(2)/25))/(LN(2)/25)*Calculateur!GH162*Calculateur!GJ162*VLOOKUP('Données projet'!$B$17,Paramètres!$A$1:$I$89,3,0)*0.475*44/12</f>
        <v>1.3701526045961496</v>
      </c>
      <c r="GN162" s="21">
        <f>EXP(-LN(2)/2)*GN161+(1-EXP(-LN(2)/2))/(LN(2)/2)*GH162*GK162*VLOOKUP('Données projet'!$B$17,Paramètres!$A$1:$I$89,3,0)*0.475*44/12</f>
        <v>3.1102319162994096E-20</v>
      </c>
      <c r="GO162" s="21">
        <f t="shared" si="187"/>
        <v>30.361748228015344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789</v>
      </c>
      <c r="GV162" s="17">
        <f>GU162*VLOOKUP('Données projet'!$B$18,Paramètres!$A$1:$I$89,3,0)*VLOOKUP('Données projet'!$B$18,Paramètres!$A$1:$I$89,5,0)</f>
        <v>379.50900000000001</v>
      </c>
      <c r="GW162" s="13">
        <f t="shared" si="188"/>
        <v>87.609801106074272</v>
      </c>
      <c r="GX162" s="20">
        <f t="shared" si="189"/>
        <v>813.56524525974601</v>
      </c>
      <c r="GY162" s="59">
        <f t="shared" si="137"/>
        <v>1106.8985785930793</v>
      </c>
      <c r="GZ162" s="59">
        <f ca="1">AVERAGE(OFFSET($GY$3,0,0,'Données projet'!$E$18+1,1))-AVERAGE(OFFSET($H$3,0,0,'Données projet'!$E$18+1,1))</f>
        <v>458.80976193248841</v>
      </c>
      <c r="HA162" s="59">
        <f t="shared" si="160"/>
        <v>396.07405370178759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29.35624768810683</v>
      </c>
      <c r="HH162" s="21">
        <f>EXP(-LN(2)/25)*HH161+(1-EXP(-LN(2)/25))/(LN(2)/25)*Calculateur!HC162*Calculateur!HE162*VLOOKUP('Données projet'!$B$18,Paramètres!$A$1:$I$89,3,0)*0.475*44/12</f>
        <v>1.2801930901529688</v>
      </c>
      <c r="HI162" s="21">
        <f>EXP(-LN(2)/2)*HI161+(1-EXP(-LN(2)/2))/(LN(2)/2)*HC162*HF162*VLOOKUP('Données projet'!$B$18,Paramètres!$A$1:$I$89,3,0)*0.475*44/12</f>
        <v>1.4352203967504093E-20</v>
      </c>
      <c r="HJ162" s="22">
        <f t="shared" si="190"/>
        <v>30.6364407782598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267</v>
      </c>
      <c r="O163" s="13">
        <f>N163*VLOOKUP('Données projet'!$B$9,Paramètres!$A$1:$I$89,3,0)*VLOOKUP('Données projet'!$B$9,Paramètres!$A$1:$I$89,5,0)</f>
        <v>241.58159999999998</v>
      </c>
      <c r="P163" s="13">
        <f t="shared" si="141"/>
        <v>58.779689232021951</v>
      </c>
      <c r="Q163" s="20">
        <f t="shared" si="162"/>
        <v>523.12924541243819</v>
      </c>
      <c r="R163" s="59">
        <f t="shared" si="109"/>
        <v>816.46257874577145</v>
      </c>
      <c r="S163" s="59">
        <f ca="1">AVERAGE(OFFSET($R$3,0,0,'Données projet'!$E$9+1,1))-AVERAGE(OFFSET($H$3,0,0,'Données projet'!$E$9+1,1))</f>
        <v>364.3481978218424</v>
      </c>
      <c r="T163" s="59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31.003120045361879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31.003120045361879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636.99999999999977</v>
      </c>
      <c r="AJ163" s="13">
        <f>AI163*VLOOKUP('Données projet'!$B$10,Paramètres!$A$1:$I$89,3,0)*VLOOKUP('Données projet'!$B$10,Paramètres!$A$1:$I$89,5,0)</f>
        <v>356.08299999999991</v>
      </c>
      <c r="AK163" s="13">
        <f t="shared" si="164"/>
        <v>82.813805255716545</v>
      </c>
      <c r="AL163" s="20">
        <f t="shared" si="165"/>
        <v>764.41193582037283</v>
      </c>
      <c r="AM163" s="59">
        <f t="shared" si="113"/>
        <v>1057.7452691537062</v>
      </c>
      <c r="AN163" s="59">
        <f ca="1">AVERAGE(OFFSET($AM$3,0,0,'Données projet'!$E$10+1,1))-AVERAGE(OFFSET($H$3,0,0,'Données projet'!$E$10+1,1))</f>
        <v>443.34220761968419</v>
      </c>
      <c r="AO163" s="59">
        <f t="shared" si="144"/>
        <v>546.58234447298014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13.487919181147783</v>
      </c>
      <c r="AV163" s="21">
        <f>EXP(-LN(2)/25)*AV162+(1-EXP(-LN(2)/25))/(LN(2)/25)*Calculateur!AQ163*Calculateur!AS163*VLOOKUP('Données projet'!$B$10,Paramètres!$A$1:$I$89,3,0)*0.475*44/12</f>
        <v>0.596797888681879</v>
      </c>
      <c r="AW163" s="21">
        <f>EXP(-LN(2)/2)*AW162+(1-EXP(-LN(2)/2))/(LN(2)/2)*AQ163*AT163*VLOOKUP('Données projet'!$B$10,Paramètres!$A$1:$I$89,3,0)*0.475*44/12</f>
        <v>1.6376323151127512E-19</v>
      </c>
      <c r="AX163" s="21">
        <f t="shared" si="166"/>
        <v>14.084717069829662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403.99999999999989</v>
      </c>
      <c r="BE163" s="13">
        <f>BD163*VLOOKUP('Données projet'!$B$11,Paramètres!$A$1:$I$89,3,0)*VLOOKUP('Données projet'!$B$11,Paramètres!$A$1:$I$89,5,0)</f>
        <v>346.63199999999995</v>
      </c>
      <c r="BF163" s="13">
        <f t="shared" si="167"/>
        <v>80.868615263336864</v>
      </c>
      <c r="BG163" s="20">
        <f t="shared" si="168"/>
        <v>744.56357158364483</v>
      </c>
      <c r="BH163" s="59">
        <f t="shared" si="116"/>
        <v>1037.8969049169782</v>
      </c>
      <c r="BI163" s="59">
        <f ca="1">AVERAGE(OFFSET($BH$3,0,0,'Données projet'!$E$11+1,1))-AVERAGE(OFFSET($H$3,0,0,'Données projet'!$E$11+1,1))</f>
        <v>447.15627913956871</v>
      </c>
      <c r="BJ163" s="59">
        <f t="shared" si="146"/>
        <v>256.77417912163997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45.266128011285069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45.266128011285069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245.99999999999994</v>
      </c>
      <c r="BZ163" s="13">
        <f>BY163*VLOOKUP('Données projet'!$B$12,Paramètres!$A$1:$I$89,3,0)*VLOOKUP('Données projet'!$B$12,Paramètres!$A$1:$I$89,5,0)</f>
        <v>234.09359999999998</v>
      </c>
      <c r="CA163" s="13">
        <f t="shared" si="170"/>
        <v>57.166902703920208</v>
      </c>
      <c r="CB163" s="20">
        <f t="shared" si="171"/>
        <v>507.27870887599425</v>
      </c>
      <c r="CC163" s="59">
        <f t="shared" si="119"/>
        <v>800.61204220932757</v>
      </c>
      <c r="CD163" s="59">
        <f ca="1">AVERAGE(OFFSET($CC$3,0,0,'Données projet'!$E$12+1,1))-AVERAGE(OFFSET($H$3,0,0,'Données projet'!$E$12+1,1))</f>
        <v>448.94764480536713</v>
      </c>
      <c r="CE163" s="59">
        <f t="shared" si="148"/>
        <v>469.26760321719695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31.984223454013673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31.984223454013673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187.80389738728508</v>
      </c>
      <c r="CZ163" s="59">
        <f t="shared" si="150"/>
        <v>439.28159165815265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9.4100130685069985</v>
      </c>
      <c r="DG163" s="21">
        <f>EXP(-LN(2)/25)*DG162+(1-EXP(-LN(2)/25))/(LN(2)/25)*Calculateur!DB163*Calculateur!DD163*VLOOKUP('Données projet'!$B$13,Paramètres!$A$1:$I$89,3,0)*0.475*44/12</f>
        <v>0.39113046778789168</v>
      </c>
      <c r="DH163" s="21">
        <f>EXP(-LN(2)/2)*DH162+(1-EXP(-LN(2)/2))/(LN(2)/2)*DB163*DE163*VLOOKUP('Données projet'!$B$13,Paramètres!$A$1:$I$89,3,0)*0.475*44/12</f>
        <v>1.2186976146819076E-21</v>
      </c>
      <c r="DI163" s="22">
        <f t="shared" si="175"/>
        <v>9.8011435362948909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255.00000000000006</v>
      </c>
      <c r="DP163" s="17">
        <f>DO163*VLOOKUP('Données projet'!$B$14,Paramètres!$A$1:$I$89,3,0)*VLOOKUP('Données projet'!$B$14,Paramètres!$A$1:$I$89,5,0)</f>
        <v>186.96600000000004</v>
      </c>
      <c r="DQ163" s="13">
        <f t="shared" si="176"/>
        <v>46.868551400324648</v>
      </c>
      <c r="DR163" s="20">
        <f t="shared" si="177"/>
        <v>407.26184368889881</v>
      </c>
      <c r="DS163" s="59">
        <f t="shared" si="125"/>
        <v>700.59517702223206</v>
      </c>
      <c r="DT163" s="59">
        <f ca="1">AVERAGE(OFFSET($DS$3,0,0,'Données projet'!$E$14+1,1))-AVERAGE(OFFSET($H$3,0,0,'Données projet'!$E$14+1,1))</f>
        <v>239.25212250019609</v>
      </c>
      <c r="DU163" s="59">
        <f t="shared" si="152"/>
        <v>213.58492101729695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689</v>
      </c>
      <c r="EK163" s="17">
        <f>EJ163*VLOOKUP('Données projet'!$B$15,Paramètres!$A$1:$I$89,3,0)*VLOOKUP('Données projet'!$B$15,Paramètres!$A$1:$I$89,5,0)</f>
        <v>412.02199999999999</v>
      </c>
      <c r="EL163" s="13">
        <f t="shared" si="179"/>
        <v>94.209724877926391</v>
      </c>
      <c r="EM163" s="20">
        <f t="shared" si="180"/>
        <v>881.686920829055</v>
      </c>
      <c r="EN163" s="59">
        <f t="shared" si="128"/>
        <v>1175.0202541623883</v>
      </c>
      <c r="EO163" s="59">
        <f ca="1">AVERAGE(OFFSET($EN$3,0,0,'Données projet'!$E$15+1,1))-AVERAGE(OFFSET($H$3,0,0,'Données projet'!$E$15+1,1))</f>
        <v>504.81063008331739</v>
      </c>
      <c r="EP163" s="59">
        <f t="shared" si="154"/>
        <v>441.82647565372287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20.071842879709646</v>
      </c>
      <c r="EW163" s="21">
        <f>EXP(-LN(2)/25)*EW162+(1-EXP(-LN(2)/25))/(LN(2)/25)*Calculateur!ER163*Calculateur!ET163*VLOOKUP('Données projet'!$B$15,Paramètres!$A$1:$I$89,3,0)*0.475*44/12</f>
        <v>1.6017922508533899</v>
      </c>
      <c r="EX163" s="21">
        <f>EXP(-LN(2)/2)*EX162+(1-EXP(-LN(2)/2))/(LN(2)/2)*ER163*EU163*VLOOKUP('Données projet'!$B$15,Paramètres!$A$1:$I$89,3,0)*0.475*44/12</f>
        <v>1.4193518665652082E-21</v>
      </c>
      <c r="EY163" s="22">
        <f t="shared" si="181"/>
        <v>21.673635130563035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541.99999999999989</v>
      </c>
      <c r="FF163" s="17">
        <f>FE163*VLOOKUP('Données projet'!$B$16,Paramètres!$A$1:$I$89,3,0)*VLOOKUP('Données projet'!$B$16,Paramètres!$A$1:$I$89,5,0)</f>
        <v>310.02399999999994</v>
      </c>
      <c r="FG163" s="13">
        <f t="shared" si="182"/>
        <v>73.27384230442388</v>
      </c>
      <c r="FH163" s="20">
        <f t="shared" si="183"/>
        <v>667.57707534687154</v>
      </c>
      <c r="FI163" s="59">
        <f t="shared" si="131"/>
        <v>960.91040868020491</v>
      </c>
      <c r="FJ163" s="59">
        <f ca="1">AVERAGE(OFFSET($FI$3,0,0,'Données projet'!$E$16+1,1))-AVERAGE(OFFSET($H$3,0,0,'Données projet'!$E$16+1,1))</f>
        <v>393.41577134252316</v>
      </c>
      <c r="FK163" s="59">
        <f t="shared" si="156"/>
        <v>255.54039659391475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23.503218503109878</v>
      </c>
      <c r="FR163" s="21">
        <f>EXP(-LN(2)/25)*FR162+(1-EXP(-LN(2)/25))/(LN(2)/25)*Calculateur!FM163*Calculateur!FO163*VLOOKUP('Données projet'!$B$16,Paramètres!$A$1:$I$89,3,0)*0.475*44/12</f>
        <v>0.72691947794742184</v>
      </c>
      <c r="FS163" s="21">
        <f>EXP(-LN(2)/2)*FS162+(1-EXP(-LN(2)/2))/(LN(2)/2)*FM163*FP163*VLOOKUP('Données projet'!$B$16,Paramètres!$A$1:$I$89,3,0)*0.475*44/12</f>
        <v>9.8742558652488085E-21</v>
      </c>
      <c r="FT163" s="22">
        <f t="shared" si="184"/>
        <v>24.2301379810573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853.00000000000011</v>
      </c>
      <c r="GA163" s="17">
        <f>FZ163*VLOOKUP('Données projet'!$B$17,Paramètres!$A$1:$I$89,3,0)*VLOOKUP('Données projet'!$B$17,Paramètres!$A$1:$I$89,5,0)</f>
        <v>399.20400000000006</v>
      </c>
      <c r="GB163" s="13">
        <f t="shared" si="185"/>
        <v>91.615269732888521</v>
      </c>
      <c r="GC163" s="20">
        <f t="shared" si="186"/>
        <v>854.8435614514475</v>
      </c>
      <c r="GD163" s="59">
        <f t="shared" si="134"/>
        <v>1148.1768947847809</v>
      </c>
      <c r="GE163" s="59">
        <f ca="1">AVERAGE(OFFSET($GD$3,0,0,'Données projet'!$E$17+1,1))-AVERAGE(OFFSET($H$3,0,0,'Données projet'!$E$17+1,1))</f>
        <v>488.67934252295686</v>
      </c>
      <c r="GF163" s="59">
        <f t="shared" si="158"/>
        <v>424.50324471331095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28.423088116371211</v>
      </c>
      <c r="GM163" s="21">
        <f>EXP(-LN(2)/25)*GM162+(1-EXP(-LN(2)/25))/(LN(2)/25)*Calculateur!GH163*Calculateur!GJ163*VLOOKUP('Données projet'!$B$17,Paramètres!$A$1:$I$89,3,0)*0.475*44/12</f>
        <v>1.332685709570274</v>
      </c>
      <c r="GN163" s="21">
        <f>EXP(-LN(2)/2)*GN162+(1-EXP(-LN(2)/2))/(LN(2)/2)*GH163*GK163*VLOOKUP('Données projet'!$B$17,Paramètres!$A$1:$I$89,3,0)*0.475*44/12</f>
        <v>2.1992660790781431E-20</v>
      </c>
      <c r="GO163" s="21">
        <f t="shared" si="187"/>
        <v>29.755773825941485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789</v>
      </c>
      <c r="GV163" s="17">
        <f>GU163*VLOOKUP('Données projet'!$B$18,Paramètres!$A$1:$I$89,3,0)*VLOOKUP('Données projet'!$B$18,Paramètres!$A$1:$I$89,5,0)</f>
        <v>379.50900000000001</v>
      </c>
      <c r="GW163" s="13">
        <f t="shared" si="188"/>
        <v>87.609801106074272</v>
      </c>
      <c r="GX163" s="20">
        <f t="shared" si="189"/>
        <v>813.56524525974601</v>
      </c>
      <c r="GY163" s="59">
        <f t="shared" si="137"/>
        <v>1106.8985785930793</v>
      </c>
      <c r="GZ163" s="59">
        <f ca="1">AVERAGE(OFFSET($GY$3,0,0,'Données projet'!$E$18+1,1))-AVERAGE(OFFSET($H$3,0,0,'Données projet'!$E$18+1,1))</f>
        <v>458.80976193248841</v>
      </c>
      <c r="HA163" s="59">
        <f t="shared" si="160"/>
        <v>396.07405370178759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28.780589576486118</v>
      </c>
      <c r="HH163" s="21">
        <f>EXP(-LN(2)/25)*HH162+(1-EXP(-LN(2)/25))/(LN(2)/25)*Calculateur!HC163*Calculateur!HE163*VLOOKUP('Données projet'!$B$18,Paramètres!$A$1:$I$89,3,0)*0.475*44/12</f>
        <v>1.2451861427803073</v>
      </c>
      <c r="HI163" s="21">
        <f>EXP(-LN(2)/2)*HI162+(1-EXP(-LN(2)/2))/(LN(2)/2)*HC163*HF163*VLOOKUP('Données projet'!$B$18,Paramètres!$A$1:$I$89,3,0)*0.475*44/12</f>
        <v>1.0148540750394616E-20</v>
      </c>
      <c r="HJ163" s="22">
        <f t="shared" si="190"/>
        <v>30.025775719266427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267</v>
      </c>
      <c r="O164" s="13">
        <f>N164*VLOOKUP('Données projet'!$B$9,Paramètres!$A$1:$I$89,3,0)*VLOOKUP('Données projet'!$B$9,Paramètres!$A$1:$I$89,5,0)</f>
        <v>241.58159999999998</v>
      </c>
      <c r="P164" s="13">
        <f t="shared" si="141"/>
        <v>58.779689232021951</v>
      </c>
      <c r="Q164" s="20">
        <f t="shared" si="162"/>
        <v>523.12924541243819</v>
      </c>
      <c r="R164" s="59">
        <f t="shared" si="109"/>
        <v>816.46257874577145</v>
      </c>
      <c r="S164" s="59">
        <f ca="1">AVERAGE(OFFSET($R$3,0,0,'Données projet'!$E$9+1,1))-AVERAGE(OFFSET($H$3,0,0,'Données projet'!$E$9+1,1))</f>
        <v>364.3481978218424</v>
      </c>
      <c r="T164" s="59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30.395167771308348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30.395167771308348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636.99999999999977</v>
      </c>
      <c r="AJ164" s="13">
        <f>AI164*VLOOKUP('Données projet'!$B$10,Paramètres!$A$1:$I$89,3,0)*VLOOKUP('Données projet'!$B$10,Paramètres!$A$1:$I$89,5,0)</f>
        <v>356.08299999999991</v>
      </c>
      <c r="AK164" s="13">
        <f t="shared" si="164"/>
        <v>82.813805255716545</v>
      </c>
      <c r="AL164" s="20">
        <f t="shared" si="165"/>
        <v>764.41193582037283</v>
      </c>
      <c r="AM164" s="59">
        <f t="shared" si="113"/>
        <v>1057.7452691537062</v>
      </c>
      <c r="AN164" s="59">
        <f ca="1">AVERAGE(OFFSET($AM$3,0,0,'Données projet'!$E$10+1,1))-AVERAGE(OFFSET($H$3,0,0,'Données projet'!$E$10+1,1))</f>
        <v>443.34220761968419</v>
      </c>
      <c r="AO164" s="59">
        <f t="shared" si="144"/>
        <v>546.58234447298014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13.223429312823844</v>
      </c>
      <c r="AV164" s="21">
        <f>EXP(-LN(2)/25)*AV163+(1-EXP(-LN(2)/25))/(LN(2)/25)*Calculateur!AQ164*Calculateur!AS164*VLOOKUP('Données projet'!$B$10,Paramètres!$A$1:$I$89,3,0)*0.475*44/12</f>
        <v>0.58047841903163599</v>
      </c>
      <c r="AW164" s="21">
        <f>EXP(-LN(2)/2)*AW163+(1-EXP(-LN(2)/2))/(LN(2)/2)*AQ164*AT164*VLOOKUP('Données projet'!$B$10,Paramètres!$A$1:$I$89,3,0)*0.475*44/12</f>
        <v>1.1579809151064514E-19</v>
      </c>
      <c r="AX164" s="21">
        <f t="shared" si="166"/>
        <v>13.80390773185548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403.99999999999989</v>
      </c>
      <c r="BE164" s="13">
        <f>BD164*VLOOKUP('Données projet'!$B$11,Paramètres!$A$1:$I$89,3,0)*VLOOKUP('Données projet'!$B$11,Paramètres!$A$1:$I$89,5,0)</f>
        <v>346.63199999999995</v>
      </c>
      <c r="BF164" s="13">
        <f t="shared" si="167"/>
        <v>80.868615263336864</v>
      </c>
      <c r="BG164" s="20">
        <f t="shared" si="168"/>
        <v>744.56357158364483</v>
      </c>
      <c r="BH164" s="59">
        <f t="shared" si="116"/>
        <v>1037.8969049169782</v>
      </c>
      <c r="BI164" s="59">
        <f ca="1">AVERAGE(OFFSET($BH$3,0,0,'Données projet'!$E$11+1,1))-AVERAGE(OFFSET($H$3,0,0,'Données projet'!$E$11+1,1))</f>
        <v>447.15627913956871</v>
      </c>
      <c r="BJ164" s="59">
        <f t="shared" si="146"/>
        <v>256.77417912163997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44.378486850595635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44.378486850595635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245.99999999999994</v>
      </c>
      <c r="BZ164" s="13">
        <f>BY164*VLOOKUP('Données projet'!$B$12,Paramètres!$A$1:$I$89,3,0)*VLOOKUP('Données projet'!$B$12,Paramètres!$A$1:$I$89,5,0)</f>
        <v>234.09359999999998</v>
      </c>
      <c r="CA164" s="13">
        <f t="shared" si="170"/>
        <v>57.166902703920208</v>
      </c>
      <c r="CB164" s="20">
        <f t="shared" si="171"/>
        <v>507.27870887599425</v>
      </c>
      <c r="CC164" s="59">
        <f t="shared" si="119"/>
        <v>800.61204220932757</v>
      </c>
      <c r="CD164" s="59">
        <f ca="1">AVERAGE(OFFSET($CC$3,0,0,'Données projet'!$E$12+1,1))-AVERAGE(OFFSET($H$3,0,0,'Données projet'!$E$12+1,1))</f>
        <v>448.94764480536713</v>
      </c>
      <c r="CE164" s="59">
        <f t="shared" si="148"/>
        <v>469.26760321719695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31.357032340530473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31.357032340530473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187.80389738728508</v>
      </c>
      <c r="CZ164" s="59">
        <f t="shared" si="150"/>
        <v>439.28159165815265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9.2254884517748152</v>
      </c>
      <c r="DG164" s="21">
        <f>EXP(-LN(2)/25)*DG163+(1-EXP(-LN(2)/25))/(LN(2)/25)*Calculateur!DB164*Calculateur!DD164*VLOOKUP('Données projet'!$B$13,Paramètres!$A$1:$I$89,3,0)*0.475*44/12</f>
        <v>0.38043498457757441</v>
      </c>
      <c r="DH164" s="21">
        <f>EXP(-LN(2)/2)*DH163+(1-EXP(-LN(2)/2))/(LN(2)/2)*DB164*DE164*VLOOKUP('Données projet'!$B$13,Paramètres!$A$1:$I$89,3,0)*0.475*44/12</f>
        <v>8.6174934755744706E-22</v>
      </c>
      <c r="DI164" s="22">
        <f t="shared" si="175"/>
        <v>9.6059234363523895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255.00000000000006</v>
      </c>
      <c r="DP164" s="17">
        <f>DO164*VLOOKUP('Données projet'!$B$14,Paramètres!$A$1:$I$89,3,0)*VLOOKUP('Données projet'!$B$14,Paramètres!$A$1:$I$89,5,0)</f>
        <v>186.96600000000004</v>
      </c>
      <c r="DQ164" s="13">
        <f t="shared" si="176"/>
        <v>46.868551400324648</v>
      </c>
      <c r="DR164" s="20">
        <f t="shared" si="177"/>
        <v>407.26184368889881</v>
      </c>
      <c r="DS164" s="59">
        <f t="shared" si="125"/>
        <v>700.59517702223206</v>
      </c>
      <c r="DT164" s="59">
        <f ca="1">AVERAGE(OFFSET($DS$3,0,0,'Données projet'!$E$14+1,1))-AVERAGE(OFFSET($H$3,0,0,'Données projet'!$E$14+1,1))</f>
        <v>239.25212250019609</v>
      </c>
      <c r="DU164" s="59">
        <f t="shared" si="152"/>
        <v>213.58492101729695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689</v>
      </c>
      <c r="EK164" s="17">
        <f>EJ164*VLOOKUP('Données projet'!$B$15,Paramètres!$A$1:$I$89,3,0)*VLOOKUP('Données projet'!$B$15,Paramètres!$A$1:$I$89,5,0)</f>
        <v>412.02199999999999</v>
      </c>
      <c r="EL164" s="13">
        <f t="shared" si="179"/>
        <v>94.209724877926391</v>
      </c>
      <c r="EM164" s="20">
        <f t="shared" si="180"/>
        <v>881.686920829055</v>
      </c>
      <c r="EN164" s="59">
        <f t="shared" si="128"/>
        <v>1175.0202541623883</v>
      </c>
      <c r="EO164" s="59">
        <f ca="1">AVERAGE(OFFSET($EN$3,0,0,'Données projet'!$E$15+1,1))-AVERAGE(OFFSET($H$3,0,0,'Données projet'!$E$15+1,1))</f>
        <v>504.81063008331739</v>
      </c>
      <c r="EP164" s="59">
        <f t="shared" si="154"/>
        <v>441.82647565372287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19.678246283453838</v>
      </c>
      <c r="EW164" s="21">
        <f>EXP(-LN(2)/25)*EW163+(1-EXP(-LN(2)/25))/(LN(2)/25)*Calculateur!ER164*Calculateur!ET164*VLOOKUP('Données projet'!$B$15,Paramètres!$A$1:$I$89,3,0)*0.475*44/12</f>
        <v>1.5579911575192105</v>
      </c>
      <c r="EX164" s="21">
        <f>EXP(-LN(2)/2)*EX163+(1-EXP(-LN(2)/2))/(LN(2)/2)*ER164*EU164*VLOOKUP('Données projet'!$B$15,Paramètres!$A$1:$I$89,3,0)*0.475*44/12</f>
        <v>1.0036333297380424E-21</v>
      </c>
      <c r="EY164" s="22">
        <f t="shared" si="181"/>
        <v>21.236237440973049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541.99999999999989</v>
      </c>
      <c r="FF164" s="17">
        <f>FE164*VLOOKUP('Données projet'!$B$16,Paramètres!$A$1:$I$89,3,0)*VLOOKUP('Données projet'!$B$16,Paramètres!$A$1:$I$89,5,0)</f>
        <v>310.02399999999994</v>
      </c>
      <c r="FG164" s="13">
        <f t="shared" si="182"/>
        <v>73.27384230442388</v>
      </c>
      <c r="FH164" s="20">
        <f t="shared" si="183"/>
        <v>667.57707534687154</v>
      </c>
      <c r="FI164" s="59">
        <f t="shared" si="131"/>
        <v>960.91040868020491</v>
      </c>
      <c r="FJ164" s="59">
        <f ca="1">AVERAGE(OFFSET($FI$3,0,0,'Données projet'!$E$16+1,1))-AVERAGE(OFFSET($H$3,0,0,'Données projet'!$E$16+1,1))</f>
        <v>393.41577134252316</v>
      </c>
      <c r="FK164" s="59">
        <f t="shared" si="156"/>
        <v>255.54039659391475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23.042334723811663</v>
      </c>
      <c r="FR164" s="21">
        <f>EXP(-LN(2)/25)*FR163+(1-EXP(-LN(2)/25))/(LN(2)/25)*Calculateur!FM164*Calculateur!FO164*VLOOKUP('Données projet'!$B$16,Paramètres!$A$1:$I$89,3,0)*0.475*44/12</f>
        <v>0.70704182659591563</v>
      </c>
      <c r="FS164" s="21">
        <f>EXP(-LN(2)/2)*FS163+(1-EXP(-LN(2)/2))/(LN(2)/2)*FM164*FP164*VLOOKUP('Données projet'!$B$16,Paramètres!$A$1:$I$89,3,0)*0.475*44/12</f>
        <v>6.9821532814884726E-21</v>
      </c>
      <c r="FT164" s="22">
        <f t="shared" si="184"/>
        <v>23.749376550407579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853.00000000000011</v>
      </c>
      <c r="GA164" s="17">
        <f>FZ164*VLOOKUP('Données projet'!$B$17,Paramètres!$A$1:$I$89,3,0)*VLOOKUP('Données projet'!$B$17,Paramètres!$A$1:$I$89,5,0)</f>
        <v>399.20400000000006</v>
      </c>
      <c r="GB164" s="13">
        <f t="shared" si="185"/>
        <v>91.615269732888521</v>
      </c>
      <c r="GC164" s="20">
        <f t="shared" si="186"/>
        <v>854.8435614514475</v>
      </c>
      <c r="GD164" s="59">
        <f t="shared" si="134"/>
        <v>1148.1768947847809</v>
      </c>
      <c r="GE164" s="59">
        <f ca="1">AVERAGE(OFFSET($GD$3,0,0,'Données projet'!$E$17+1,1))-AVERAGE(OFFSET($H$3,0,0,'Données projet'!$E$17+1,1))</f>
        <v>488.67934252295686</v>
      </c>
      <c r="GF164" s="59">
        <f t="shared" si="158"/>
        <v>424.50324471331095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27.865728694781097</v>
      </c>
      <c r="GM164" s="21">
        <f>EXP(-LN(2)/25)*GM163+(1-EXP(-LN(2)/25))/(LN(2)/25)*Calculateur!GH164*Calculateur!GJ164*VLOOKUP('Données projet'!$B$17,Paramètres!$A$1:$I$89,3,0)*0.475*44/12</f>
        <v>1.2962433487591793</v>
      </c>
      <c r="GN164" s="21">
        <f>EXP(-LN(2)/2)*GN163+(1-EXP(-LN(2)/2))/(LN(2)/2)*GH164*GK164*VLOOKUP('Données projet'!$B$17,Paramètres!$A$1:$I$89,3,0)*0.475*44/12</f>
        <v>1.5551159581497048E-20</v>
      </c>
      <c r="GO164" s="21">
        <f t="shared" si="187"/>
        <v>29.161972043540278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789</v>
      </c>
      <c r="GV164" s="17">
        <f>GU164*VLOOKUP('Données projet'!$B$18,Paramètres!$A$1:$I$89,3,0)*VLOOKUP('Données projet'!$B$18,Paramètres!$A$1:$I$89,5,0)</f>
        <v>379.50900000000001</v>
      </c>
      <c r="GW164" s="13">
        <f t="shared" si="188"/>
        <v>87.609801106074272</v>
      </c>
      <c r="GX164" s="20">
        <f t="shared" si="189"/>
        <v>813.56524525974601</v>
      </c>
      <c r="GY164" s="59">
        <f t="shared" si="137"/>
        <v>1106.8985785930793</v>
      </c>
      <c r="GZ164" s="59">
        <f ca="1">AVERAGE(OFFSET($GY$3,0,0,'Données projet'!$E$18+1,1))-AVERAGE(OFFSET($H$3,0,0,'Données projet'!$E$18+1,1))</f>
        <v>458.80976193248841</v>
      </c>
      <c r="HA164" s="59">
        <f t="shared" si="160"/>
        <v>396.07405370178759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28.216219769317512</v>
      </c>
      <c r="HH164" s="21">
        <f>EXP(-LN(2)/25)*HH163+(1-EXP(-LN(2)/25))/(LN(2)/25)*Calculateur!HC164*Calculateur!HE164*VLOOKUP('Données projet'!$B$18,Paramètres!$A$1:$I$89,3,0)*0.475*44/12</f>
        <v>1.2111364622244865</v>
      </c>
      <c r="HI164" s="21">
        <f>EXP(-LN(2)/2)*HI163+(1-EXP(-LN(2)/2))/(LN(2)/2)*HC164*HF164*VLOOKUP('Données projet'!$B$18,Paramètres!$A$1:$I$89,3,0)*0.475*44/12</f>
        <v>7.1761019837520467E-21</v>
      </c>
      <c r="HJ164" s="22">
        <f t="shared" si="190"/>
        <v>29.427356231541999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267</v>
      </c>
      <c r="O165" s="13">
        <f>N165*VLOOKUP('Données projet'!$B$9,Paramètres!$A$1:$I$89,3,0)*VLOOKUP('Données projet'!$B$9,Paramètres!$A$1:$I$89,5,0)</f>
        <v>241.58159999999998</v>
      </c>
      <c r="P165" s="13">
        <f t="shared" si="141"/>
        <v>58.779689232021951</v>
      </c>
      <c r="Q165" s="20">
        <f t="shared" si="162"/>
        <v>523.12924541243819</v>
      </c>
      <c r="R165" s="59">
        <f t="shared" si="109"/>
        <v>816.46257874577145</v>
      </c>
      <c r="S165" s="59">
        <f ca="1">AVERAGE(OFFSET($R$3,0,0,'Données projet'!$E$9+1,1))-AVERAGE(OFFSET($H$3,0,0,'Données projet'!$E$9+1,1))</f>
        <v>364.3481978218424</v>
      </c>
      <c r="T165" s="59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29.799137070534737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29.799137070534737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636.99999999999977</v>
      </c>
      <c r="AJ165" s="13">
        <f>AI165*VLOOKUP('Données projet'!$B$10,Paramètres!$A$1:$I$89,3,0)*VLOOKUP('Données projet'!$B$10,Paramètres!$A$1:$I$89,5,0)</f>
        <v>356.08299999999991</v>
      </c>
      <c r="AK165" s="13">
        <f t="shared" si="164"/>
        <v>82.813805255716545</v>
      </c>
      <c r="AL165" s="20">
        <f t="shared" si="165"/>
        <v>764.41193582037283</v>
      </c>
      <c r="AM165" s="59">
        <f t="shared" si="113"/>
        <v>1057.7452691537062</v>
      </c>
      <c r="AN165" s="59">
        <f ca="1">AVERAGE(OFFSET($AM$3,0,0,'Données projet'!$E$10+1,1))-AVERAGE(OFFSET($H$3,0,0,'Données projet'!$E$10+1,1))</f>
        <v>443.34220761968419</v>
      </c>
      <c r="AO165" s="59">
        <f t="shared" si="144"/>
        <v>546.58234447298014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12.964125929494848</v>
      </c>
      <c r="AV165" s="21">
        <f>EXP(-LN(2)/25)*AV164+(1-EXP(-LN(2)/25))/(LN(2)/25)*Calculateur!AQ165*Calculateur!AS165*VLOOKUP('Données projet'!$B$10,Paramètres!$A$1:$I$89,3,0)*0.475*44/12</f>
        <v>0.56460520613718257</v>
      </c>
      <c r="AW165" s="21">
        <f>EXP(-LN(2)/2)*AW164+(1-EXP(-LN(2)/2))/(LN(2)/2)*AQ165*AT165*VLOOKUP('Données projet'!$B$10,Paramètres!$A$1:$I$89,3,0)*0.475*44/12</f>
        <v>8.188161575563756E-20</v>
      </c>
      <c r="AX165" s="21">
        <f t="shared" si="166"/>
        <v>13.528731135632031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403.99999999999989</v>
      </c>
      <c r="BE165" s="13">
        <f>BD165*VLOOKUP('Données projet'!$B$11,Paramètres!$A$1:$I$89,3,0)*VLOOKUP('Données projet'!$B$11,Paramètres!$A$1:$I$89,5,0)</f>
        <v>346.63199999999995</v>
      </c>
      <c r="BF165" s="13">
        <f t="shared" si="167"/>
        <v>80.868615263336864</v>
      </c>
      <c r="BG165" s="20">
        <f t="shared" si="168"/>
        <v>744.56357158364483</v>
      </c>
      <c r="BH165" s="59">
        <f t="shared" si="116"/>
        <v>1037.8969049169782</v>
      </c>
      <c r="BI165" s="59">
        <f ca="1">AVERAGE(OFFSET($BH$3,0,0,'Données projet'!$E$11+1,1))-AVERAGE(OFFSET($H$3,0,0,'Données projet'!$E$11+1,1))</f>
        <v>447.15627913956871</v>
      </c>
      <c r="BJ165" s="59">
        <f t="shared" si="146"/>
        <v>256.77417912163997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43.508251791659667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43.508251791659667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245.99999999999994</v>
      </c>
      <c r="BZ165" s="13">
        <f>BY165*VLOOKUP('Données projet'!$B$12,Paramètres!$A$1:$I$89,3,0)*VLOOKUP('Données projet'!$B$12,Paramètres!$A$1:$I$89,5,0)</f>
        <v>234.09359999999998</v>
      </c>
      <c r="CA165" s="13">
        <f t="shared" si="170"/>
        <v>57.166902703920208</v>
      </c>
      <c r="CB165" s="20">
        <f t="shared" si="171"/>
        <v>507.27870887599425</v>
      </c>
      <c r="CC165" s="59">
        <f t="shared" si="119"/>
        <v>800.61204220932757</v>
      </c>
      <c r="CD165" s="59">
        <f ca="1">AVERAGE(OFFSET($CC$3,0,0,'Données projet'!$E$12+1,1))-AVERAGE(OFFSET($H$3,0,0,'Données projet'!$E$12+1,1))</f>
        <v>448.94764480536713</v>
      </c>
      <c r="CE165" s="59">
        <f t="shared" si="148"/>
        <v>469.26760321719695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30.742140062233872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30.742140062233872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187.80389738728508</v>
      </c>
      <c r="CZ165" s="59">
        <f t="shared" si="150"/>
        <v>439.28159165815265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9.0445822502278475</v>
      </c>
      <c r="DG165" s="21">
        <f>EXP(-LN(2)/25)*DG164+(1-EXP(-LN(2)/25))/(LN(2)/25)*Calculateur!DB165*Calculateur!DD165*VLOOKUP('Données projet'!$B$13,Paramètres!$A$1:$I$89,3,0)*0.475*44/12</f>
        <v>0.37003196991809428</v>
      </c>
      <c r="DH165" s="21">
        <f>EXP(-LN(2)/2)*DH164+(1-EXP(-LN(2)/2))/(LN(2)/2)*DB165*DE165*VLOOKUP('Données projet'!$B$13,Paramètres!$A$1:$I$89,3,0)*0.475*44/12</f>
        <v>6.0934880734095382E-22</v>
      </c>
      <c r="DI165" s="22">
        <f t="shared" si="175"/>
        <v>9.4146142201459426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255.00000000000006</v>
      </c>
      <c r="DP165" s="17">
        <f>DO165*VLOOKUP('Données projet'!$B$14,Paramètres!$A$1:$I$89,3,0)*VLOOKUP('Données projet'!$B$14,Paramètres!$A$1:$I$89,5,0)</f>
        <v>186.96600000000004</v>
      </c>
      <c r="DQ165" s="13">
        <f t="shared" si="176"/>
        <v>46.868551400324648</v>
      </c>
      <c r="DR165" s="20">
        <f t="shared" si="177"/>
        <v>407.26184368889881</v>
      </c>
      <c r="DS165" s="59">
        <f t="shared" si="125"/>
        <v>700.59517702223206</v>
      </c>
      <c r="DT165" s="59">
        <f ca="1">AVERAGE(OFFSET($DS$3,0,0,'Données projet'!$E$14+1,1))-AVERAGE(OFFSET($H$3,0,0,'Données projet'!$E$14+1,1))</f>
        <v>239.25212250019609</v>
      </c>
      <c r="DU165" s="59">
        <f t="shared" si="152"/>
        <v>213.58492101729695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689</v>
      </c>
      <c r="EK165" s="17">
        <f>EJ165*VLOOKUP('Données projet'!$B$15,Paramètres!$A$1:$I$89,3,0)*VLOOKUP('Données projet'!$B$15,Paramètres!$A$1:$I$89,5,0)</f>
        <v>412.02199999999999</v>
      </c>
      <c r="EL165" s="13">
        <f t="shared" si="179"/>
        <v>94.209724877926391</v>
      </c>
      <c r="EM165" s="20">
        <f t="shared" si="180"/>
        <v>881.686920829055</v>
      </c>
      <c r="EN165" s="59">
        <f t="shared" si="128"/>
        <v>1175.0202541623883</v>
      </c>
      <c r="EO165" s="59">
        <f ca="1">AVERAGE(OFFSET($EN$3,0,0,'Données projet'!$E$15+1,1))-AVERAGE(OFFSET($H$3,0,0,'Données projet'!$E$15+1,1))</f>
        <v>504.81063008331739</v>
      </c>
      <c r="EP165" s="59">
        <f t="shared" si="154"/>
        <v>441.82647565372287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19.292367876380389</v>
      </c>
      <c r="EW165" s="21">
        <f>EXP(-LN(2)/25)*EW164+(1-EXP(-LN(2)/25))/(LN(2)/25)*Calculateur!ER165*Calculateur!ET165*VLOOKUP('Données projet'!$B$15,Paramètres!$A$1:$I$89,3,0)*0.475*44/12</f>
        <v>1.5153878073856535</v>
      </c>
      <c r="EX165" s="21">
        <f>EXP(-LN(2)/2)*EX164+(1-EXP(-LN(2)/2))/(LN(2)/2)*ER165*EU165*VLOOKUP('Données projet'!$B$15,Paramètres!$A$1:$I$89,3,0)*0.475*44/12</f>
        <v>7.0967593328260408E-22</v>
      </c>
      <c r="EY165" s="22">
        <f t="shared" si="181"/>
        <v>20.807755683766043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541.99999999999989</v>
      </c>
      <c r="FF165" s="17">
        <f>FE165*VLOOKUP('Données projet'!$B$16,Paramètres!$A$1:$I$89,3,0)*VLOOKUP('Données projet'!$B$16,Paramètres!$A$1:$I$89,5,0)</f>
        <v>310.02399999999994</v>
      </c>
      <c r="FG165" s="13">
        <f t="shared" si="182"/>
        <v>73.27384230442388</v>
      </c>
      <c r="FH165" s="20">
        <f t="shared" si="183"/>
        <v>667.57707534687154</v>
      </c>
      <c r="FI165" s="59">
        <f t="shared" si="131"/>
        <v>960.91040868020491</v>
      </c>
      <c r="FJ165" s="59">
        <f ca="1">AVERAGE(OFFSET($FI$3,0,0,'Données projet'!$E$16+1,1))-AVERAGE(OFFSET($H$3,0,0,'Données projet'!$E$16+1,1))</f>
        <v>393.41577134252316</v>
      </c>
      <c r="FK165" s="59">
        <f t="shared" si="156"/>
        <v>255.54039659391475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22.590488594314138</v>
      </c>
      <c r="FR165" s="21">
        <f>EXP(-LN(2)/25)*FR164+(1-EXP(-LN(2)/25))/(LN(2)/25)*Calculateur!FM165*Calculateur!FO165*VLOOKUP('Données projet'!$B$16,Paramètres!$A$1:$I$89,3,0)*0.475*44/12</f>
        <v>0.6877077306659366</v>
      </c>
      <c r="FS165" s="21">
        <f>EXP(-LN(2)/2)*FS164+(1-EXP(-LN(2)/2))/(LN(2)/2)*FM165*FP165*VLOOKUP('Données projet'!$B$16,Paramètres!$A$1:$I$89,3,0)*0.475*44/12</f>
        <v>4.9371279326244042E-21</v>
      </c>
      <c r="FT165" s="22">
        <f t="shared" si="184"/>
        <v>23.278196324980076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853.00000000000011</v>
      </c>
      <c r="GA165" s="17">
        <f>FZ165*VLOOKUP('Données projet'!$B$17,Paramètres!$A$1:$I$89,3,0)*VLOOKUP('Données projet'!$B$17,Paramètres!$A$1:$I$89,5,0)</f>
        <v>399.20400000000006</v>
      </c>
      <c r="GB165" s="13">
        <f t="shared" si="185"/>
        <v>91.615269732888521</v>
      </c>
      <c r="GC165" s="20">
        <f t="shared" si="186"/>
        <v>854.8435614514475</v>
      </c>
      <c r="GD165" s="59">
        <f t="shared" si="134"/>
        <v>1148.1768947847809</v>
      </c>
      <c r="GE165" s="59">
        <f ca="1">AVERAGE(OFFSET($GD$3,0,0,'Données projet'!$E$17+1,1))-AVERAGE(OFFSET($H$3,0,0,'Données projet'!$E$17+1,1))</f>
        <v>488.67934252295686</v>
      </c>
      <c r="GF165" s="59">
        <f t="shared" si="158"/>
        <v>424.50324471331095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27.319298751492688</v>
      </c>
      <c r="GM165" s="21">
        <f>EXP(-LN(2)/25)*GM164+(1-EXP(-LN(2)/25))/(LN(2)/25)*Calculateur!GH165*Calculateur!GJ165*VLOOKUP('Données projet'!$B$17,Paramètres!$A$1:$I$89,3,0)*0.475*44/12</f>
        <v>1.2607975062208845</v>
      </c>
      <c r="GN165" s="21">
        <f>EXP(-LN(2)/2)*GN164+(1-EXP(-LN(2)/2))/(LN(2)/2)*GH165*GK165*VLOOKUP('Données projet'!$B$17,Paramètres!$A$1:$I$89,3,0)*0.475*44/12</f>
        <v>1.0996330395390715E-20</v>
      </c>
      <c r="GO165" s="21">
        <f t="shared" si="187"/>
        <v>28.580096257713574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789</v>
      </c>
      <c r="GV165" s="17">
        <f>GU165*VLOOKUP('Données projet'!$B$18,Paramètres!$A$1:$I$89,3,0)*VLOOKUP('Données projet'!$B$18,Paramètres!$A$1:$I$89,5,0)</f>
        <v>379.50900000000001</v>
      </c>
      <c r="GW165" s="13">
        <f t="shared" si="188"/>
        <v>87.609801106074272</v>
      </c>
      <c r="GX165" s="20">
        <f t="shared" si="189"/>
        <v>813.56524525974601</v>
      </c>
      <c r="GY165" s="59">
        <f t="shared" si="137"/>
        <v>1106.8985785930793</v>
      </c>
      <c r="GZ165" s="59">
        <f ca="1">AVERAGE(OFFSET($GY$3,0,0,'Données projet'!$E$18+1,1))-AVERAGE(OFFSET($H$3,0,0,'Données projet'!$E$18+1,1))</f>
        <v>458.80976193248841</v>
      </c>
      <c r="HA165" s="59">
        <f t="shared" si="160"/>
        <v>396.07405370178759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27.662916909835889</v>
      </c>
      <c r="HH165" s="21">
        <f>EXP(-LN(2)/25)*HH164+(1-EXP(-LN(2)/25))/(LN(2)/25)*Calculateur!HC165*Calculateur!HE165*VLOOKUP('Données projet'!$B$18,Paramètres!$A$1:$I$89,3,0)*0.475*44/12</f>
        <v>1.1780178719740595</v>
      </c>
      <c r="HI165" s="21">
        <f>EXP(-LN(2)/2)*HI164+(1-EXP(-LN(2)/2))/(LN(2)/2)*HC165*HF165*VLOOKUP('Données projet'!$B$18,Paramètres!$A$1:$I$89,3,0)*0.475*44/12</f>
        <v>5.0742703751973081E-21</v>
      </c>
      <c r="HJ165" s="22">
        <f t="shared" si="190"/>
        <v>28.840934781809949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267</v>
      </c>
      <c r="O166" s="13">
        <f>N166*VLOOKUP('Données projet'!$B$9,Paramètres!$A$1:$I$89,3,0)*VLOOKUP('Données projet'!$B$9,Paramètres!$A$1:$I$89,5,0)</f>
        <v>241.58159999999998</v>
      </c>
      <c r="P166" s="13">
        <f t="shared" si="141"/>
        <v>58.779689232021951</v>
      </c>
      <c r="Q166" s="20">
        <f t="shared" si="162"/>
        <v>523.12924541243819</v>
      </c>
      <c r="R166" s="59">
        <f t="shared" si="109"/>
        <v>816.46257874577145</v>
      </c>
      <c r="S166" s="59">
        <f ca="1">AVERAGE(OFFSET($R$3,0,0,'Données projet'!$E$9+1,1))-AVERAGE(OFFSET($H$3,0,0,'Données projet'!$E$9+1,1))</f>
        <v>364.3481978218424</v>
      </c>
      <c r="T166" s="59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29.214794168260465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29.214794168260465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636.99999999999977</v>
      </c>
      <c r="AJ166" s="13">
        <f>AI166*VLOOKUP('Données projet'!$B$10,Paramètres!$A$1:$I$89,3,0)*VLOOKUP('Données projet'!$B$10,Paramètres!$A$1:$I$89,5,0)</f>
        <v>356.08299999999991</v>
      </c>
      <c r="AK166" s="13">
        <f t="shared" si="164"/>
        <v>82.813805255716545</v>
      </c>
      <c r="AL166" s="20">
        <f t="shared" si="165"/>
        <v>764.41193582037283</v>
      </c>
      <c r="AM166" s="59">
        <f t="shared" si="113"/>
        <v>1057.7452691537062</v>
      </c>
      <c r="AN166" s="59">
        <f ca="1">AVERAGE(OFFSET($AM$3,0,0,'Données projet'!$E$10+1,1))-AVERAGE(OFFSET($H$3,0,0,'Données projet'!$E$10+1,1))</f>
        <v>443.34220761968419</v>
      </c>
      <c r="AO166" s="59">
        <f t="shared" si="144"/>
        <v>546.58234447298014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12.709907327353486</v>
      </c>
      <c r="AV166" s="21">
        <f>EXP(-LN(2)/25)*AV165+(1-EXP(-LN(2)/25))/(LN(2)/25)*Calculateur!AQ166*Calculateur!AS166*VLOOKUP('Données projet'!$B$10,Paramètres!$A$1:$I$89,3,0)*0.475*44/12</f>
        <v>0.54916604708406391</v>
      </c>
      <c r="AW166" s="21">
        <f>EXP(-LN(2)/2)*AW165+(1-EXP(-LN(2)/2))/(LN(2)/2)*AQ166*AT166*VLOOKUP('Données projet'!$B$10,Paramètres!$A$1:$I$89,3,0)*0.475*44/12</f>
        <v>5.789904575532257E-20</v>
      </c>
      <c r="AX166" s="21">
        <f t="shared" si="166"/>
        <v>13.25907337443755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403.99999999999989</v>
      </c>
      <c r="BE166" s="13">
        <f>BD166*VLOOKUP('Données projet'!$B$11,Paramètres!$A$1:$I$89,3,0)*VLOOKUP('Données projet'!$B$11,Paramètres!$A$1:$I$89,5,0)</f>
        <v>346.63199999999995</v>
      </c>
      <c r="BF166" s="13">
        <f t="shared" si="167"/>
        <v>80.868615263336864</v>
      </c>
      <c r="BG166" s="20">
        <f t="shared" si="168"/>
        <v>744.56357158364483</v>
      </c>
      <c r="BH166" s="59">
        <f t="shared" si="116"/>
        <v>1037.8969049169782</v>
      </c>
      <c r="BI166" s="59">
        <f ca="1">AVERAGE(OFFSET($BH$3,0,0,'Données projet'!$E$11+1,1))-AVERAGE(OFFSET($H$3,0,0,'Données projet'!$E$11+1,1))</f>
        <v>447.15627913956871</v>
      </c>
      <c r="BJ166" s="59">
        <f t="shared" si="146"/>
        <v>256.77417912163997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42.65508151143846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42.65508151143846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245.99999999999994</v>
      </c>
      <c r="BZ166" s="13">
        <f>BY166*VLOOKUP('Données projet'!$B$12,Paramètres!$A$1:$I$89,3,0)*VLOOKUP('Données projet'!$B$12,Paramètres!$A$1:$I$89,5,0)</f>
        <v>234.09359999999998</v>
      </c>
      <c r="CA166" s="13">
        <f t="shared" si="170"/>
        <v>57.166902703920208</v>
      </c>
      <c r="CB166" s="20">
        <f t="shared" si="171"/>
        <v>507.27870887599425</v>
      </c>
      <c r="CC166" s="59">
        <f t="shared" si="119"/>
        <v>800.61204220932757</v>
      </c>
      <c r="CD166" s="59">
        <f ca="1">AVERAGE(OFFSET($CC$3,0,0,'Données projet'!$E$12+1,1))-AVERAGE(OFFSET($H$3,0,0,'Données projet'!$E$12+1,1))</f>
        <v>448.94764480536713</v>
      </c>
      <c r="CE166" s="59">
        <f t="shared" si="148"/>
        <v>469.26760321719695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30.139305446467411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30.139305446467411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187.80389738728508</v>
      </c>
      <c r="CZ166" s="59">
        <f t="shared" si="150"/>
        <v>439.28159165815265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8.8672235089513283</v>
      </c>
      <c r="DG166" s="21">
        <f>EXP(-LN(2)/25)*DG165+(1-EXP(-LN(2)/25))/(LN(2)/25)*Calculateur!DB166*Calculateur!DD166*VLOOKUP('Données projet'!$B$13,Paramètres!$A$1:$I$89,3,0)*0.475*44/12</f>
        <v>0.35991342624154843</v>
      </c>
      <c r="DH166" s="21">
        <f>EXP(-LN(2)/2)*DH165+(1-EXP(-LN(2)/2))/(LN(2)/2)*DB166*DE166*VLOOKUP('Données projet'!$B$13,Paramètres!$A$1:$I$89,3,0)*0.475*44/12</f>
        <v>4.3087467377872353E-22</v>
      </c>
      <c r="DI166" s="22">
        <f t="shared" si="175"/>
        <v>9.2271369351928776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255.00000000000006</v>
      </c>
      <c r="DP166" s="17">
        <f>DO166*VLOOKUP('Données projet'!$B$14,Paramètres!$A$1:$I$89,3,0)*VLOOKUP('Données projet'!$B$14,Paramètres!$A$1:$I$89,5,0)</f>
        <v>186.96600000000004</v>
      </c>
      <c r="DQ166" s="13">
        <f t="shared" si="176"/>
        <v>46.868551400324648</v>
      </c>
      <c r="DR166" s="20">
        <f t="shared" si="177"/>
        <v>407.26184368889881</v>
      </c>
      <c r="DS166" s="59">
        <f t="shared" si="125"/>
        <v>700.59517702223206</v>
      </c>
      <c r="DT166" s="59">
        <f ca="1">AVERAGE(OFFSET($DS$3,0,0,'Données projet'!$E$14+1,1))-AVERAGE(OFFSET($H$3,0,0,'Données projet'!$E$14+1,1))</f>
        <v>239.25212250019609</v>
      </c>
      <c r="DU166" s="59">
        <f t="shared" si="152"/>
        <v>213.58492101729695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689</v>
      </c>
      <c r="EK166" s="17">
        <f>EJ166*VLOOKUP('Données projet'!$B$15,Paramètres!$A$1:$I$89,3,0)*VLOOKUP('Données projet'!$B$15,Paramètres!$A$1:$I$89,5,0)</f>
        <v>412.02199999999999</v>
      </c>
      <c r="EL166" s="13">
        <f t="shared" si="179"/>
        <v>94.209724877926391</v>
      </c>
      <c r="EM166" s="20">
        <f t="shared" si="180"/>
        <v>881.686920829055</v>
      </c>
      <c r="EN166" s="59">
        <f t="shared" si="128"/>
        <v>1175.0202541623883</v>
      </c>
      <c r="EO166" s="59">
        <f ca="1">AVERAGE(OFFSET($EN$3,0,0,'Données projet'!$E$15+1,1))-AVERAGE(OFFSET($H$3,0,0,'Données projet'!$E$15+1,1))</f>
        <v>504.81063008331739</v>
      </c>
      <c r="EP166" s="59">
        <f t="shared" si="154"/>
        <v>441.82647565372287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18.91405630950706</v>
      </c>
      <c r="EW166" s="21">
        <f>EXP(-LN(2)/25)*EW165+(1-EXP(-LN(2)/25))/(LN(2)/25)*Calculateur!ER166*Calculateur!ET166*VLOOKUP('Données projet'!$B$15,Paramètres!$A$1:$I$89,3,0)*0.475*44/12</f>
        <v>1.4739494481019115</v>
      </c>
      <c r="EX166" s="21">
        <f>EXP(-LN(2)/2)*EX165+(1-EXP(-LN(2)/2))/(LN(2)/2)*ER166*EU166*VLOOKUP('Données projet'!$B$15,Paramètres!$A$1:$I$89,3,0)*0.475*44/12</f>
        <v>5.0181666486902122E-22</v>
      </c>
      <c r="EY166" s="22">
        <f t="shared" si="181"/>
        <v>20.388005757608973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541.99999999999989</v>
      </c>
      <c r="FF166" s="17">
        <f>FE166*VLOOKUP('Données projet'!$B$16,Paramètres!$A$1:$I$89,3,0)*VLOOKUP('Données projet'!$B$16,Paramètres!$A$1:$I$89,5,0)</f>
        <v>310.02399999999994</v>
      </c>
      <c r="FG166" s="13">
        <f t="shared" si="182"/>
        <v>73.27384230442388</v>
      </c>
      <c r="FH166" s="20">
        <f t="shared" si="183"/>
        <v>667.57707534687154</v>
      </c>
      <c r="FI166" s="59">
        <f t="shared" si="131"/>
        <v>960.91040868020491</v>
      </c>
      <c r="FJ166" s="59">
        <f ca="1">AVERAGE(OFFSET($FI$3,0,0,'Données projet'!$E$16+1,1))-AVERAGE(OFFSET($H$3,0,0,'Données projet'!$E$16+1,1))</f>
        <v>393.41577134252316</v>
      </c>
      <c r="FK166" s="59">
        <f t="shared" si="156"/>
        <v>255.54039659391475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22.147502891817133</v>
      </c>
      <c r="FR166" s="21">
        <f>EXP(-LN(2)/25)*FR165+(1-EXP(-LN(2)/25))/(LN(2)/25)*Calculateur!FM166*Calculateur!FO166*VLOOKUP('Données projet'!$B$16,Paramètres!$A$1:$I$89,3,0)*0.475*44/12</f>
        <v>0.66890232660589877</v>
      </c>
      <c r="FS166" s="21">
        <f>EXP(-LN(2)/2)*FS165+(1-EXP(-LN(2)/2))/(LN(2)/2)*FM166*FP166*VLOOKUP('Données projet'!$B$16,Paramètres!$A$1:$I$89,3,0)*0.475*44/12</f>
        <v>3.4910766407442363E-21</v>
      </c>
      <c r="FT166" s="22">
        <f t="shared" si="184"/>
        <v>22.816405218423032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853.00000000000011</v>
      </c>
      <c r="GA166" s="17">
        <f>FZ166*VLOOKUP('Données projet'!$B$17,Paramètres!$A$1:$I$89,3,0)*VLOOKUP('Données projet'!$B$17,Paramètres!$A$1:$I$89,5,0)</f>
        <v>399.20400000000006</v>
      </c>
      <c r="GB166" s="13">
        <f t="shared" si="185"/>
        <v>91.615269732888521</v>
      </c>
      <c r="GC166" s="20">
        <f t="shared" si="186"/>
        <v>854.8435614514475</v>
      </c>
      <c r="GD166" s="59">
        <f t="shared" si="134"/>
        <v>1148.1768947847809</v>
      </c>
      <c r="GE166" s="59">
        <f ca="1">AVERAGE(OFFSET($GD$3,0,0,'Données projet'!$E$17+1,1))-AVERAGE(OFFSET($H$3,0,0,'Données projet'!$E$17+1,1))</f>
        <v>488.67934252295686</v>
      </c>
      <c r="GF166" s="59">
        <f t="shared" si="158"/>
        <v>424.50324471331095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26.783583966102807</v>
      </c>
      <c r="GM166" s="21">
        <f>EXP(-LN(2)/25)*GM165+(1-EXP(-LN(2)/25))/(LN(2)/25)*Calculateur!GH166*Calculateur!GJ166*VLOOKUP('Données projet'!$B$17,Paramètres!$A$1:$I$89,3,0)*0.475*44/12</f>
        <v>1.2263209321108151</v>
      </c>
      <c r="GN166" s="21">
        <f>EXP(-LN(2)/2)*GN165+(1-EXP(-LN(2)/2))/(LN(2)/2)*GH166*GK166*VLOOKUP('Données projet'!$B$17,Paramètres!$A$1:$I$89,3,0)*0.475*44/12</f>
        <v>7.7755797907485239E-21</v>
      </c>
      <c r="GO166" s="21">
        <f t="shared" si="187"/>
        <v>28.009904898213623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789</v>
      </c>
      <c r="GV166" s="17">
        <f>GU166*VLOOKUP('Données projet'!$B$18,Paramètres!$A$1:$I$89,3,0)*VLOOKUP('Données projet'!$B$18,Paramètres!$A$1:$I$89,5,0)</f>
        <v>379.50900000000001</v>
      </c>
      <c r="GW166" s="13">
        <f t="shared" si="188"/>
        <v>87.609801106074272</v>
      </c>
      <c r="GX166" s="20">
        <f t="shared" si="189"/>
        <v>813.56524525974601</v>
      </c>
      <c r="GY166" s="59">
        <f t="shared" si="137"/>
        <v>1106.8985785930793</v>
      </c>
      <c r="GZ166" s="59">
        <f ca="1">AVERAGE(OFFSET($GY$3,0,0,'Données projet'!$E$18+1,1))-AVERAGE(OFFSET($H$3,0,0,'Données projet'!$E$18+1,1))</f>
        <v>458.80976193248841</v>
      </c>
      <c r="HA166" s="59">
        <f t="shared" si="160"/>
        <v>396.07405370178759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27.120463981947282</v>
      </c>
      <c r="HH166" s="21">
        <f>EXP(-LN(2)/25)*HH165+(1-EXP(-LN(2)/25))/(LN(2)/25)*Calculateur!HC166*Calculateur!HE166*VLOOKUP('Données projet'!$B$18,Paramètres!$A$1:$I$89,3,0)*0.475*44/12</f>
        <v>1.1458049113156614</v>
      </c>
      <c r="HI166" s="21">
        <f>EXP(-LN(2)/2)*HI165+(1-EXP(-LN(2)/2))/(LN(2)/2)*HC166*HF166*VLOOKUP('Données projet'!$B$18,Paramètres!$A$1:$I$89,3,0)*0.475*44/12</f>
        <v>3.5880509918760234E-21</v>
      </c>
      <c r="HJ166" s="22">
        <f t="shared" si="190"/>
        <v>28.266268893262943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267</v>
      </c>
      <c r="O167" s="13">
        <f>N167*VLOOKUP('Données projet'!$B$9,Paramètres!$A$1:$I$89,3,0)*VLOOKUP('Données projet'!$B$9,Paramètres!$A$1:$I$89,5,0)</f>
        <v>241.58159999999998</v>
      </c>
      <c r="P167" s="13">
        <f t="shared" si="141"/>
        <v>58.779689232021951</v>
      </c>
      <c r="Q167" s="20">
        <f t="shared" si="162"/>
        <v>523.12924541243819</v>
      </c>
      <c r="R167" s="59">
        <f t="shared" si="109"/>
        <v>816.46257874577145</v>
      </c>
      <c r="S167" s="59">
        <f ca="1">AVERAGE(OFFSET($R$3,0,0,'Données projet'!$E$9+1,1))-AVERAGE(OFFSET($H$3,0,0,'Données projet'!$E$9+1,1))</f>
        <v>364.3481978218424</v>
      </c>
      <c r="T167" s="59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28.641909873885812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28.641909873885812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636.99999999999977</v>
      </c>
      <c r="AJ167" s="13">
        <f>AI167*VLOOKUP('Données projet'!$B$10,Paramètres!$A$1:$I$89,3,0)*VLOOKUP('Données projet'!$B$10,Paramètres!$A$1:$I$89,5,0)</f>
        <v>356.08299999999991</v>
      </c>
      <c r="AK167" s="13">
        <f t="shared" si="164"/>
        <v>82.813805255716545</v>
      </c>
      <c r="AL167" s="20">
        <f t="shared" si="165"/>
        <v>764.41193582037283</v>
      </c>
      <c r="AM167" s="59">
        <f t="shared" si="113"/>
        <v>1057.7452691537062</v>
      </c>
      <c r="AN167" s="59">
        <f ca="1">AVERAGE(OFFSET($AM$3,0,0,'Données projet'!$E$10+1,1))-AVERAGE(OFFSET($H$3,0,0,'Données projet'!$E$10+1,1))</f>
        <v>443.34220761968419</v>
      </c>
      <c r="AO167" s="59">
        <f t="shared" si="144"/>
        <v>546.58234447298014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12.46067379694208</v>
      </c>
      <c r="AV167" s="21">
        <f>EXP(-LN(2)/25)*AV166+(1-EXP(-LN(2)/25))/(LN(2)/25)*Calculateur!AQ167*Calculateur!AS167*VLOOKUP('Données projet'!$B$10,Paramètres!$A$1:$I$89,3,0)*0.475*44/12</f>
        <v>0.53414907264716294</v>
      </c>
      <c r="AW167" s="21">
        <f>EXP(-LN(2)/2)*AW166+(1-EXP(-LN(2)/2))/(LN(2)/2)*AQ167*AT167*VLOOKUP('Données projet'!$B$10,Paramètres!$A$1:$I$89,3,0)*0.475*44/12</f>
        <v>4.094080787781878E-20</v>
      </c>
      <c r="AX167" s="21">
        <f t="shared" si="166"/>
        <v>12.994822869589242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403.99999999999989</v>
      </c>
      <c r="BE167" s="13">
        <f>BD167*VLOOKUP('Données projet'!$B$11,Paramètres!$A$1:$I$89,3,0)*VLOOKUP('Données projet'!$B$11,Paramètres!$A$1:$I$89,5,0)</f>
        <v>346.63199999999995</v>
      </c>
      <c r="BF167" s="13">
        <f t="shared" si="167"/>
        <v>80.868615263336864</v>
      </c>
      <c r="BG167" s="20">
        <f t="shared" si="168"/>
        <v>744.56357158364483</v>
      </c>
      <c r="BH167" s="59">
        <f t="shared" si="116"/>
        <v>1037.8969049169782</v>
      </c>
      <c r="BI167" s="59">
        <f ca="1">AVERAGE(OFFSET($BH$3,0,0,'Données projet'!$E$11+1,1))-AVERAGE(OFFSET($H$3,0,0,'Données projet'!$E$11+1,1))</f>
        <v>447.15627913956871</v>
      </c>
      <c r="BJ167" s="59">
        <f t="shared" si="146"/>
        <v>256.77417912163997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41.818641380029909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41.818641380029909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245.99999999999994</v>
      </c>
      <c r="BZ167" s="13">
        <f>BY167*VLOOKUP('Données projet'!$B$12,Paramètres!$A$1:$I$89,3,0)*VLOOKUP('Données projet'!$B$12,Paramètres!$A$1:$I$89,5,0)</f>
        <v>234.09359999999998</v>
      </c>
      <c r="CA167" s="13">
        <f t="shared" si="170"/>
        <v>57.166902703920208</v>
      </c>
      <c r="CB167" s="20">
        <f t="shared" si="171"/>
        <v>507.27870887599425</v>
      </c>
      <c r="CC167" s="59">
        <f t="shared" si="119"/>
        <v>800.61204220932757</v>
      </c>
      <c r="CD167" s="59">
        <f ca="1">AVERAGE(OFFSET($CC$3,0,0,'Données projet'!$E$12+1,1))-AVERAGE(OFFSET($H$3,0,0,'Données projet'!$E$12+1,1))</f>
        <v>448.94764480536713</v>
      </c>
      <c r="CE167" s="59">
        <f t="shared" si="148"/>
        <v>469.26760321719695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29.548292049823321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29.548292049823321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187.80389738728508</v>
      </c>
      <c r="CZ167" s="59">
        <f t="shared" si="150"/>
        <v>439.28159165815265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8.6933426644130911</v>
      </c>
      <c r="DG167" s="21">
        <f>EXP(-LN(2)/25)*DG166+(1-EXP(-LN(2)/25))/(LN(2)/25)*Calculateur!DB167*Calculateur!DD167*VLOOKUP('Données projet'!$B$13,Paramètres!$A$1:$I$89,3,0)*0.475*44/12</f>
        <v>0.35007157467394878</v>
      </c>
      <c r="DH167" s="21">
        <f>EXP(-LN(2)/2)*DH166+(1-EXP(-LN(2)/2))/(LN(2)/2)*DB167*DE167*VLOOKUP('Données projet'!$B$13,Paramètres!$A$1:$I$89,3,0)*0.475*44/12</f>
        <v>3.0467440367047691E-22</v>
      </c>
      <c r="DI167" s="22">
        <f t="shared" si="175"/>
        <v>9.0434142390870402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255.00000000000006</v>
      </c>
      <c r="DP167" s="17">
        <f>DO167*VLOOKUP('Données projet'!$B$14,Paramètres!$A$1:$I$89,3,0)*VLOOKUP('Données projet'!$B$14,Paramètres!$A$1:$I$89,5,0)</f>
        <v>186.96600000000004</v>
      </c>
      <c r="DQ167" s="13">
        <f t="shared" si="176"/>
        <v>46.868551400324648</v>
      </c>
      <c r="DR167" s="20">
        <f t="shared" si="177"/>
        <v>407.26184368889881</v>
      </c>
      <c r="DS167" s="59">
        <f t="shared" si="125"/>
        <v>700.59517702223206</v>
      </c>
      <c r="DT167" s="59">
        <f ca="1">AVERAGE(OFFSET($DS$3,0,0,'Données projet'!$E$14+1,1))-AVERAGE(OFFSET($H$3,0,0,'Données projet'!$E$14+1,1))</f>
        <v>239.25212250019609</v>
      </c>
      <c r="DU167" s="59">
        <f t="shared" si="152"/>
        <v>213.58492101729695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689</v>
      </c>
      <c r="EK167" s="17">
        <f>EJ167*VLOOKUP('Données projet'!$B$15,Paramètres!$A$1:$I$89,3,0)*VLOOKUP('Données projet'!$B$15,Paramètres!$A$1:$I$89,5,0)</f>
        <v>412.02199999999999</v>
      </c>
      <c r="EL167" s="13">
        <f t="shared" si="179"/>
        <v>94.209724877926391</v>
      </c>
      <c r="EM167" s="20">
        <f t="shared" si="180"/>
        <v>881.686920829055</v>
      </c>
      <c r="EN167" s="59">
        <f t="shared" si="128"/>
        <v>1175.0202541623883</v>
      </c>
      <c r="EO167" s="59">
        <f ca="1">AVERAGE(OFFSET($EN$3,0,0,'Données projet'!$E$15+1,1))-AVERAGE(OFFSET($H$3,0,0,'Données projet'!$E$15+1,1))</f>
        <v>504.81063008331739</v>
      </c>
      <c r="EP167" s="59">
        <f t="shared" si="154"/>
        <v>441.82647565372287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18.543163201712847</v>
      </c>
      <c r="EW167" s="21">
        <f>EXP(-LN(2)/25)*EW166+(1-EXP(-LN(2)/25))/(LN(2)/25)*Calculateur!ER167*Calculateur!ET167*VLOOKUP('Données projet'!$B$15,Paramètres!$A$1:$I$89,3,0)*0.475*44/12</f>
        <v>1.4336442229319319</v>
      </c>
      <c r="EX167" s="21">
        <f>EXP(-LN(2)/2)*EX166+(1-EXP(-LN(2)/2))/(LN(2)/2)*ER167*EU167*VLOOKUP('Données projet'!$B$15,Paramètres!$A$1:$I$89,3,0)*0.475*44/12</f>
        <v>3.5483796664130204E-22</v>
      </c>
      <c r="EY167" s="22">
        <f t="shared" si="181"/>
        <v>19.976807424644779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541.99999999999989</v>
      </c>
      <c r="FF167" s="17">
        <f>FE167*VLOOKUP('Données projet'!$B$16,Paramètres!$A$1:$I$89,3,0)*VLOOKUP('Données projet'!$B$16,Paramètres!$A$1:$I$89,5,0)</f>
        <v>310.02399999999994</v>
      </c>
      <c r="FG167" s="13">
        <f t="shared" si="182"/>
        <v>73.27384230442388</v>
      </c>
      <c r="FH167" s="20">
        <f t="shared" si="183"/>
        <v>667.57707534687154</v>
      </c>
      <c r="FI167" s="59">
        <f t="shared" si="131"/>
        <v>960.91040868020491</v>
      </c>
      <c r="FJ167" s="59">
        <f ca="1">AVERAGE(OFFSET($FI$3,0,0,'Données projet'!$E$16+1,1))-AVERAGE(OFFSET($H$3,0,0,'Données projet'!$E$16+1,1))</f>
        <v>393.41577134252316</v>
      </c>
      <c r="FK167" s="59">
        <f t="shared" si="156"/>
        <v>255.54039659391475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21.713203868751496</v>
      </c>
      <c r="FR167" s="21">
        <f>EXP(-LN(2)/25)*FR166+(1-EXP(-LN(2)/25))/(LN(2)/25)*Calculateur!FM167*Calculateur!FO167*VLOOKUP('Données projet'!$B$16,Paramètres!$A$1:$I$89,3,0)*0.475*44/12</f>
        <v>0.65061115730881591</v>
      </c>
      <c r="FS167" s="21">
        <f>EXP(-LN(2)/2)*FS166+(1-EXP(-LN(2)/2))/(LN(2)/2)*FM167*FP167*VLOOKUP('Données projet'!$B$16,Paramètres!$A$1:$I$89,3,0)*0.475*44/12</f>
        <v>2.4685639663122021E-21</v>
      </c>
      <c r="FT167" s="22">
        <f t="shared" si="184"/>
        <v>22.363815026060312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853.00000000000011</v>
      </c>
      <c r="GA167" s="17">
        <f>FZ167*VLOOKUP('Données projet'!$B$17,Paramètres!$A$1:$I$89,3,0)*VLOOKUP('Données projet'!$B$17,Paramètres!$A$1:$I$89,5,0)</f>
        <v>399.20400000000006</v>
      </c>
      <c r="GB167" s="13">
        <f t="shared" si="185"/>
        <v>91.615269732888521</v>
      </c>
      <c r="GC167" s="20">
        <f t="shared" si="186"/>
        <v>854.8435614514475</v>
      </c>
      <c r="GD167" s="59">
        <f t="shared" si="134"/>
        <v>1148.1768947847809</v>
      </c>
      <c r="GE167" s="59">
        <f ca="1">AVERAGE(OFFSET($GD$3,0,0,'Données projet'!$E$17+1,1))-AVERAGE(OFFSET($H$3,0,0,'Données projet'!$E$17+1,1))</f>
        <v>488.67934252295686</v>
      </c>
      <c r="GF167" s="59">
        <f t="shared" si="158"/>
        <v>424.50324471331095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26.258374220900667</v>
      </c>
      <c r="GM167" s="21">
        <f>EXP(-LN(2)/25)*GM166+(1-EXP(-LN(2)/25))/(LN(2)/25)*Calculateur!GH167*Calculateur!GJ167*VLOOKUP('Données projet'!$B$17,Paramètres!$A$1:$I$89,3,0)*0.475*44/12</f>
        <v>1.1927871217328299</v>
      </c>
      <c r="GN167" s="21">
        <f>EXP(-LN(2)/2)*GN166+(1-EXP(-LN(2)/2))/(LN(2)/2)*GH167*GK167*VLOOKUP('Données projet'!$B$17,Paramètres!$A$1:$I$89,3,0)*0.475*44/12</f>
        <v>5.4981651976953576E-21</v>
      </c>
      <c r="GO167" s="21">
        <f t="shared" si="187"/>
        <v>27.451161342633497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789</v>
      </c>
      <c r="GV167" s="17">
        <f>GU167*VLOOKUP('Données projet'!$B$18,Paramètres!$A$1:$I$89,3,0)*VLOOKUP('Données projet'!$B$18,Paramètres!$A$1:$I$89,5,0)</f>
        <v>379.50900000000001</v>
      </c>
      <c r="GW167" s="13">
        <f t="shared" si="188"/>
        <v>87.609801106074272</v>
      </c>
      <c r="GX167" s="20">
        <f t="shared" si="189"/>
        <v>813.56524525974601</v>
      </c>
      <c r="GY167" s="59">
        <f t="shared" si="137"/>
        <v>1106.8985785930793</v>
      </c>
      <c r="GZ167" s="59">
        <f ca="1">AVERAGE(OFFSET($GY$3,0,0,'Données projet'!$E$18+1,1))-AVERAGE(OFFSET($H$3,0,0,'Données projet'!$E$18+1,1))</f>
        <v>458.80976193248841</v>
      </c>
      <c r="HA167" s="59">
        <f t="shared" si="160"/>
        <v>396.07405370178759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26.588648225110951</v>
      </c>
      <c r="HH167" s="21">
        <f>EXP(-LN(2)/25)*HH166+(1-EXP(-LN(2)/25))/(LN(2)/25)*Calculateur!HC167*Calculateur!HE167*VLOOKUP('Données projet'!$B$18,Paramètres!$A$1:$I$89,3,0)*0.475*44/12</f>
        <v>1.1144728157604731</v>
      </c>
      <c r="HI167" s="21">
        <f>EXP(-LN(2)/2)*HI166+(1-EXP(-LN(2)/2))/(LN(2)/2)*HC167*HF167*VLOOKUP('Données projet'!$B$18,Paramètres!$A$1:$I$89,3,0)*0.475*44/12</f>
        <v>2.5371351875986541E-21</v>
      </c>
      <c r="HJ167" s="22">
        <f t="shared" si="190"/>
        <v>27.703121040871423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267</v>
      </c>
      <c r="O168" s="13">
        <f>N168*VLOOKUP('Données projet'!$B$9,Paramètres!$A$1:$I$89,3,0)*VLOOKUP('Données projet'!$B$9,Paramètres!$A$1:$I$89,5,0)</f>
        <v>241.58159999999998</v>
      </c>
      <c r="P168" s="13">
        <f t="shared" si="141"/>
        <v>58.779689232021951</v>
      </c>
      <c r="Q168" s="20">
        <f t="shared" si="162"/>
        <v>523.12924541243819</v>
      </c>
      <c r="R168" s="59">
        <f t="shared" si="109"/>
        <v>816.46257874577145</v>
      </c>
      <c r="S168" s="59">
        <f ca="1">AVERAGE(OFFSET($R$3,0,0,'Données projet'!$E$9+1,1))-AVERAGE(OFFSET($H$3,0,0,'Données projet'!$E$9+1,1))</f>
        <v>364.3481978218424</v>
      </c>
      <c r="T168" s="59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28.080259491098932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28.080259491098932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636.99999999999977</v>
      </c>
      <c r="AJ168" s="13">
        <f>AI168*VLOOKUP('Données projet'!$B$10,Paramètres!$A$1:$I$89,3,0)*VLOOKUP('Données projet'!$B$10,Paramètres!$A$1:$I$89,5,0)</f>
        <v>356.08299999999991</v>
      </c>
      <c r="AK168" s="13">
        <f t="shared" si="164"/>
        <v>82.813805255716545</v>
      </c>
      <c r="AL168" s="20">
        <f t="shared" si="165"/>
        <v>764.41193582037283</v>
      </c>
      <c r="AM168" s="59">
        <f t="shared" si="113"/>
        <v>1057.7452691537062</v>
      </c>
      <c r="AN168" s="59">
        <f ca="1">AVERAGE(OFFSET($AM$3,0,0,'Données projet'!$E$10+1,1))-AVERAGE(OFFSET($H$3,0,0,'Données projet'!$E$10+1,1))</f>
        <v>443.34220761968419</v>
      </c>
      <c r="AO168" s="59">
        <f t="shared" si="144"/>
        <v>546.58234447298014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12.216327584044599</v>
      </c>
      <c r="AV168" s="21">
        <f>EXP(-LN(2)/25)*AV167+(1-EXP(-LN(2)/25))/(LN(2)/25)*Calculateur!AQ168*Calculateur!AS168*VLOOKUP('Données projet'!$B$10,Paramètres!$A$1:$I$89,3,0)*0.475*44/12</f>
        <v>0.51954273816594732</v>
      </c>
      <c r="AW168" s="21">
        <f>EXP(-LN(2)/2)*AW167+(1-EXP(-LN(2)/2))/(LN(2)/2)*AQ168*AT168*VLOOKUP('Données projet'!$B$10,Paramètres!$A$1:$I$89,3,0)*0.475*44/12</f>
        <v>2.8949522877661285E-20</v>
      </c>
      <c r="AX168" s="21">
        <f t="shared" si="166"/>
        <v>12.735870322210546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403.99999999999989</v>
      </c>
      <c r="BE168" s="13">
        <f>BD168*VLOOKUP('Données projet'!$B$11,Paramètres!$A$1:$I$89,3,0)*VLOOKUP('Données projet'!$B$11,Paramètres!$A$1:$I$89,5,0)</f>
        <v>346.63199999999995</v>
      </c>
      <c r="BF168" s="13">
        <f t="shared" si="167"/>
        <v>80.868615263336864</v>
      </c>
      <c r="BG168" s="20">
        <f t="shared" si="168"/>
        <v>744.56357158364483</v>
      </c>
      <c r="BH168" s="59">
        <f t="shared" si="116"/>
        <v>1037.8969049169782</v>
      </c>
      <c r="BI168" s="59">
        <f ca="1">AVERAGE(OFFSET($BH$3,0,0,'Données projet'!$E$11+1,1))-AVERAGE(OFFSET($H$3,0,0,'Données projet'!$E$11+1,1))</f>
        <v>447.15627913956871</v>
      </c>
      <c r="BJ168" s="59">
        <f t="shared" si="146"/>
        <v>256.77417912163997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40.99860332942017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40.99860332942017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245.99999999999994</v>
      </c>
      <c r="BZ168" s="13">
        <f>BY168*VLOOKUP('Données projet'!$B$12,Paramètres!$A$1:$I$89,3,0)*VLOOKUP('Données projet'!$B$12,Paramètres!$A$1:$I$89,5,0)</f>
        <v>234.09359999999998</v>
      </c>
      <c r="CA168" s="13">
        <f t="shared" si="170"/>
        <v>57.166902703920208</v>
      </c>
      <c r="CB168" s="20">
        <f t="shared" si="171"/>
        <v>507.27870887599425</v>
      </c>
      <c r="CC168" s="59">
        <f t="shared" si="119"/>
        <v>800.61204220932757</v>
      </c>
      <c r="CD168" s="59">
        <f ca="1">AVERAGE(OFFSET($CC$3,0,0,'Données projet'!$E$12+1,1))-AVERAGE(OFFSET($H$3,0,0,'Données projet'!$E$12+1,1))</f>
        <v>448.94764480536713</v>
      </c>
      <c r="CE168" s="59">
        <f t="shared" si="148"/>
        <v>469.26760321719695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28.968868065404845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28.968868065404845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187.80389738728508</v>
      </c>
      <c r="CZ168" s="59">
        <f t="shared" si="150"/>
        <v>439.28159165815265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8.5228715171794054</v>
      </c>
      <c r="DG168" s="21">
        <f>EXP(-LN(2)/25)*DG167+(1-EXP(-LN(2)/25))/(LN(2)/25)*Calculateur!DB168*Calculateur!DD168*VLOOKUP('Données projet'!$B$13,Paramètres!$A$1:$I$89,3,0)*0.475*44/12</f>
        <v>0.34049884905502564</v>
      </c>
      <c r="DH168" s="21">
        <f>EXP(-LN(2)/2)*DH167+(1-EXP(-LN(2)/2))/(LN(2)/2)*DB168*DE168*VLOOKUP('Données projet'!$B$13,Paramètres!$A$1:$I$89,3,0)*0.475*44/12</f>
        <v>2.1543733688936177E-22</v>
      </c>
      <c r="DI168" s="22">
        <f t="shared" si="175"/>
        <v>8.863370366234431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255.00000000000006</v>
      </c>
      <c r="DP168" s="17">
        <f>DO168*VLOOKUP('Données projet'!$B$14,Paramètres!$A$1:$I$89,3,0)*VLOOKUP('Données projet'!$B$14,Paramètres!$A$1:$I$89,5,0)</f>
        <v>186.96600000000004</v>
      </c>
      <c r="DQ168" s="13">
        <f t="shared" si="176"/>
        <v>46.868551400324648</v>
      </c>
      <c r="DR168" s="20">
        <f t="shared" si="177"/>
        <v>407.26184368889881</v>
      </c>
      <c r="DS168" s="59">
        <f t="shared" si="125"/>
        <v>700.59517702223206</v>
      </c>
      <c r="DT168" s="59">
        <f ca="1">AVERAGE(OFFSET($DS$3,0,0,'Données projet'!$E$14+1,1))-AVERAGE(OFFSET($H$3,0,0,'Données projet'!$E$14+1,1))</f>
        <v>239.25212250019609</v>
      </c>
      <c r="DU168" s="59">
        <f t="shared" si="152"/>
        <v>213.58492101729695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689</v>
      </c>
      <c r="EK168" s="17">
        <f>EJ168*VLOOKUP('Données projet'!$B$15,Paramètres!$A$1:$I$89,3,0)*VLOOKUP('Données projet'!$B$15,Paramètres!$A$1:$I$89,5,0)</f>
        <v>412.02199999999999</v>
      </c>
      <c r="EL168" s="13">
        <f t="shared" si="179"/>
        <v>94.209724877926391</v>
      </c>
      <c r="EM168" s="20">
        <f t="shared" si="180"/>
        <v>881.686920829055</v>
      </c>
      <c r="EN168" s="59">
        <f t="shared" si="128"/>
        <v>1175.0202541623883</v>
      </c>
      <c r="EO168" s="59">
        <f ca="1">AVERAGE(OFFSET($EN$3,0,0,'Données projet'!$E$15+1,1))-AVERAGE(OFFSET($H$3,0,0,'Données projet'!$E$15+1,1))</f>
        <v>504.81063008331739</v>
      </c>
      <c r="EP168" s="59">
        <f t="shared" si="154"/>
        <v>441.82647565372287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18.179543081540022</v>
      </c>
      <c r="EW168" s="21">
        <f>EXP(-LN(2)/25)*EW167+(1-EXP(-LN(2)/25))/(LN(2)/25)*Calculateur!ER168*Calculateur!ET168*VLOOKUP('Données projet'!$B$15,Paramètres!$A$1:$I$89,3,0)*0.475*44/12</f>
        <v>1.3944411462637851</v>
      </c>
      <c r="EX168" s="21">
        <f>EXP(-LN(2)/2)*EX167+(1-EXP(-LN(2)/2))/(LN(2)/2)*ER168*EU168*VLOOKUP('Données projet'!$B$15,Paramètres!$A$1:$I$89,3,0)*0.475*44/12</f>
        <v>2.5090833243451061E-22</v>
      </c>
      <c r="EY168" s="22">
        <f t="shared" si="181"/>
        <v>19.573984227803805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541.99999999999989</v>
      </c>
      <c r="FF168" s="17">
        <f>FE168*VLOOKUP('Données projet'!$B$16,Paramètres!$A$1:$I$89,3,0)*VLOOKUP('Données projet'!$B$16,Paramètres!$A$1:$I$89,5,0)</f>
        <v>310.02399999999994</v>
      </c>
      <c r="FG168" s="13">
        <f t="shared" si="182"/>
        <v>73.27384230442388</v>
      </c>
      <c r="FH168" s="20">
        <f t="shared" si="183"/>
        <v>667.57707534687154</v>
      </c>
      <c r="FI168" s="59">
        <f t="shared" si="131"/>
        <v>960.91040868020491</v>
      </c>
      <c r="FJ168" s="59">
        <f ca="1">AVERAGE(OFFSET($FI$3,0,0,'Données projet'!$E$16+1,1))-AVERAGE(OFFSET($H$3,0,0,'Données projet'!$E$16+1,1))</f>
        <v>393.41577134252316</v>
      </c>
      <c r="FK168" s="59">
        <f t="shared" si="156"/>
        <v>255.54039659391475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21.287421184631928</v>
      </c>
      <c r="FR168" s="21">
        <f>EXP(-LN(2)/25)*FR167+(1-EXP(-LN(2)/25))/(LN(2)/25)*Calculateur!FM168*Calculateur!FO168*VLOOKUP('Données projet'!$B$16,Paramètres!$A$1:$I$89,3,0)*0.475*44/12</f>
        <v>0.63282016099805261</v>
      </c>
      <c r="FS168" s="21">
        <f>EXP(-LN(2)/2)*FS167+(1-EXP(-LN(2)/2))/(LN(2)/2)*FM168*FP168*VLOOKUP('Données projet'!$B$16,Paramètres!$A$1:$I$89,3,0)*0.475*44/12</f>
        <v>1.7455383203721182E-21</v>
      </c>
      <c r="FT168" s="22">
        <f t="shared" si="184"/>
        <v>21.920241345629979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853.00000000000011</v>
      </c>
      <c r="GA168" s="17">
        <f>FZ168*VLOOKUP('Données projet'!$B$17,Paramètres!$A$1:$I$89,3,0)*VLOOKUP('Données projet'!$B$17,Paramètres!$A$1:$I$89,5,0)</f>
        <v>399.20400000000006</v>
      </c>
      <c r="GB168" s="13">
        <f t="shared" si="185"/>
        <v>91.615269732888521</v>
      </c>
      <c r="GC168" s="20">
        <f t="shared" si="186"/>
        <v>854.8435614514475</v>
      </c>
      <c r="GD168" s="59">
        <f t="shared" si="134"/>
        <v>1148.1768947847809</v>
      </c>
      <c r="GE168" s="59">
        <f ca="1">AVERAGE(OFFSET($GD$3,0,0,'Données projet'!$E$17+1,1))-AVERAGE(OFFSET($H$3,0,0,'Données projet'!$E$17+1,1))</f>
        <v>488.67934252295686</v>
      </c>
      <c r="GF168" s="59">
        <f t="shared" si="158"/>
        <v>424.50324471331095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25.743463518455627</v>
      </c>
      <c r="GM168" s="21">
        <f>EXP(-LN(2)/25)*GM167+(1-EXP(-LN(2)/25))/(LN(2)/25)*Calculateur!GH168*Calculateur!GJ168*VLOOKUP('Données projet'!$B$17,Paramètres!$A$1:$I$89,3,0)*0.475*44/12</f>
        <v>1.160170295163097</v>
      </c>
      <c r="GN168" s="21">
        <f>EXP(-LN(2)/2)*GN167+(1-EXP(-LN(2)/2))/(LN(2)/2)*GH168*GK168*VLOOKUP('Données projet'!$B$17,Paramètres!$A$1:$I$89,3,0)*0.475*44/12</f>
        <v>3.887789895374262E-21</v>
      </c>
      <c r="GO168" s="21">
        <f t="shared" si="187"/>
        <v>26.903633813618725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789</v>
      </c>
      <c r="GV168" s="17">
        <f>GU168*VLOOKUP('Données projet'!$B$18,Paramètres!$A$1:$I$89,3,0)*VLOOKUP('Données projet'!$B$18,Paramètres!$A$1:$I$89,5,0)</f>
        <v>379.50900000000001</v>
      </c>
      <c r="GW168" s="13">
        <f t="shared" si="188"/>
        <v>87.609801106074272</v>
      </c>
      <c r="GX168" s="20">
        <f t="shared" si="189"/>
        <v>813.56524525974601</v>
      </c>
      <c r="GY168" s="59">
        <f t="shared" si="137"/>
        <v>1106.8985785930793</v>
      </c>
      <c r="GZ168" s="59">
        <f ca="1">AVERAGE(OFFSET($GY$3,0,0,'Données projet'!$E$18+1,1))-AVERAGE(OFFSET($H$3,0,0,'Données projet'!$E$18+1,1))</f>
        <v>458.80976193248841</v>
      </c>
      <c r="HA168" s="59">
        <f t="shared" si="160"/>
        <v>396.07405370178759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26.0672610508906</v>
      </c>
      <c r="HH168" s="21">
        <f>EXP(-LN(2)/25)*HH167+(1-EXP(-LN(2)/25))/(LN(2)/25)*Calculateur!HC168*Calculateur!HE168*VLOOKUP('Données projet'!$B$18,Paramètres!$A$1:$I$89,3,0)*0.475*44/12</f>
        <v>1.0839974980059248</v>
      </c>
      <c r="HI168" s="21">
        <f>EXP(-LN(2)/2)*HI167+(1-EXP(-LN(2)/2))/(LN(2)/2)*HC168*HF168*VLOOKUP('Données projet'!$B$18,Paramètres!$A$1:$I$89,3,0)*0.475*44/12</f>
        <v>1.7940254959380117E-21</v>
      </c>
      <c r="HJ168" s="22">
        <f t="shared" si="190"/>
        <v>27.151258548896525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267</v>
      </c>
      <c r="O169" s="13">
        <f>N169*VLOOKUP('Données projet'!$B$9,Paramètres!$A$1:$I$89,3,0)*VLOOKUP('Données projet'!$B$9,Paramètres!$A$1:$I$89,5,0)</f>
        <v>241.58159999999998</v>
      </c>
      <c r="P169" s="13">
        <f t="shared" si="141"/>
        <v>58.779689232021951</v>
      </c>
      <c r="Q169" s="20">
        <f t="shared" si="162"/>
        <v>523.12924541243819</v>
      </c>
      <c r="R169" s="59">
        <f t="shared" si="109"/>
        <v>816.46257874577145</v>
      </c>
      <c r="S169" s="59">
        <f ca="1">AVERAGE(OFFSET($R$3,0,0,'Données projet'!$E$9+1,1))-AVERAGE(OFFSET($H$3,0,0,'Données projet'!$E$9+1,1))</f>
        <v>364.3481978218424</v>
      </c>
      <c r="T169" s="59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27.529622729745594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27.529622729745594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636.99999999999977</v>
      </c>
      <c r="AJ169" s="13">
        <f>AI169*VLOOKUP('Données projet'!$B$10,Paramètres!$A$1:$I$89,3,0)*VLOOKUP('Données projet'!$B$10,Paramètres!$A$1:$I$89,5,0)</f>
        <v>356.08299999999991</v>
      </c>
      <c r="AK169" s="13">
        <f t="shared" si="164"/>
        <v>82.813805255716545</v>
      </c>
      <c r="AL169" s="20">
        <f t="shared" si="165"/>
        <v>764.41193582037283</v>
      </c>
      <c r="AM169" s="59">
        <f t="shared" si="113"/>
        <v>1057.7452691537062</v>
      </c>
      <c r="AN169" s="59">
        <f ca="1">AVERAGE(OFFSET($AM$3,0,0,'Données projet'!$E$10+1,1))-AVERAGE(OFFSET($H$3,0,0,'Données projet'!$E$10+1,1))</f>
        <v>443.34220761968419</v>
      </c>
      <c r="AO169" s="59">
        <f t="shared" si="144"/>
        <v>546.58234447298014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11.976772851345563</v>
      </c>
      <c r="AV169" s="21">
        <f>EXP(-LN(2)/25)*AV168+(1-EXP(-LN(2)/25))/(LN(2)/25)*Calculateur!AQ169*Calculateur!AS169*VLOOKUP('Données projet'!$B$10,Paramètres!$A$1:$I$89,3,0)*0.475*44/12</f>
        <v>0.50533581466923427</v>
      </c>
      <c r="AW169" s="21">
        <f>EXP(-LN(2)/2)*AW168+(1-EXP(-LN(2)/2))/(LN(2)/2)*AQ169*AT169*VLOOKUP('Données projet'!$B$10,Paramètres!$A$1:$I$89,3,0)*0.475*44/12</f>
        <v>2.047040393890939E-20</v>
      </c>
      <c r="AX169" s="21">
        <f t="shared" si="166"/>
        <v>12.482108666014797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403.99999999999989</v>
      </c>
      <c r="BE169" s="13">
        <f>BD169*VLOOKUP('Données projet'!$B$11,Paramètres!$A$1:$I$89,3,0)*VLOOKUP('Données projet'!$B$11,Paramètres!$A$1:$I$89,5,0)</f>
        <v>346.63199999999995</v>
      </c>
      <c r="BF169" s="13">
        <f t="shared" si="167"/>
        <v>80.868615263336864</v>
      </c>
      <c r="BG169" s="20">
        <f t="shared" si="168"/>
        <v>744.56357158364483</v>
      </c>
      <c r="BH169" s="59">
        <f t="shared" si="116"/>
        <v>1037.8969049169782</v>
      </c>
      <c r="BI169" s="59">
        <f ca="1">AVERAGE(OFFSET($BH$3,0,0,'Données projet'!$E$11+1,1))-AVERAGE(OFFSET($H$3,0,0,'Données projet'!$E$11+1,1))</f>
        <v>447.15627913956871</v>
      </c>
      <c r="BJ169" s="59">
        <f t="shared" si="146"/>
        <v>256.77417912163997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40.194645724809064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40.194645724809064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245.99999999999994</v>
      </c>
      <c r="BZ169" s="13">
        <f>BY169*VLOOKUP('Données projet'!$B$12,Paramètres!$A$1:$I$89,3,0)*VLOOKUP('Données projet'!$B$12,Paramètres!$A$1:$I$89,5,0)</f>
        <v>234.09359999999998</v>
      </c>
      <c r="CA169" s="13">
        <f t="shared" si="170"/>
        <v>57.166902703920208</v>
      </c>
      <c r="CB169" s="20">
        <f t="shared" si="171"/>
        <v>507.27870887599425</v>
      </c>
      <c r="CC169" s="59">
        <f t="shared" si="119"/>
        <v>800.61204220932757</v>
      </c>
      <c r="CD169" s="59">
        <f ca="1">AVERAGE(OFFSET($CC$3,0,0,'Données projet'!$E$12+1,1))-AVERAGE(OFFSET($H$3,0,0,'Données projet'!$E$12+1,1))</f>
        <v>448.94764480536713</v>
      </c>
      <c r="CE169" s="59">
        <f t="shared" si="148"/>
        <v>469.26760321719695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28.40080623190708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28.40080623190708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187.80389738728508</v>
      </c>
      <c r="CZ169" s="59">
        <f t="shared" si="150"/>
        <v>439.28159165815265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8.3557432051658402</v>
      </c>
      <c r="DG169" s="21">
        <f>EXP(-LN(2)/25)*DG168+(1-EXP(-LN(2)/25))/(LN(2)/25)*Calculateur!DB169*Calculateur!DD169*VLOOKUP('Données projet'!$B$13,Paramètres!$A$1:$I$89,3,0)*0.475*44/12</f>
        <v>0.33118789012155969</v>
      </c>
      <c r="DH169" s="21">
        <f>EXP(-LN(2)/2)*DH168+(1-EXP(-LN(2)/2))/(LN(2)/2)*DB169*DE169*VLOOKUP('Données projet'!$B$13,Paramètres!$A$1:$I$89,3,0)*0.475*44/12</f>
        <v>1.5233720183523845E-22</v>
      </c>
      <c r="DI169" s="22">
        <f t="shared" si="175"/>
        <v>8.6869310952874006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255.00000000000006</v>
      </c>
      <c r="DP169" s="17">
        <f>DO169*VLOOKUP('Données projet'!$B$14,Paramètres!$A$1:$I$89,3,0)*VLOOKUP('Données projet'!$B$14,Paramètres!$A$1:$I$89,5,0)</f>
        <v>186.96600000000004</v>
      </c>
      <c r="DQ169" s="13">
        <f t="shared" si="176"/>
        <v>46.868551400324648</v>
      </c>
      <c r="DR169" s="20">
        <f t="shared" si="177"/>
        <v>407.26184368889881</v>
      </c>
      <c r="DS169" s="59">
        <f t="shared" si="125"/>
        <v>700.59517702223206</v>
      </c>
      <c r="DT169" s="59">
        <f ca="1">AVERAGE(OFFSET($DS$3,0,0,'Données projet'!$E$14+1,1))-AVERAGE(OFFSET($H$3,0,0,'Données projet'!$E$14+1,1))</f>
        <v>239.25212250019609</v>
      </c>
      <c r="DU169" s="59">
        <f t="shared" si="152"/>
        <v>213.58492101729695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689</v>
      </c>
      <c r="EK169" s="17">
        <f>EJ169*VLOOKUP('Données projet'!$B$15,Paramètres!$A$1:$I$89,3,0)*VLOOKUP('Données projet'!$B$15,Paramètres!$A$1:$I$89,5,0)</f>
        <v>412.02199999999999</v>
      </c>
      <c r="EL169" s="13">
        <f t="shared" si="179"/>
        <v>94.209724877926391</v>
      </c>
      <c r="EM169" s="20">
        <f t="shared" si="180"/>
        <v>881.686920829055</v>
      </c>
      <c r="EN169" s="59">
        <f t="shared" si="128"/>
        <v>1175.0202541623883</v>
      </c>
      <c r="EO169" s="59">
        <f ca="1">AVERAGE(OFFSET($EN$3,0,0,'Données projet'!$E$15+1,1))-AVERAGE(OFFSET($H$3,0,0,'Données projet'!$E$15+1,1))</f>
        <v>504.81063008331739</v>
      </c>
      <c r="EP169" s="59">
        <f t="shared" si="154"/>
        <v>441.82647565372287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17.823053330137409</v>
      </c>
      <c r="EW169" s="21">
        <f>EXP(-LN(2)/25)*EW168+(1-EXP(-LN(2)/25))/(LN(2)/25)*Calculateur!ER169*Calculateur!ET169*VLOOKUP('Données projet'!$B$15,Paramètres!$A$1:$I$89,3,0)*0.475*44/12</f>
        <v>1.3563100797887291</v>
      </c>
      <c r="EX169" s="21">
        <f>EXP(-LN(2)/2)*EX168+(1-EXP(-LN(2)/2))/(LN(2)/2)*ER169*EU169*VLOOKUP('Données projet'!$B$15,Paramètres!$A$1:$I$89,3,0)*0.475*44/12</f>
        <v>1.7741898332065102E-22</v>
      </c>
      <c r="EY169" s="22">
        <f t="shared" si="181"/>
        <v>19.17936340992614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541.99999999999989</v>
      </c>
      <c r="FF169" s="17">
        <f>FE169*VLOOKUP('Données projet'!$B$16,Paramètres!$A$1:$I$89,3,0)*VLOOKUP('Données projet'!$B$16,Paramètres!$A$1:$I$89,5,0)</f>
        <v>310.02399999999994</v>
      </c>
      <c r="FG169" s="13">
        <f t="shared" si="182"/>
        <v>73.27384230442388</v>
      </c>
      <c r="FH169" s="20">
        <f t="shared" si="183"/>
        <v>667.57707534687154</v>
      </c>
      <c r="FI169" s="59">
        <f t="shared" si="131"/>
        <v>960.91040868020491</v>
      </c>
      <c r="FJ169" s="59">
        <f ca="1">AVERAGE(OFFSET($FI$3,0,0,'Données projet'!$E$16+1,1))-AVERAGE(OFFSET($H$3,0,0,'Données projet'!$E$16+1,1))</f>
        <v>393.41577134252316</v>
      </c>
      <c r="FK169" s="59">
        <f t="shared" si="156"/>
        <v>255.54039659391475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20.86998783924615</v>
      </c>
      <c r="FR169" s="21">
        <f>EXP(-LN(2)/25)*FR168+(1-EXP(-LN(2)/25))/(LN(2)/25)*Calculateur!FM169*Calculateur!FO169*VLOOKUP('Données projet'!$B$16,Paramètres!$A$1:$I$89,3,0)*0.475*44/12</f>
        <v>0.6155156604169949</v>
      </c>
      <c r="FS169" s="21">
        <f>EXP(-LN(2)/2)*FS168+(1-EXP(-LN(2)/2))/(LN(2)/2)*FM169*FP169*VLOOKUP('Données projet'!$B$16,Paramètres!$A$1:$I$89,3,0)*0.475*44/12</f>
        <v>1.2342819831561011E-21</v>
      </c>
      <c r="FT169" s="22">
        <f t="shared" si="184"/>
        <v>21.485503499663146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853.00000000000011</v>
      </c>
      <c r="GA169" s="17">
        <f>FZ169*VLOOKUP('Données projet'!$B$17,Paramètres!$A$1:$I$89,3,0)*VLOOKUP('Données projet'!$B$17,Paramètres!$A$1:$I$89,5,0)</f>
        <v>399.20400000000006</v>
      </c>
      <c r="GB169" s="13">
        <f t="shared" si="185"/>
        <v>91.615269732888521</v>
      </c>
      <c r="GC169" s="20">
        <f t="shared" si="186"/>
        <v>854.8435614514475</v>
      </c>
      <c r="GD169" s="59">
        <f t="shared" si="134"/>
        <v>1148.1768947847809</v>
      </c>
      <c r="GE169" s="59">
        <f ca="1">AVERAGE(OFFSET($GD$3,0,0,'Données projet'!$E$17+1,1))-AVERAGE(OFFSET($H$3,0,0,'Données projet'!$E$17+1,1))</f>
        <v>488.67934252295686</v>
      </c>
      <c r="GF169" s="59">
        <f t="shared" si="158"/>
        <v>424.50324471331095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25.23864990082102</v>
      </c>
      <c r="GM169" s="21">
        <f>EXP(-LN(2)/25)*GM168+(1-EXP(-LN(2)/25))/(LN(2)/25)*Calculateur!GH169*Calculateur!GJ169*VLOOKUP('Données projet'!$B$17,Paramètres!$A$1:$I$89,3,0)*0.475*44/12</f>
        <v>1.1284453774311578</v>
      </c>
      <c r="GN169" s="21">
        <f>EXP(-LN(2)/2)*GN168+(1-EXP(-LN(2)/2))/(LN(2)/2)*GH169*GK169*VLOOKUP('Données projet'!$B$17,Paramètres!$A$1:$I$89,3,0)*0.475*44/12</f>
        <v>2.7490825988476788E-21</v>
      </c>
      <c r="GO169" s="21">
        <f t="shared" si="187"/>
        <v>26.367095278252179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789</v>
      </c>
      <c r="GV169" s="17">
        <f>GU169*VLOOKUP('Données projet'!$B$18,Paramètres!$A$1:$I$89,3,0)*VLOOKUP('Données projet'!$B$18,Paramètres!$A$1:$I$89,5,0)</f>
        <v>379.50900000000001</v>
      </c>
      <c r="GW169" s="13">
        <f t="shared" si="188"/>
        <v>87.609801106074272</v>
      </c>
      <c r="GX169" s="20">
        <f t="shared" si="189"/>
        <v>813.56524525974601</v>
      </c>
      <c r="GY169" s="59">
        <f t="shared" si="137"/>
        <v>1106.8985785930793</v>
      </c>
      <c r="GZ169" s="59">
        <f ca="1">AVERAGE(OFFSET($GY$3,0,0,'Données projet'!$E$18+1,1))-AVERAGE(OFFSET($H$3,0,0,'Données projet'!$E$18+1,1))</f>
        <v>458.80976193248841</v>
      </c>
      <c r="HA169" s="59">
        <f t="shared" si="160"/>
        <v>396.07405370178759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25.556097961141937</v>
      </c>
      <c r="HH169" s="21">
        <f>EXP(-LN(2)/25)*HH168+(1-EXP(-LN(2)/25))/(LN(2)/25)*Calculateur!HC169*Calculateur!HE169*VLOOKUP('Données projet'!$B$18,Paramètres!$A$1:$I$89,3,0)*0.475*44/12</f>
        <v>1.0543555294180018</v>
      </c>
      <c r="HI169" s="21">
        <f>EXP(-LN(2)/2)*HI168+(1-EXP(-LN(2)/2))/(LN(2)/2)*HC169*HF169*VLOOKUP('Données projet'!$B$18,Paramètres!$A$1:$I$89,3,0)*0.475*44/12</f>
        <v>1.268567593799327E-21</v>
      </c>
      <c r="HJ169" s="22">
        <f t="shared" si="190"/>
        <v>26.610453490559937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267</v>
      </c>
      <c r="O170" s="13">
        <f>N170*VLOOKUP('Données projet'!$B$9,Paramètres!$A$1:$I$89,3,0)*VLOOKUP('Données projet'!$B$9,Paramètres!$A$1:$I$89,5,0)</f>
        <v>241.58159999999998</v>
      </c>
      <c r="P170" s="13">
        <f t="shared" si="141"/>
        <v>58.779689232021951</v>
      </c>
      <c r="Q170" s="20">
        <f t="shared" si="162"/>
        <v>523.12924541243819</v>
      </c>
      <c r="R170" s="59">
        <f t="shared" si="109"/>
        <v>816.46257874577145</v>
      </c>
      <c r="S170" s="59">
        <f ca="1">AVERAGE(OFFSET($R$3,0,0,'Données projet'!$E$9+1,1))-AVERAGE(OFFSET($H$3,0,0,'Données projet'!$E$9+1,1))</f>
        <v>364.3481978218424</v>
      </c>
      <c r="T170" s="59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26.989783619427133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26.989783619427133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636.99999999999977</v>
      </c>
      <c r="AJ170" s="13">
        <f>AI170*VLOOKUP('Données projet'!$B$10,Paramètres!$A$1:$I$89,3,0)*VLOOKUP('Données projet'!$B$10,Paramètres!$A$1:$I$89,5,0)</f>
        <v>356.08299999999991</v>
      </c>
      <c r="AK170" s="13">
        <f t="shared" si="164"/>
        <v>82.813805255716545</v>
      </c>
      <c r="AL170" s="20">
        <f t="shared" si="165"/>
        <v>764.41193582037283</v>
      </c>
      <c r="AM170" s="59">
        <f t="shared" si="113"/>
        <v>1057.7452691537062</v>
      </c>
      <c r="AN170" s="59">
        <f ca="1">AVERAGE(OFFSET($AM$3,0,0,'Données projet'!$E$10+1,1))-AVERAGE(OFFSET($H$3,0,0,'Données projet'!$E$10+1,1))</f>
        <v>443.34220761968419</v>
      </c>
      <c r="AO170" s="59">
        <f t="shared" si="144"/>
        <v>546.58234447298014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11.741915640840796</v>
      </c>
      <c r="AV170" s="21">
        <f>EXP(-LN(2)/25)*AV169+(1-EXP(-LN(2)/25))/(LN(2)/25)*Calculateur!AQ170*Calculateur!AS170*VLOOKUP('Données projet'!$B$10,Paramètres!$A$1:$I$89,3,0)*0.475*44/12</f>
        <v>0.49151738024264852</v>
      </c>
      <c r="AW170" s="21">
        <f>EXP(-LN(2)/2)*AW169+(1-EXP(-LN(2)/2))/(LN(2)/2)*AQ170*AT170*VLOOKUP('Données projet'!$B$10,Paramètres!$A$1:$I$89,3,0)*0.475*44/12</f>
        <v>1.4474761438830642E-20</v>
      </c>
      <c r="AX170" s="21">
        <f t="shared" si="166"/>
        <v>12.233433021083444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403.99999999999989</v>
      </c>
      <c r="BE170" s="13">
        <f>BD170*VLOOKUP('Données projet'!$B$11,Paramètres!$A$1:$I$89,3,0)*VLOOKUP('Données projet'!$B$11,Paramètres!$A$1:$I$89,5,0)</f>
        <v>346.63199999999995</v>
      </c>
      <c r="BF170" s="13">
        <f t="shared" si="167"/>
        <v>80.868615263336864</v>
      </c>
      <c r="BG170" s="20">
        <f t="shared" si="168"/>
        <v>744.56357158364483</v>
      </c>
      <c r="BH170" s="59">
        <f t="shared" si="116"/>
        <v>1037.8969049169782</v>
      </c>
      <c r="BI170" s="59">
        <f ca="1">AVERAGE(OFFSET($BH$3,0,0,'Données projet'!$E$11+1,1))-AVERAGE(OFFSET($H$3,0,0,'Données projet'!$E$11+1,1))</f>
        <v>447.15627913956871</v>
      </c>
      <c r="BJ170" s="59">
        <f t="shared" si="146"/>
        <v>256.77417912163997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39.406453238458667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39.406453238458667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245.99999999999994</v>
      </c>
      <c r="BZ170" s="13">
        <f>BY170*VLOOKUP('Données projet'!$B$12,Paramètres!$A$1:$I$89,3,0)*VLOOKUP('Données projet'!$B$12,Paramètres!$A$1:$I$89,5,0)</f>
        <v>234.09359999999998</v>
      </c>
      <c r="CA170" s="13">
        <f t="shared" si="170"/>
        <v>57.166902703920208</v>
      </c>
      <c r="CB170" s="20">
        <f t="shared" si="171"/>
        <v>507.27870887599425</v>
      </c>
      <c r="CC170" s="59">
        <f t="shared" si="119"/>
        <v>800.61204220932757</v>
      </c>
      <c r="CD170" s="59">
        <f ca="1">AVERAGE(OFFSET($CC$3,0,0,'Données projet'!$E$12+1,1))-AVERAGE(OFFSET($H$3,0,0,'Données projet'!$E$12+1,1))</f>
        <v>448.94764480536713</v>
      </c>
      <c r="CE170" s="59">
        <f t="shared" si="148"/>
        <v>469.26760321719695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27.843883744480699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27.843883744480699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187.80389738728508</v>
      </c>
      <c r="CZ170" s="59">
        <f t="shared" si="150"/>
        <v>439.28159165815265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8.1918921774126563</v>
      </c>
      <c r="DG170" s="21">
        <f>EXP(-LN(2)/25)*DG169+(1-EXP(-LN(2)/25))/(LN(2)/25)*Calculateur!DB170*Calculateur!DD170*VLOOKUP('Données projet'!$B$13,Paramètres!$A$1:$I$89,3,0)*0.475*44/12</f>
        <v>0.32213153984977144</v>
      </c>
      <c r="DH170" s="21">
        <f>EXP(-LN(2)/2)*DH169+(1-EXP(-LN(2)/2))/(LN(2)/2)*DB170*DE170*VLOOKUP('Données projet'!$B$13,Paramètres!$A$1:$I$89,3,0)*0.475*44/12</f>
        <v>1.0771866844468088E-22</v>
      </c>
      <c r="DI170" s="22">
        <f t="shared" si="175"/>
        <v>8.5140237172624271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255.00000000000006</v>
      </c>
      <c r="DP170" s="17">
        <f>DO170*VLOOKUP('Données projet'!$B$14,Paramètres!$A$1:$I$89,3,0)*VLOOKUP('Données projet'!$B$14,Paramètres!$A$1:$I$89,5,0)</f>
        <v>186.96600000000004</v>
      </c>
      <c r="DQ170" s="13">
        <f t="shared" si="176"/>
        <v>46.868551400324648</v>
      </c>
      <c r="DR170" s="20">
        <f t="shared" si="177"/>
        <v>407.26184368889881</v>
      </c>
      <c r="DS170" s="59">
        <f t="shared" si="125"/>
        <v>700.59517702223206</v>
      </c>
      <c r="DT170" s="59">
        <f ca="1">AVERAGE(OFFSET($DS$3,0,0,'Données projet'!$E$14+1,1))-AVERAGE(OFFSET($H$3,0,0,'Données projet'!$E$14+1,1))</f>
        <v>239.25212250019609</v>
      </c>
      <c r="DU170" s="59">
        <f t="shared" si="152"/>
        <v>213.58492101729695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689</v>
      </c>
      <c r="EK170" s="17">
        <f>EJ170*VLOOKUP('Données projet'!$B$15,Paramètres!$A$1:$I$89,3,0)*VLOOKUP('Données projet'!$B$15,Paramètres!$A$1:$I$89,5,0)</f>
        <v>412.02199999999999</v>
      </c>
      <c r="EL170" s="13">
        <f t="shared" si="179"/>
        <v>94.209724877926391</v>
      </c>
      <c r="EM170" s="20">
        <f t="shared" si="180"/>
        <v>881.686920829055</v>
      </c>
      <c r="EN170" s="59">
        <f t="shared" si="128"/>
        <v>1175.0202541623883</v>
      </c>
      <c r="EO170" s="59">
        <f ca="1">AVERAGE(OFFSET($EN$3,0,0,'Données projet'!$E$15+1,1))-AVERAGE(OFFSET($H$3,0,0,'Données projet'!$E$15+1,1))</f>
        <v>504.81063008331739</v>
      </c>
      <c r="EP170" s="59">
        <f t="shared" si="154"/>
        <v>441.82647565372287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17.473554125322526</v>
      </c>
      <c r="EW170" s="21">
        <f>EXP(-LN(2)/25)*EW169+(1-EXP(-LN(2)/25))/(LN(2)/25)*Calculateur!ER170*Calculateur!ET170*VLOOKUP('Données projet'!$B$15,Paramètres!$A$1:$I$89,3,0)*0.475*44/12</f>
        <v>1.3192217093316592</v>
      </c>
      <c r="EX170" s="21">
        <f>EXP(-LN(2)/2)*EX169+(1-EXP(-LN(2)/2))/(LN(2)/2)*ER170*EU170*VLOOKUP('Données projet'!$B$15,Paramètres!$A$1:$I$89,3,0)*0.475*44/12</f>
        <v>1.254541662172553E-22</v>
      </c>
      <c r="EY170" s="22">
        <f t="shared" si="181"/>
        <v>18.792775834654186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541.99999999999989</v>
      </c>
      <c r="FF170" s="17">
        <f>FE170*VLOOKUP('Données projet'!$B$16,Paramètres!$A$1:$I$89,3,0)*VLOOKUP('Données projet'!$B$16,Paramètres!$A$1:$I$89,5,0)</f>
        <v>310.02399999999994</v>
      </c>
      <c r="FG170" s="13">
        <f t="shared" si="182"/>
        <v>73.27384230442388</v>
      </c>
      <c r="FH170" s="20">
        <f t="shared" si="183"/>
        <v>667.57707534687154</v>
      </c>
      <c r="FI170" s="59">
        <f t="shared" si="131"/>
        <v>960.91040868020491</v>
      </c>
      <c r="FJ170" s="59">
        <f ca="1">AVERAGE(OFFSET($FI$3,0,0,'Données projet'!$E$16+1,1))-AVERAGE(OFFSET($H$3,0,0,'Données projet'!$E$16+1,1))</f>
        <v>393.41577134252316</v>
      </c>
      <c r="FK170" s="59">
        <f t="shared" si="156"/>
        <v>255.54039659391475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20.460740107154187</v>
      </c>
      <c r="FR170" s="21">
        <f>EXP(-LN(2)/25)*FR169+(1-EXP(-LN(2)/25))/(LN(2)/25)*Calculateur!FM170*Calculateur!FO170*VLOOKUP('Données projet'!$B$16,Paramètres!$A$1:$I$89,3,0)*0.475*44/12</f>
        <v>0.59868435231433037</v>
      </c>
      <c r="FS170" s="21">
        <f>EXP(-LN(2)/2)*FS169+(1-EXP(-LN(2)/2))/(LN(2)/2)*FM170*FP170*VLOOKUP('Données projet'!$B$16,Paramètres!$A$1:$I$89,3,0)*0.475*44/12</f>
        <v>8.7276916018605908E-22</v>
      </c>
      <c r="FT170" s="22">
        <f t="shared" si="184"/>
        <v>21.059424459468516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853.00000000000011</v>
      </c>
      <c r="GA170" s="17">
        <f>FZ170*VLOOKUP('Données projet'!$B$17,Paramètres!$A$1:$I$89,3,0)*VLOOKUP('Données projet'!$B$17,Paramètres!$A$1:$I$89,5,0)</f>
        <v>399.20400000000006</v>
      </c>
      <c r="GB170" s="13">
        <f t="shared" si="185"/>
        <v>91.615269732888521</v>
      </c>
      <c r="GC170" s="20">
        <f t="shared" si="186"/>
        <v>854.8435614514475</v>
      </c>
      <c r="GD170" s="59">
        <f t="shared" si="134"/>
        <v>1148.1768947847809</v>
      </c>
      <c r="GE170" s="59">
        <f ca="1">AVERAGE(OFFSET($GD$3,0,0,'Données projet'!$E$17+1,1))-AVERAGE(OFFSET($H$3,0,0,'Données projet'!$E$17+1,1))</f>
        <v>488.67934252295686</v>
      </c>
      <c r="GF170" s="59">
        <f t="shared" si="158"/>
        <v>424.50324471331095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24.743735370322323</v>
      </c>
      <c r="GM170" s="21">
        <f>EXP(-LN(2)/25)*GM169+(1-EXP(-LN(2)/25))/(LN(2)/25)*Calculateur!GH170*Calculateur!GJ170*VLOOKUP('Données projet'!$B$17,Paramètres!$A$1:$I$89,3,0)*0.475*44/12</f>
        <v>1.0975879792429395</v>
      </c>
      <c r="GN170" s="21">
        <f>EXP(-LN(2)/2)*GN169+(1-EXP(-LN(2)/2))/(LN(2)/2)*GH170*GK170*VLOOKUP('Données projet'!$B$17,Paramètres!$A$1:$I$89,3,0)*0.475*44/12</f>
        <v>1.943894947687131E-21</v>
      </c>
      <c r="GO170" s="21">
        <f t="shared" si="187"/>
        <v>25.841323349565261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789</v>
      </c>
      <c r="GV170" s="17">
        <f>GU170*VLOOKUP('Données projet'!$B$18,Paramètres!$A$1:$I$89,3,0)*VLOOKUP('Données projet'!$B$18,Paramètres!$A$1:$I$89,5,0)</f>
        <v>379.50900000000001</v>
      </c>
      <c r="GW170" s="13">
        <f t="shared" si="188"/>
        <v>87.609801106074272</v>
      </c>
      <c r="GX170" s="20">
        <f t="shared" si="189"/>
        <v>813.56524525974601</v>
      </c>
      <c r="GY170" s="59">
        <f t="shared" si="137"/>
        <v>1106.8985785930793</v>
      </c>
      <c r="GZ170" s="59">
        <f ca="1">AVERAGE(OFFSET($GY$3,0,0,'Données projet'!$E$18+1,1))-AVERAGE(OFFSET($H$3,0,0,'Données projet'!$E$18+1,1))</f>
        <v>458.80976193248841</v>
      </c>
      <c r="HA170" s="59">
        <f t="shared" si="160"/>
        <v>396.07405370178759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25.054958467804543</v>
      </c>
      <c r="HH170" s="21">
        <f>EXP(-LN(2)/25)*HH169+(1-EXP(-LN(2)/25))/(LN(2)/25)*Calculateur!HC170*Calculateur!HE170*VLOOKUP('Données projet'!$B$18,Paramètres!$A$1:$I$89,3,0)*0.475*44/12</f>
        <v>1.0255241220199189</v>
      </c>
      <c r="HI170" s="21">
        <f>EXP(-LN(2)/2)*HI169+(1-EXP(-LN(2)/2))/(LN(2)/2)*HC170*HF170*VLOOKUP('Données projet'!$B$18,Paramètres!$A$1:$I$89,3,0)*0.475*44/12</f>
        <v>8.9701274796900584E-22</v>
      </c>
      <c r="HJ170" s="22">
        <f t="shared" si="190"/>
        <v>26.080482589824463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267</v>
      </c>
      <c r="O171" s="13">
        <f>N171*VLOOKUP('Données projet'!$B$9,Paramètres!$A$1:$I$89,3,0)*VLOOKUP('Données projet'!$B$9,Paramètres!$A$1:$I$89,5,0)</f>
        <v>241.58159999999998</v>
      </c>
      <c r="P171" s="13">
        <f t="shared" si="141"/>
        <v>58.779689232021951</v>
      </c>
      <c r="Q171" s="20">
        <f t="shared" si="162"/>
        <v>523.12924541243819</v>
      </c>
      <c r="R171" s="59">
        <f t="shared" si="109"/>
        <v>816.46257874577145</v>
      </c>
      <c r="S171" s="59">
        <f ca="1">AVERAGE(OFFSET($R$3,0,0,'Données projet'!$E$9+1,1))-AVERAGE(OFFSET($H$3,0,0,'Données projet'!$E$9+1,1))</f>
        <v>364.3481978218424</v>
      </c>
      <c r="T171" s="59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26.460530424792672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26.460530424792672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636.99999999999977</v>
      </c>
      <c r="AJ171" s="13">
        <f>AI171*VLOOKUP('Données projet'!$B$10,Paramètres!$A$1:$I$89,3,0)*VLOOKUP('Données projet'!$B$10,Paramètres!$A$1:$I$89,5,0)</f>
        <v>356.08299999999991</v>
      </c>
      <c r="AK171" s="13">
        <f t="shared" si="164"/>
        <v>82.813805255716545</v>
      </c>
      <c r="AL171" s="20">
        <f t="shared" si="165"/>
        <v>764.41193582037283</v>
      </c>
      <c r="AM171" s="59">
        <f t="shared" si="113"/>
        <v>1057.7452691537062</v>
      </c>
      <c r="AN171" s="59">
        <f ca="1">AVERAGE(OFFSET($AM$3,0,0,'Données projet'!$E$10+1,1))-AVERAGE(OFFSET($H$3,0,0,'Données projet'!$E$10+1,1))</f>
        <v>443.34220761968419</v>
      </c>
      <c r="AO171" s="59">
        <f t="shared" si="144"/>
        <v>546.58234447298014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11.511663836985274</v>
      </c>
      <c r="AV171" s="21">
        <f>EXP(-LN(2)/25)*AV170+(1-EXP(-LN(2)/25))/(LN(2)/25)*Calculateur!AQ171*Calculateur!AS171*VLOOKUP('Données projet'!$B$10,Paramètres!$A$1:$I$89,3,0)*0.475*44/12</f>
        <v>0.47807681163213767</v>
      </c>
      <c r="AW171" s="21">
        <f>EXP(-LN(2)/2)*AW170+(1-EXP(-LN(2)/2))/(LN(2)/2)*AQ171*AT171*VLOOKUP('Données projet'!$B$10,Paramètres!$A$1:$I$89,3,0)*0.475*44/12</f>
        <v>1.0235201969454695E-20</v>
      </c>
      <c r="AX171" s="21">
        <f t="shared" si="166"/>
        <v>11.989740648617412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403.99999999999989</v>
      </c>
      <c r="BE171" s="13">
        <f>BD171*VLOOKUP('Données projet'!$B$11,Paramètres!$A$1:$I$89,3,0)*VLOOKUP('Données projet'!$B$11,Paramètres!$A$1:$I$89,5,0)</f>
        <v>346.63199999999995</v>
      </c>
      <c r="BF171" s="13">
        <f t="shared" si="167"/>
        <v>80.868615263336864</v>
      </c>
      <c r="BG171" s="20">
        <f t="shared" si="168"/>
        <v>744.56357158364483</v>
      </c>
      <c r="BH171" s="59">
        <f t="shared" si="116"/>
        <v>1037.8969049169782</v>
      </c>
      <c r="BI171" s="59">
        <f ca="1">AVERAGE(OFFSET($BH$3,0,0,'Données projet'!$E$11+1,1))-AVERAGE(OFFSET($H$3,0,0,'Données projet'!$E$11+1,1))</f>
        <v>447.15627913956871</v>
      </c>
      <c r="BJ171" s="59">
        <f t="shared" si="146"/>
        <v>256.77417912163997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38.633716726015656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38.633716726015656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245.99999999999994</v>
      </c>
      <c r="BZ171" s="13">
        <f>BY171*VLOOKUP('Données projet'!$B$12,Paramètres!$A$1:$I$89,3,0)*VLOOKUP('Données projet'!$B$12,Paramètres!$A$1:$I$89,5,0)</f>
        <v>234.09359999999998</v>
      </c>
      <c r="CA171" s="13">
        <f t="shared" si="170"/>
        <v>57.166902703920208</v>
      </c>
      <c r="CB171" s="20">
        <f t="shared" si="171"/>
        <v>507.27870887599425</v>
      </c>
      <c r="CC171" s="59">
        <f t="shared" si="119"/>
        <v>800.61204220932757</v>
      </c>
      <c r="CD171" s="59">
        <f ca="1">AVERAGE(OFFSET($CC$3,0,0,'Données projet'!$E$12+1,1))-AVERAGE(OFFSET($H$3,0,0,'Données projet'!$E$12+1,1))</f>
        <v>448.94764480536713</v>
      </c>
      <c r="CE171" s="59">
        <f t="shared" si="148"/>
        <v>469.26760321719695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27.297882167343577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27.297882167343577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187.80389738728508</v>
      </c>
      <c r="CZ171" s="59">
        <f t="shared" si="150"/>
        <v>439.28159165815265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8.0312541683744527</v>
      </c>
      <c r="DG171" s="21">
        <f>EXP(-LN(2)/25)*DG170+(1-EXP(-LN(2)/25))/(LN(2)/25)*Calculateur!DB171*Calculateur!DD171*VLOOKUP('Données projet'!$B$13,Paramètres!$A$1:$I$89,3,0)*0.475*44/12</f>
        <v>0.313322835952418</v>
      </c>
      <c r="DH171" s="21">
        <f>EXP(-LN(2)/2)*DH170+(1-EXP(-LN(2)/2))/(LN(2)/2)*DB171*DE171*VLOOKUP('Données projet'!$B$13,Paramètres!$A$1:$I$89,3,0)*0.475*44/12</f>
        <v>7.6168600917619227E-23</v>
      </c>
      <c r="DI171" s="22">
        <f t="shared" si="175"/>
        <v>8.3445770043268706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255.00000000000006</v>
      </c>
      <c r="DP171" s="17">
        <f>DO171*VLOOKUP('Données projet'!$B$14,Paramètres!$A$1:$I$89,3,0)*VLOOKUP('Données projet'!$B$14,Paramètres!$A$1:$I$89,5,0)</f>
        <v>186.96600000000004</v>
      </c>
      <c r="DQ171" s="13">
        <f t="shared" si="176"/>
        <v>46.868551400324648</v>
      </c>
      <c r="DR171" s="20">
        <f t="shared" si="177"/>
        <v>407.26184368889881</v>
      </c>
      <c r="DS171" s="59">
        <f t="shared" si="125"/>
        <v>700.59517702223206</v>
      </c>
      <c r="DT171" s="59">
        <f ca="1">AVERAGE(OFFSET($DS$3,0,0,'Données projet'!$E$14+1,1))-AVERAGE(OFFSET($H$3,0,0,'Données projet'!$E$14+1,1))</f>
        <v>239.25212250019609</v>
      </c>
      <c r="DU171" s="59">
        <f t="shared" si="152"/>
        <v>213.58492101729695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689</v>
      </c>
      <c r="EK171" s="17">
        <f>EJ171*VLOOKUP('Données projet'!$B$15,Paramètres!$A$1:$I$89,3,0)*VLOOKUP('Données projet'!$B$15,Paramètres!$A$1:$I$89,5,0)</f>
        <v>412.02199999999999</v>
      </c>
      <c r="EL171" s="13">
        <f t="shared" si="179"/>
        <v>94.209724877926391</v>
      </c>
      <c r="EM171" s="20">
        <f t="shared" si="180"/>
        <v>881.686920829055</v>
      </c>
      <c r="EN171" s="59">
        <f t="shared" si="128"/>
        <v>1175.0202541623883</v>
      </c>
      <c r="EO171" s="59">
        <f ca="1">AVERAGE(OFFSET($EN$3,0,0,'Données projet'!$E$15+1,1))-AVERAGE(OFFSET($H$3,0,0,'Données projet'!$E$15+1,1))</f>
        <v>504.81063008331739</v>
      </c>
      <c r="EP171" s="59">
        <f t="shared" si="154"/>
        <v>441.82647565372287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17.130908386740597</v>
      </c>
      <c r="EW171" s="21">
        <f>EXP(-LN(2)/25)*EW170+(1-EXP(-LN(2)/25))/(LN(2)/25)*Calculateur!ER171*Calculateur!ET171*VLOOKUP('Données projet'!$B$15,Paramètres!$A$1:$I$89,3,0)*0.475*44/12</f>
        <v>1.2831475223151303</v>
      </c>
      <c r="EX171" s="21">
        <f>EXP(-LN(2)/2)*EX170+(1-EXP(-LN(2)/2))/(LN(2)/2)*ER171*EU171*VLOOKUP('Données projet'!$B$15,Paramètres!$A$1:$I$89,3,0)*0.475*44/12</f>
        <v>8.8709491660325511E-23</v>
      </c>
      <c r="EY171" s="22">
        <f t="shared" si="181"/>
        <v>18.414055909055726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541.99999999999989</v>
      </c>
      <c r="FF171" s="17">
        <f>FE171*VLOOKUP('Données projet'!$B$16,Paramètres!$A$1:$I$89,3,0)*VLOOKUP('Données projet'!$B$16,Paramètres!$A$1:$I$89,5,0)</f>
        <v>310.02399999999994</v>
      </c>
      <c r="FG171" s="13">
        <f t="shared" si="182"/>
        <v>73.27384230442388</v>
      </c>
      <c r="FH171" s="20">
        <f t="shared" si="183"/>
        <v>667.57707534687154</v>
      </c>
      <c r="FI171" s="59">
        <f t="shared" si="131"/>
        <v>960.91040868020491</v>
      </c>
      <c r="FJ171" s="59">
        <f ca="1">AVERAGE(OFFSET($FI$3,0,0,'Données projet'!$E$16+1,1))-AVERAGE(OFFSET($H$3,0,0,'Données projet'!$E$16+1,1))</f>
        <v>393.41577134252316</v>
      </c>
      <c r="FK171" s="59">
        <f t="shared" si="156"/>
        <v>255.54039659391475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20.059517473472081</v>
      </c>
      <c r="FR171" s="21">
        <f>EXP(-LN(2)/25)*FR170+(1-EXP(-LN(2)/25))/(LN(2)/25)*Calculateur!FM171*Calculateur!FO171*VLOOKUP('Données projet'!$B$16,Paramètres!$A$1:$I$89,3,0)*0.475*44/12</f>
        <v>0.58231329721685321</v>
      </c>
      <c r="FS171" s="21">
        <f>EXP(-LN(2)/2)*FS170+(1-EXP(-LN(2)/2))/(LN(2)/2)*FM171*FP171*VLOOKUP('Données projet'!$B$16,Paramètres!$A$1:$I$89,3,0)*0.475*44/12</f>
        <v>6.1714099157805053E-22</v>
      </c>
      <c r="FT171" s="22">
        <f t="shared" si="184"/>
        <v>20.641830770688934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853.00000000000011</v>
      </c>
      <c r="GA171" s="17">
        <f>FZ171*VLOOKUP('Données projet'!$B$17,Paramètres!$A$1:$I$89,3,0)*VLOOKUP('Données projet'!$B$17,Paramètres!$A$1:$I$89,5,0)</f>
        <v>399.20400000000006</v>
      </c>
      <c r="GB171" s="13">
        <f t="shared" si="185"/>
        <v>91.615269732888521</v>
      </c>
      <c r="GC171" s="20">
        <f t="shared" si="186"/>
        <v>854.8435614514475</v>
      </c>
      <c r="GD171" s="59">
        <f t="shared" si="134"/>
        <v>1148.1768947847809</v>
      </c>
      <c r="GE171" s="59">
        <f ca="1">AVERAGE(OFFSET($GD$3,0,0,'Données projet'!$E$17+1,1))-AVERAGE(OFFSET($H$3,0,0,'Données projet'!$E$17+1,1))</f>
        <v>488.67934252295686</v>
      </c>
      <c r="GF171" s="59">
        <f t="shared" si="158"/>
        <v>424.50324471331095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24.258525811898647</v>
      </c>
      <c r="GM171" s="21">
        <f>EXP(-LN(2)/25)*GM170+(1-EXP(-LN(2)/25))/(LN(2)/25)*Calculateur!GH171*Calculateur!GJ171*VLOOKUP('Données projet'!$B$17,Paramètres!$A$1:$I$89,3,0)*0.475*44/12</f>
        <v>1.067574378230898</v>
      </c>
      <c r="GN171" s="21">
        <f>EXP(-LN(2)/2)*GN170+(1-EXP(-LN(2)/2))/(LN(2)/2)*GH171*GK171*VLOOKUP('Données projet'!$B$17,Paramètres!$A$1:$I$89,3,0)*0.475*44/12</f>
        <v>1.3745412994238394E-21</v>
      </c>
      <c r="GO171" s="21">
        <f t="shared" si="187"/>
        <v>25.326100190129544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789</v>
      </c>
      <c r="GV171" s="17">
        <f>GU171*VLOOKUP('Données projet'!$B$18,Paramètres!$A$1:$I$89,3,0)*VLOOKUP('Données projet'!$B$18,Paramètres!$A$1:$I$89,5,0)</f>
        <v>379.50900000000001</v>
      </c>
      <c r="GW171" s="13">
        <f t="shared" si="188"/>
        <v>87.609801106074272</v>
      </c>
      <c r="GX171" s="20">
        <f t="shared" si="189"/>
        <v>813.56524525974601</v>
      </c>
      <c r="GY171" s="59">
        <f t="shared" si="137"/>
        <v>1106.8985785930793</v>
      </c>
      <c r="GZ171" s="59">
        <f ca="1">AVERAGE(OFFSET($GY$3,0,0,'Données projet'!$E$18+1,1))-AVERAGE(OFFSET($H$3,0,0,'Données projet'!$E$18+1,1))</f>
        <v>458.80976193248841</v>
      </c>
      <c r="HA171" s="59">
        <f t="shared" si="160"/>
        <v>396.07405370178759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24.563646014266588</v>
      </c>
      <c r="HH171" s="21">
        <f>EXP(-LN(2)/25)*HH170+(1-EXP(-LN(2)/25))/(LN(2)/25)*Calculateur!HC171*Calculateur!HE171*VLOOKUP('Données projet'!$B$18,Paramètres!$A$1:$I$89,3,0)*0.475*44/12</f>
        <v>0.9974811109733146</v>
      </c>
      <c r="HI171" s="21">
        <f>EXP(-LN(2)/2)*HI170+(1-EXP(-LN(2)/2))/(LN(2)/2)*HC171*HF171*VLOOKUP('Données projet'!$B$18,Paramètres!$A$1:$I$89,3,0)*0.475*44/12</f>
        <v>6.3428379689966352E-22</v>
      </c>
      <c r="HJ171" s="22">
        <f t="shared" si="190"/>
        <v>25.561127125239903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267</v>
      </c>
      <c r="O172" s="13">
        <f>N172*VLOOKUP('Données projet'!$B$9,Paramètres!$A$1:$I$89,3,0)*VLOOKUP('Données projet'!$B$9,Paramètres!$A$1:$I$89,5,0)</f>
        <v>241.58159999999998</v>
      </c>
      <c r="P172" s="13">
        <f t="shared" si="141"/>
        <v>58.779689232021951</v>
      </c>
      <c r="Q172" s="20">
        <f t="shared" si="162"/>
        <v>523.12924541243819</v>
      </c>
      <c r="R172" s="59">
        <f t="shared" si="109"/>
        <v>816.46257874577145</v>
      </c>
      <c r="S172" s="59">
        <f ca="1">AVERAGE(OFFSET($R$3,0,0,'Données projet'!$E$9+1,1))-AVERAGE(OFFSET($H$3,0,0,'Données projet'!$E$9+1,1))</f>
        <v>364.3481978218424</v>
      </c>
      <c r="T172" s="59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25.941655562492421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25.941655562492421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636.99999999999977</v>
      </c>
      <c r="AJ172" s="13">
        <f>AI172*VLOOKUP('Données projet'!$B$10,Paramètres!$A$1:$I$89,3,0)*VLOOKUP('Données projet'!$B$10,Paramètres!$A$1:$I$89,5,0)</f>
        <v>356.08299999999991</v>
      </c>
      <c r="AK172" s="13">
        <f t="shared" si="164"/>
        <v>82.813805255716545</v>
      </c>
      <c r="AL172" s="20">
        <f t="shared" si="165"/>
        <v>764.41193582037283</v>
      </c>
      <c r="AM172" s="59">
        <f t="shared" si="113"/>
        <v>1057.7452691537062</v>
      </c>
      <c r="AN172" s="59">
        <f ca="1">AVERAGE(OFFSET($AM$3,0,0,'Données projet'!$E$10+1,1))-AVERAGE(OFFSET($H$3,0,0,'Données projet'!$E$10+1,1))</f>
        <v>443.34220761968419</v>
      </c>
      <c r="AO172" s="59">
        <f t="shared" si="144"/>
        <v>546.58234447298014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11.285927130563627</v>
      </c>
      <c r="AV172" s="21">
        <f>EXP(-LN(2)/25)*AV171+(1-EXP(-LN(2)/25))/(LN(2)/25)*Calculateur!AQ172*Calculateur!AS172*VLOOKUP('Données projet'!$B$10,Paramètres!$A$1:$I$89,3,0)*0.475*44/12</f>
        <v>0.46500377607708998</v>
      </c>
      <c r="AW172" s="21">
        <f>EXP(-LN(2)/2)*AW171+(1-EXP(-LN(2)/2))/(LN(2)/2)*AQ172*AT172*VLOOKUP('Données projet'!$B$10,Paramètres!$A$1:$I$89,3,0)*0.475*44/12</f>
        <v>7.2373807194153212E-21</v>
      </c>
      <c r="AX172" s="21">
        <f t="shared" si="166"/>
        <v>11.750930906640717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403.99999999999989</v>
      </c>
      <c r="BE172" s="13">
        <f>BD172*VLOOKUP('Données projet'!$B$11,Paramètres!$A$1:$I$89,3,0)*VLOOKUP('Données projet'!$B$11,Paramètres!$A$1:$I$89,5,0)</f>
        <v>346.63199999999995</v>
      </c>
      <c r="BF172" s="13">
        <f t="shared" si="167"/>
        <v>80.868615263336864</v>
      </c>
      <c r="BG172" s="20">
        <f t="shared" si="168"/>
        <v>744.56357158364483</v>
      </c>
      <c r="BH172" s="59">
        <f t="shared" si="116"/>
        <v>1037.8969049169782</v>
      </c>
      <c r="BI172" s="59">
        <f ca="1">AVERAGE(OFFSET($BH$3,0,0,'Données projet'!$E$11+1,1))-AVERAGE(OFFSET($H$3,0,0,'Données projet'!$E$11+1,1))</f>
        <v>447.15627913956871</v>
      </c>
      <c r="BJ172" s="59">
        <f t="shared" si="146"/>
        <v>256.77417912163997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37.876133105258916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37.876133105258916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245.99999999999994</v>
      </c>
      <c r="BZ172" s="13">
        <f>BY172*VLOOKUP('Données projet'!$B$12,Paramètres!$A$1:$I$89,3,0)*VLOOKUP('Données projet'!$B$12,Paramètres!$A$1:$I$89,5,0)</f>
        <v>234.09359999999998</v>
      </c>
      <c r="CA172" s="13">
        <f t="shared" si="170"/>
        <v>57.166902703920208</v>
      </c>
      <c r="CB172" s="20">
        <f t="shared" si="171"/>
        <v>507.27870887599425</v>
      </c>
      <c r="CC172" s="59">
        <f t="shared" si="119"/>
        <v>800.61204220932757</v>
      </c>
      <c r="CD172" s="59">
        <f ca="1">AVERAGE(OFFSET($CC$3,0,0,'Données projet'!$E$12+1,1))-AVERAGE(OFFSET($H$3,0,0,'Données projet'!$E$12+1,1))</f>
        <v>448.94764480536713</v>
      </c>
      <c r="CE172" s="59">
        <f t="shared" si="148"/>
        <v>469.26760321719695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26.762587348106035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26.762587348106035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187.80389738728508</v>
      </c>
      <c r="CZ172" s="59">
        <f t="shared" si="150"/>
        <v>439.28159165815265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7.8737661727139781</v>
      </c>
      <c r="DG172" s="21">
        <f>EXP(-LN(2)/25)*DG171+(1-EXP(-LN(2)/25))/(LN(2)/25)*Calculateur!DB172*Calculateur!DD172*VLOOKUP('Données projet'!$B$13,Paramètres!$A$1:$I$89,3,0)*0.475*44/12</f>
        <v>0.30475500652636728</v>
      </c>
      <c r="DH172" s="21">
        <f>EXP(-LN(2)/2)*DH171+(1-EXP(-LN(2)/2))/(LN(2)/2)*DB172*DE172*VLOOKUP('Données projet'!$B$13,Paramètres!$A$1:$I$89,3,0)*0.475*44/12</f>
        <v>5.3859334222340442E-23</v>
      </c>
      <c r="DI172" s="22">
        <f t="shared" si="175"/>
        <v>8.1785211792403452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255.00000000000006</v>
      </c>
      <c r="DP172" s="17">
        <f>DO172*VLOOKUP('Données projet'!$B$14,Paramètres!$A$1:$I$89,3,0)*VLOOKUP('Données projet'!$B$14,Paramètres!$A$1:$I$89,5,0)</f>
        <v>186.96600000000004</v>
      </c>
      <c r="DQ172" s="13">
        <f t="shared" si="176"/>
        <v>46.868551400324648</v>
      </c>
      <c r="DR172" s="20">
        <f t="shared" si="177"/>
        <v>407.26184368889881</v>
      </c>
      <c r="DS172" s="59">
        <f t="shared" si="125"/>
        <v>700.59517702223206</v>
      </c>
      <c r="DT172" s="59">
        <f ca="1">AVERAGE(OFFSET($DS$3,0,0,'Données projet'!$E$14+1,1))-AVERAGE(OFFSET($H$3,0,0,'Données projet'!$E$14+1,1))</f>
        <v>239.25212250019609</v>
      </c>
      <c r="DU172" s="59">
        <f t="shared" si="152"/>
        <v>213.58492101729695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689</v>
      </c>
      <c r="EK172" s="17">
        <f>EJ172*VLOOKUP('Données projet'!$B$15,Paramètres!$A$1:$I$89,3,0)*VLOOKUP('Données projet'!$B$15,Paramètres!$A$1:$I$89,5,0)</f>
        <v>412.02199999999999</v>
      </c>
      <c r="EL172" s="13">
        <f t="shared" si="179"/>
        <v>94.209724877926391</v>
      </c>
      <c r="EM172" s="20">
        <f t="shared" si="180"/>
        <v>881.686920829055</v>
      </c>
      <c r="EN172" s="59">
        <f t="shared" si="128"/>
        <v>1175.0202541623883</v>
      </c>
      <c r="EO172" s="59">
        <f ca="1">AVERAGE(OFFSET($EN$3,0,0,'Données projet'!$E$15+1,1))-AVERAGE(OFFSET($H$3,0,0,'Données projet'!$E$15+1,1))</f>
        <v>504.81063008331739</v>
      </c>
      <c r="EP172" s="59">
        <f t="shared" si="154"/>
        <v>441.82647565372287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16.794981722098996</v>
      </c>
      <c r="EW172" s="21">
        <f>EXP(-LN(2)/25)*EW171+(1-EXP(-LN(2)/25))/(LN(2)/25)*Calculateur!ER172*Calculateur!ET172*VLOOKUP('Données projet'!$B$15,Paramètres!$A$1:$I$89,3,0)*0.475*44/12</f>
        <v>1.2480597858396276</v>
      </c>
      <c r="EX172" s="21">
        <f>EXP(-LN(2)/2)*EX171+(1-EXP(-LN(2)/2))/(LN(2)/2)*ER172*EU172*VLOOKUP('Données projet'!$B$15,Paramètres!$A$1:$I$89,3,0)*0.475*44/12</f>
        <v>6.2727083108627652E-23</v>
      </c>
      <c r="EY172" s="22">
        <f t="shared" si="181"/>
        <v>18.043041507938625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541.99999999999989</v>
      </c>
      <c r="FF172" s="17">
        <f>FE172*VLOOKUP('Données projet'!$B$16,Paramètres!$A$1:$I$89,3,0)*VLOOKUP('Données projet'!$B$16,Paramètres!$A$1:$I$89,5,0)</f>
        <v>310.02399999999994</v>
      </c>
      <c r="FG172" s="13">
        <f t="shared" si="182"/>
        <v>73.27384230442388</v>
      </c>
      <c r="FH172" s="20">
        <f t="shared" si="183"/>
        <v>667.57707534687154</v>
      </c>
      <c r="FI172" s="59">
        <f t="shared" si="131"/>
        <v>960.91040868020491</v>
      </c>
      <c r="FJ172" s="59">
        <f ca="1">AVERAGE(OFFSET($FI$3,0,0,'Données projet'!$E$16+1,1))-AVERAGE(OFFSET($H$3,0,0,'Données projet'!$E$16+1,1))</f>
        <v>393.41577134252316</v>
      </c>
      <c r="FK172" s="59">
        <f t="shared" si="156"/>
        <v>255.54039659391475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19.666162570914835</v>
      </c>
      <c r="FR172" s="21">
        <f>EXP(-LN(2)/25)*FR171+(1-EXP(-LN(2)/25))/(LN(2)/25)*Calculateur!FM172*Calculateur!FO172*VLOOKUP('Données projet'!$B$16,Paramètres!$A$1:$I$89,3,0)*0.475*44/12</f>
        <v>0.56638990948193291</v>
      </c>
      <c r="FS172" s="21">
        <f>EXP(-LN(2)/2)*FS171+(1-EXP(-LN(2)/2))/(LN(2)/2)*FM172*FP172*VLOOKUP('Données projet'!$B$16,Paramètres!$A$1:$I$89,3,0)*0.475*44/12</f>
        <v>4.3638458009302954E-22</v>
      </c>
      <c r="FT172" s="22">
        <f t="shared" si="184"/>
        <v>20.23255248039677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853.00000000000011</v>
      </c>
      <c r="GA172" s="17">
        <f>FZ172*VLOOKUP('Données projet'!$B$17,Paramètres!$A$1:$I$89,3,0)*VLOOKUP('Données projet'!$B$17,Paramètres!$A$1:$I$89,5,0)</f>
        <v>399.20400000000006</v>
      </c>
      <c r="GB172" s="13">
        <f t="shared" si="185"/>
        <v>91.615269732888521</v>
      </c>
      <c r="GC172" s="20">
        <f t="shared" si="186"/>
        <v>854.8435614514475</v>
      </c>
      <c r="GD172" s="59">
        <f t="shared" si="134"/>
        <v>1148.1768947847809</v>
      </c>
      <c r="GE172" s="59">
        <f ca="1">AVERAGE(OFFSET($GD$3,0,0,'Données projet'!$E$17+1,1))-AVERAGE(OFFSET($H$3,0,0,'Données projet'!$E$17+1,1))</f>
        <v>488.67934252295686</v>
      </c>
      <c r="GF172" s="59">
        <f t="shared" si="158"/>
        <v>424.50324471331095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23.78283091696705</v>
      </c>
      <c r="GM172" s="21">
        <f>EXP(-LN(2)/25)*GM171+(1-EXP(-LN(2)/25))/(LN(2)/25)*Calculateur!GH172*Calculateur!GJ172*VLOOKUP('Données projet'!$B$17,Paramètres!$A$1:$I$89,3,0)*0.475*44/12</f>
        <v>1.0383815007168775</v>
      </c>
      <c r="GN172" s="21">
        <f>EXP(-LN(2)/2)*GN171+(1-EXP(-LN(2)/2))/(LN(2)/2)*GH172*GK172*VLOOKUP('Données projet'!$B$17,Paramètres!$A$1:$I$89,3,0)*0.475*44/12</f>
        <v>9.7194747384356549E-22</v>
      </c>
      <c r="GO172" s="21">
        <f t="shared" si="187"/>
        <v>24.821212417683927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789</v>
      </c>
      <c r="GV172" s="17">
        <f>GU172*VLOOKUP('Données projet'!$B$18,Paramètres!$A$1:$I$89,3,0)*VLOOKUP('Données projet'!$B$18,Paramètres!$A$1:$I$89,5,0)</f>
        <v>379.50900000000001</v>
      </c>
      <c r="GW172" s="13">
        <f t="shared" si="188"/>
        <v>87.609801106074272</v>
      </c>
      <c r="GX172" s="20">
        <f t="shared" si="189"/>
        <v>813.56524525974601</v>
      </c>
      <c r="GY172" s="59">
        <f t="shared" si="137"/>
        <v>1106.8985785930793</v>
      </c>
      <c r="GZ172" s="59">
        <f ca="1">AVERAGE(OFFSET($GY$3,0,0,'Données projet'!$E$18+1,1))-AVERAGE(OFFSET($H$3,0,0,'Données projet'!$E$18+1,1))</f>
        <v>458.80976193248841</v>
      </c>
      <c r="HA172" s="59">
        <f t="shared" si="160"/>
        <v>396.07405370178759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24.081967898271504</v>
      </c>
      <c r="HH172" s="21">
        <f>EXP(-LN(2)/25)*HH171+(1-EXP(-LN(2)/25))/(LN(2)/25)*Calculateur!HC172*Calculateur!HE172*VLOOKUP('Données projet'!$B$18,Paramètres!$A$1:$I$89,3,0)*0.475*44/12</f>
        <v>0.97020493753849746</v>
      </c>
      <c r="HI172" s="21">
        <f>EXP(-LN(2)/2)*HI171+(1-EXP(-LN(2)/2))/(LN(2)/2)*HC172*HF172*VLOOKUP('Données projet'!$B$18,Paramètres!$A$1:$I$89,3,0)*0.475*44/12</f>
        <v>4.4850637398450292E-22</v>
      </c>
      <c r="HJ172" s="22">
        <f t="shared" si="190"/>
        <v>25.052172835810001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267</v>
      </c>
      <c r="O173" s="13">
        <f>N173*VLOOKUP('Données projet'!$B$9,Paramètres!$A$1:$I$89,3,0)*VLOOKUP('Données projet'!$B$9,Paramètres!$A$1:$I$89,5,0)</f>
        <v>241.58159999999998</v>
      </c>
      <c r="P173" s="13">
        <f t="shared" si="141"/>
        <v>58.779689232021951</v>
      </c>
      <c r="Q173" s="20">
        <f t="shared" si="162"/>
        <v>523.12924541243819</v>
      </c>
      <c r="R173" s="59">
        <f t="shared" si="109"/>
        <v>816.46257874577145</v>
      </c>
      <c r="S173" s="59">
        <f ca="1">AVERAGE(OFFSET($R$3,0,0,'Données projet'!$E$9+1,1))-AVERAGE(OFFSET($H$3,0,0,'Données projet'!$E$9+1,1))</f>
        <v>364.3481978218424</v>
      </c>
      <c r="T173" s="59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25.43295551975946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25.43295551975946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636.99999999999977</v>
      </c>
      <c r="AJ173" s="13">
        <f>AI173*VLOOKUP('Données projet'!$B$10,Paramètres!$A$1:$I$89,3,0)*VLOOKUP('Données projet'!$B$10,Paramètres!$A$1:$I$89,5,0)</f>
        <v>356.08299999999991</v>
      </c>
      <c r="AK173" s="13">
        <f t="shared" si="164"/>
        <v>82.813805255716545</v>
      </c>
      <c r="AL173" s="20">
        <f t="shared" si="165"/>
        <v>764.41193582037283</v>
      </c>
      <c r="AM173" s="59">
        <f t="shared" si="113"/>
        <v>1057.7452691537062</v>
      </c>
      <c r="AN173" s="59">
        <f ca="1">AVERAGE(OFFSET($AM$3,0,0,'Données projet'!$E$10+1,1))-AVERAGE(OFFSET($H$3,0,0,'Données projet'!$E$10+1,1))</f>
        <v>443.34220761968419</v>
      </c>
      <c r="AO173" s="59">
        <f t="shared" si="144"/>
        <v>546.58234447298014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11.064616983269111</v>
      </c>
      <c r="AV173" s="21">
        <f>EXP(-LN(2)/25)*AV172+(1-EXP(-LN(2)/25))/(LN(2)/25)*Calculateur!AQ173*Calculateur!AS173*VLOOKUP('Données projet'!$B$10,Paramètres!$A$1:$I$89,3,0)*0.475*44/12</f>
        <v>0.45228822336677615</v>
      </c>
      <c r="AW173" s="21">
        <f>EXP(-LN(2)/2)*AW172+(1-EXP(-LN(2)/2))/(LN(2)/2)*AQ173*AT173*VLOOKUP('Données projet'!$B$10,Paramètres!$A$1:$I$89,3,0)*0.475*44/12</f>
        <v>5.1176009847273475E-21</v>
      </c>
      <c r="AX173" s="21">
        <f t="shared" si="166"/>
        <v>11.516905206635888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403.99999999999989</v>
      </c>
      <c r="BE173" s="13">
        <f>BD173*VLOOKUP('Données projet'!$B$11,Paramètres!$A$1:$I$89,3,0)*VLOOKUP('Données projet'!$B$11,Paramètres!$A$1:$I$89,5,0)</f>
        <v>346.63199999999995</v>
      </c>
      <c r="BF173" s="13">
        <f t="shared" si="167"/>
        <v>80.868615263336864</v>
      </c>
      <c r="BG173" s="20">
        <f t="shared" si="168"/>
        <v>744.56357158364483</v>
      </c>
      <c r="BH173" s="59">
        <f t="shared" si="116"/>
        <v>1037.8969049169782</v>
      </c>
      <c r="BI173" s="59">
        <f ca="1">AVERAGE(OFFSET($BH$3,0,0,'Données projet'!$E$11+1,1))-AVERAGE(OFFSET($H$3,0,0,'Données projet'!$E$11+1,1))</f>
        <v>447.15627913956871</v>
      </c>
      <c r="BJ173" s="59">
        <f t="shared" si="146"/>
        <v>256.77417912163997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37.133405237224835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37.133405237224835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245.99999999999994</v>
      </c>
      <c r="BZ173" s="13">
        <f>BY173*VLOOKUP('Données projet'!$B$12,Paramètres!$A$1:$I$89,3,0)*VLOOKUP('Données projet'!$B$12,Paramètres!$A$1:$I$89,5,0)</f>
        <v>234.09359999999998</v>
      </c>
      <c r="CA173" s="13">
        <f t="shared" si="170"/>
        <v>57.166902703920208</v>
      </c>
      <c r="CB173" s="20">
        <f t="shared" si="171"/>
        <v>507.27870887599425</v>
      </c>
      <c r="CC173" s="59">
        <f t="shared" si="119"/>
        <v>800.61204220932757</v>
      </c>
      <c r="CD173" s="59">
        <f ca="1">AVERAGE(OFFSET($CC$3,0,0,'Données projet'!$E$12+1,1))-AVERAGE(OFFSET($H$3,0,0,'Données projet'!$E$12+1,1))</f>
        <v>448.94764480536713</v>
      </c>
      <c r="CE173" s="59">
        <f t="shared" si="148"/>
        <v>469.26760321719695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26.237789333776139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26.237789333776139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187.80389738728508</v>
      </c>
      <c r="CZ173" s="59">
        <f t="shared" si="150"/>
        <v>439.28159165815265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7.7193664205902124</v>
      </c>
      <c r="DG173" s="21">
        <f>EXP(-LN(2)/25)*DG172+(1-EXP(-LN(2)/25))/(LN(2)/25)*Calculateur!DB173*Calculateur!DD173*VLOOKUP('Données projet'!$B$13,Paramètres!$A$1:$I$89,3,0)*0.475*44/12</f>
        <v>0.29642146484653448</v>
      </c>
      <c r="DH173" s="21">
        <f>EXP(-LN(2)/2)*DH172+(1-EXP(-LN(2)/2))/(LN(2)/2)*DB173*DE173*VLOOKUP('Données projet'!$B$13,Paramètres!$A$1:$I$89,3,0)*0.475*44/12</f>
        <v>3.8084300458809614E-23</v>
      </c>
      <c r="DI173" s="22">
        <f t="shared" si="175"/>
        <v>8.0157878854367475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255.00000000000006</v>
      </c>
      <c r="DP173" s="17">
        <f>DO173*VLOOKUP('Données projet'!$B$14,Paramètres!$A$1:$I$89,3,0)*VLOOKUP('Données projet'!$B$14,Paramètres!$A$1:$I$89,5,0)</f>
        <v>186.96600000000004</v>
      </c>
      <c r="DQ173" s="13">
        <f t="shared" si="176"/>
        <v>46.868551400324648</v>
      </c>
      <c r="DR173" s="20">
        <f t="shared" si="177"/>
        <v>407.26184368889881</v>
      </c>
      <c r="DS173" s="59">
        <f t="shared" si="125"/>
        <v>700.59517702223206</v>
      </c>
      <c r="DT173" s="59">
        <f ca="1">AVERAGE(OFFSET($DS$3,0,0,'Données projet'!$E$14+1,1))-AVERAGE(OFFSET($H$3,0,0,'Données projet'!$E$14+1,1))</f>
        <v>239.25212250019609</v>
      </c>
      <c r="DU173" s="59">
        <f t="shared" si="152"/>
        <v>213.58492101729695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689</v>
      </c>
      <c r="EK173" s="17">
        <f>EJ173*VLOOKUP('Données projet'!$B$15,Paramètres!$A$1:$I$89,3,0)*VLOOKUP('Données projet'!$B$15,Paramètres!$A$1:$I$89,5,0)</f>
        <v>412.02199999999999</v>
      </c>
      <c r="EL173" s="13">
        <f t="shared" si="179"/>
        <v>94.209724877926391</v>
      </c>
      <c r="EM173" s="20">
        <f t="shared" si="180"/>
        <v>881.686920829055</v>
      </c>
      <c r="EN173" s="59">
        <f t="shared" si="128"/>
        <v>1175.0202541623883</v>
      </c>
      <c r="EO173" s="59">
        <f ca="1">AVERAGE(OFFSET($EN$3,0,0,'Données projet'!$E$15+1,1))-AVERAGE(OFFSET($H$3,0,0,'Données projet'!$E$15+1,1))</f>
        <v>504.81063008331739</v>
      </c>
      <c r="EP173" s="59">
        <f t="shared" si="154"/>
        <v>441.82647565372287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16.465642374455982</v>
      </c>
      <c r="EW173" s="21">
        <f>EXP(-LN(2)/25)*EW172+(1-EXP(-LN(2)/25))/(LN(2)/25)*Calculateur!ER173*Calculateur!ET173*VLOOKUP('Données projet'!$B$15,Paramètres!$A$1:$I$89,3,0)*0.475*44/12</f>
        <v>1.2139315253632315</v>
      </c>
      <c r="EX173" s="21">
        <f>EXP(-LN(2)/2)*EX172+(1-EXP(-LN(2)/2))/(LN(2)/2)*ER173*EU173*VLOOKUP('Données projet'!$B$15,Paramètres!$A$1:$I$89,3,0)*0.475*44/12</f>
        <v>4.4354745830162755E-23</v>
      </c>
      <c r="EY173" s="22">
        <f t="shared" si="181"/>
        <v>17.679573899819214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541.99999999999989</v>
      </c>
      <c r="FF173" s="17">
        <f>FE173*VLOOKUP('Données projet'!$B$16,Paramètres!$A$1:$I$89,3,0)*VLOOKUP('Données projet'!$B$16,Paramètres!$A$1:$I$89,5,0)</f>
        <v>310.02399999999994</v>
      </c>
      <c r="FG173" s="13">
        <f t="shared" si="182"/>
        <v>73.27384230442388</v>
      </c>
      <c r="FH173" s="20">
        <f t="shared" si="183"/>
        <v>667.57707534687154</v>
      </c>
      <c r="FI173" s="59">
        <f t="shared" si="131"/>
        <v>960.91040868020491</v>
      </c>
      <c r="FJ173" s="59">
        <f ca="1">AVERAGE(OFFSET($FI$3,0,0,'Données projet'!$E$16+1,1))-AVERAGE(OFFSET($H$3,0,0,'Données projet'!$E$16+1,1))</f>
        <v>393.41577134252316</v>
      </c>
      <c r="FK173" s="59">
        <f t="shared" si="156"/>
        <v>255.54039659391475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19.280521118073938</v>
      </c>
      <c r="FR173" s="21">
        <f>EXP(-LN(2)/25)*FR172+(1-EXP(-LN(2)/25))/(LN(2)/25)*Calculateur!FM173*Calculateur!FO173*VLOOKUP('Données projet'!$B$16,Paramètres!$A$1:$I$89,3,0)*0.475*44/12</f>
        <v>0.55090194762199862</v>
      </c>
      <c r="FS173" s="21">
        <f>EXP(-LN(2)/2)*FS172+(1-EXP(-LN(2)/2))/(LN(2)/2)*FM173*FP173*VLOOKUP('Données projet'!$B$16,Paramètres!$A$1:$I$89,3,0)*0.475*44/12</f>
        <v>3.0857049578902526E-22</v>
      </c>
      <c r="FT173" s="22">
        <f t="shared" si="184"/>
        <v>19.831423065695937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853.00000000000011</v>
      </c>
      <c r="GA173" s="17">
        <f>FZ173*VLOOKUP('Données projet'!$B$17,Paramètres!$A$1:$I$89,3,0)*VLOOKUP('Données projet'!$B$17,Paramètres!$A$1:$I$89,5,0)</f>
        <v>399.20400000000006</v>
      </c>
      <c r="GB173" s="13">
        <f t="shared" si="185"/>
        <v>91.615269732888521</v>
      </c>
      <c r="GC173" s="20">
        <f t="shared" si="186"/>
        <v>854.8435614514475</v>
      </c>
      <c r="GD173" s="59">
        <f t="shared" si="134"/>
        <v>1148.1768947847809</v>
      </c>
      <c r="GE173" s="59">
        <f ca="1">AVERAGE(OFFSET($GD$3,0,0,'Données projet'!$E$17+1,1))-AVERAGE(OFFSET($H$3,0,0,'Données projet'!$E$17+1,1))</f>
        <v>488.67934252295686</v>
      </c>
      <c r="GF173" s="59">
        <f t="shared" si="158"/>
        <v>424.50324471331095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23.316464108779829</v>
      </c>
      <c r="GM173" s="21">
        <f>EXP(-LN(2)/25)*GM172+(1-EXP(-LN(2)/25))/(LN(2)/25)*Calculateur!GH173*Calculateur!GJ173*VLOOKUP('Données projet'!$B$17,Paramètres!$A$1:$I$89,3,0)*0.475*44/12</f>
        <v>1.0099869039736646</v>
      </c>
      <c r="GN173" s="21">
        <f>EXP(-LN(2)/2)*GN172+(1-EXP(-LN(2)/2))/(LN(2)/2)*GH173*GK173*VLOOKUP('Données projet'!$B$17,Paramètres!$A$1:$I$89,3,0)*0.475*44/12</f>
        <v>6.8727064971191971E-22</v>
      </c>
      <c r="GO173" s="21">
        <f t="shared" si="187"/>
        <v>24.326451012753495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789</v>
      </c>
      <c r="GV173" s="17">
        <f>GU173*VLOOKUP('Données projet'!$B$18,Paramètres!$A$1:$I$89,3,0)*VLOOKUP('Données projet'!$B$18,Paramètres!$A$1:$I$89,5,0)</f>
        <v>379.50900000000001</v>
      </c>
      <c r="GW173" s="13">
        <f t="shared" si="188"/>
        <v>87.609801106074272</v>
      </c>
      <c r="GX173" s="20">
        <f t="shared" si="189"/>
        <v>813.56524525974601</v>
      </c>
      <c r="GY173" s="59">
        <f t="shared" si="137"/>
        <v>1106.8985785930793</v>
      </c>
      <c r="GZ173" s="59">
        <f ca="1">AVERAGE(OFFSET($GY$3,0,0,'Données projet'!$E$18+1,1))-AVERAGE(OFFSET($H$3,0,0,'Données projet'!$E$18+1,1))</f>
        <v>458.80976193248841</v>
      </c>
      <c r="HA173" s="59">
        <f t="shared" si="160"/>
        <v>396.07405370178759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23.609735196336445</v>
      </c>
      <c r="HH173" s="21">
        <f>EXP(-LN(2)/25)*HH172+(1-EXP(-LN(2)/25))/(LN(2)/25)*Calculateur!HC173*Calculateur!HE173*VLOOKUP('Données projet'!$B$18,Paramètres!$A$1:$I$89,3,0)*0.475*44/12</f>
        <v>0.94367463250064698</v>
      </c>
      <c r="HI173" s="21">
        <f>EXP(-LN(2)/2)*HI172+(1-EXP(-LN(2)/2))/(LN(2)/2)*HC173*HF173*VLOOKUP('Données projet'!$B$18,Paramètres!$A$1:$I$89,3,0)*0.475*44/12</f>
        <v>3.1714189844983176E-22</v>
      </c>
      <c r="HJ173" s="22">
        <f t="shared" si="190"/>
        <v>24.55340982883709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267</v>
      </c>
      <c r="O174" s="13">
        <f>N174*VLOOKUP('Données projet'!$B$9,Paramètres!$A$1:$I$89,3,0)*VLOOKUP('Données projet'!$B$9,Paramètres!$A$1:$I$89,5,0)</f>
        <v>241.58159999999998</v>
      </c>
      <c r="P174" s="13">
        <f t="shared" si="141"/>
        <v>58.779689232021951</v>
      </c>
      <c r="Q174" s="20">
        <f t="shared" si="162"/>
        <v>523.12924541243819</v>
      </c>
      <c r="R174" s="59">
        <f t="shared" si="109"/>
        <v>816.46257874577145</v>
      </c>
      <c r="S174" s="59">
        <f ca="1">AVERAGE(OFFSET($R$3,0,0,'Données projet'!$E$9+1,1))-AVERAGE(OFFSET($H$3,0,0,'Données projet'!$E$9+1,1))</f>
        <v>364.3481978218424</v>
      </c>
      <c r="T174" s="59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24.934230774588105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24.934230774588105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636.99999999999977</v>
      </c>
      <c r="AJ174" s="13">
        <f>AI174*VLOOKUP('Données projet'!$B$10,Paramètres!$A$1:$I$89,3,0)*VLOOKUP('Données projet'!$B$10,Paramètres!$A$1:$I$89,5,0)</f>
        <v>356.08299999999991</v>
      </c>
      <c r="AK174" s="13">
        <f t="shared" si="164"/>
        <v>82.813805255716545</v>
      </c>
      <c r="AL174" s="20">
        <f t="shared" si="165"/>
        <v>764.41193582037283</v>
      </c>
      <c r="AM174" s="59">
        <f t="shared" si="113"/>
        <v>1057.7452691537062</v>
      </c>
      <c r="AN174" s="59">
        <f ca="1">AVERAGE(OFFSET($AM$3,0,0,'Données projet'!$E$10+1,1))-AVERAGE(OFFSET($H$3,0,0,'Données projet'!$E$10+1,1))</f>
        <v>443.34220761968419</v>
      </c>
      <c r="AO174" s="59">
        <f t="shared" si="144"/>
        <v>546.58234447298014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10.847646592977179</v>
      </c>
      <c r="AV174" s="21">
        <f>EXP(-LN(2)/25)*AV173+(1-EXP(-LN(2)/25))/(LN(2)/25)*Calculateur!AQ174*Calculateur!AS174*VLOOKUP('Données projet'!$B$10,Paramètres!$A$1:$I$89,3,0)*0.475*44/12</f>
        <v>0.43992037811400769</v>
      </c>
      <c r="AW174" s="21">
        <f>EXP(-LN(2)/2)*AW173+(1-EXP(-LN(2)/2))/(LN(2)/2)*AQ174*AT174*VLOOKUP('Données projet'!$B$10,Paramètres!$A$1:$I$89,3,0)*0.475*44/12</f>
        <v>3.6186903597076606E-21</v>
      </c>
      <c r="AX174" s="21">
        <f t="shared" si="166"/>
        <v>11.287566971091188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403.99999999999989</v>
      </c>
      <c r="BE174" s="13">
        <f>BD174*VLOOKUP('Données projet'!$B$11,Paramètres!$A$1:$I$89,3,0)*VLOOKUP('Données projet'!$B$11,Paramètres!$A$1:$I$89,5,0)</f>
        <v>346.63199999999995</v>
      </c>
      <c r="BF174" s="13">
        <f t="shared" si="167"/>
        <v>80.868615263336864</v>
      </c>
      <c r="BG174" s="20">
        <f t="shared" si="168"/>
        <v>744.56357158364483</v>
      </c>
      <c r="BH174" s="59">
        <f t="shared" si="116"/>
        <v>1037.8969049169782</v>
      </c>
      <c r="BI174" s="59">
        <f ca="1">AVERAGE(OFFSET($BH$3,0,0,'Données projet'!$E$11+1,1))-AVERAGE(OFFSET($H$3,0,0,'Données projet'!$E$11+1,1))</f>
        <v>447.15627913956871</v>
      </c>
      <c r="BJ174" s="59">
        <f t="shared" si="146"/>
        <v>256.77417912163997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36.405241809663636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36.405241809663636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245.99999999999994</v>
      </c>
      <c r="BZ174" s="13">
        <f>BY174*VLOOKUP('Données projet'!$B$12,Paramètres!$A$1:$I$89,3,0)*VLOOKUP('Données projet'!$B$12,Paramètres!$A$1:$I$89,5,0)</f>
        <v>234.09359999999998</v>
      </c>
      <c r="CA174" s="13">
        <f t="shared" si="170"/>
        <v>57.166902703920208</v>
      </c>
      <c r="CB174" s="20">
        <f t="shared" si="171"/>
        <v>507.27870887599425</v>
      </c>
      <c r="CC174" s="59">
        <f t="shared" si="119"/>
        <v>800.61204220932757</v>
      </c>
      <c r="CD174" s="59">
        <f ca="1">AVERAGE(OFFSET($CC$3,0,0,'Données projet'!$E$12+1,1))-AVERAGE(OFFSET($H$3,0,0,'Données projet'!$E$12+1,1))</f>
        <v>448.94764480536713</v>
      </c>
      <c r="CE174" s="59">
        <f t="shared" si="148"/>
        <v>469.26760321719695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25.723282288412072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25.723282288412072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187.80389738728508</v>
      </c>
      <c r="CZ174" s="59">
        <f t="shared" si="150"/>
        <v>439.28159165815265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7.5679943534310441</v>
      </c>
      <c r="DG174" s="21">
        <f>EXP(-LN(2)/25)*DG173+(1-EXP(-LN(2)/25))/(LN(2)/25)*Calculateur!DB174*Calculateur!DD174*VLOOKUP('Données projet'!$B$13,Paramètres!$A$1:$I$89,3,0)*0.475*44/12</f>
        <v>0.28831580430217862</v>
      </c>
      <c r="DH174" s="21">
        <f>EXP(-LN(2)/2)*DH173+(1-EXP(-LN(2)/2))/(LN(2)/2)*DB174*DE174*VLOOKUP('Données projet'!$B$13,Paramètres!$A$1:$I$89,3,0)*0.475*44/12</f>
        <v>2.6929667111170221E-23</v>
      </c>
      <c r="DI174" s="22">
        <f t="shared" si="175"/>
        <v>7.8563101577332226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255.00000000000006</v>
      </c>
      <c r="DP174" s="17">
        <f>DO174*VLOOKUP('Données projet'!$B$14,Paramètres!$A$1:$I$89,3,0)*VLOOKUP('Données projet'!$B$14,Paramètres!$A$1:$I$89,5,0)</f>
        <v>186.96600000000004</v>
      </c>
      <c r="DQ174" s="13">
        <f t="shared" si="176"/>
        <v>46.868551400324648</v>
      </c>
      <c r="DR174" s="20">
        <f t="shared" si="177"/>
        <v>407.26184368889881</v>
      </c>
      <c r="DS174" s="59">
        <f t="shared" si="125"/>
        <v>700.59517702223206</v>
      </c>
      <c r="DT174" s="59">
        <f ca="1">AVERAGE(OFFSET($DS$3,0,0,'Données projet'!$E$14+1,1))-AVERAGE(OFFSET($H$3,0,0,'Données projet'!$E$14+1,1))</f>
        <v>239.25212250019609</v>
      </c>
      <c r="DU174" s="59">
        <f t="shared" si="152"/>
        <v>213.58492101729695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689</v>
      </c>
      <c r="EK174" s="17">
        <f>EJ174*VLOOKUP('Données projet'!$B$15,Paramètres!$A$1:$I$89,3,0)*VLOOKUP('Données projet'!$B$15,Paramètres!$A$1:$I$89,5,0)</f>
        <v>412.02199999999999</v>
      </c>
      <c r="EL174" s="13">
        <f t="shared" si="179"/>
        <v>94.209724877926391</v>
      </c>
      <c r="EM174" s="20">
        <f t="shared" si="180"/>
        <v>881.686920829055</v>
      </c>
      <c r="EN174" s="59">
        <f t="shared" si="128"/>
        <v>1175.0202541623883</v>
      </c>
      <c r="EO174" s="59">
        <f ca="1">AVERAGE(OFFSET($EN$3,0,0,'Données projet'!$E$15+1,1))-AVERAGE(OFFSET($H$3,0,0,'Données projet'!$E$15+1,1))</f>
        <v>504.81063008331739</v>
      </c>
      <c r="EP174" s="59">
        <f t="shared" si="154"/>
        <v>441.82647565372287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16.142761170543078</v>
      </c>
      <c r="EW174" s="21">
        <f>EXP(-LN(2)/25)*EW173+(1-EXP(-LN(2)/25))/(LN(2)/25)*Calculateur!ER174*Calculateur!ET174*VLOOKUP('Données projet'!$B$15,Paramètres!$A$1:$I$89,3,0)*0.475*44/12</f>
        <v>1.1807365039642894</v>
      </c>
      <c r="EX174" s="21">
        <f>EXP(-LN(2)/2)*EX173+(1-EXP(-LN(2)/2))/(LN(2)/2)*ER174*EU174*VLOOKUP('Données projet'!$B$15,Paramètres!$A$1:$I$89,3,0)*0.475*44/12</f>
        <v>3.1363541554313826E-23</v>
      </c>
      <c r="EY174" s="22">
        <f t="shared" si="181"/>
        <v>17.323497674507369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541.99999999999989</v>
      </c>
      <c r="FF174" s="17">
        <f>FE174*VLOOKUP('Données projet'!$B$16,Paramètres!$A$1:$I$89,3,0)*VLOOKUP('Données projet'!$B$16,Paramètres!$A$1:$I$89,5,0)</f>
        <v>310.02399999999994</v>
      </c>
      <c r="FG174" s="13">
        <f t="shared" si="182"/>
        <v>73.27384230442388</v>
      </c>
      <c r="FH174" s="20">
        <f t="shared" si="183"/>
        <v>667.57707534687154</v>
      </c>
      <c r="FI174" s="59">
        <f t="shared" si="131"/>
        <v>960.91040868020491</v>
      </c>
      <c r="FJ174" s="59">
        <f ca="1">AVERAGE(OFFSET($FI$3,0,0,'Données projet'!$E$16+1,1))-AVERAGE(OFFSET($H$3,0,0,'Données projet'!$E$16+1,1))</f>
        <v>393.41577134252316</v>
      </c>
      <c r="FK174" s="59">
        <f t="shared" si="156"/>
        <v>255.54039659391475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18.902441858905192</v>
      </c>
      <c r="FR174" s="21">
        <f>EXP(-LN(2)/25)*FR173+(1-EXP(-LN(2)/25))/(LN(2)/25)*Calculateur!FM174*Calculateur!FO174*VLOOKUP('Données projet'!$B$16,Paramètres!$A$1:$I$89,3,0)*0.475*44/12</f>
        <v>0.53583750489360071</v>
      </c>
      <c r="FS174" s="21">
        <f>EXP(-LN(2)/2)*FS173+(1-EXP(-LN(2)/2))/(LN(2)/2)*FM174*FP174*VLOOKUP('Données projet'!$B$16,Paramètres!$A$1:$I$89,3,0)*0.475*44/12</f>
        <v>2.1819229004651477E-22</v>
      </c>
      <c r="FT174" s="22">
        <f t="shared" si="184"/>
        <v>19.438279363798792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853.00000000000011</v>
      </c>
      <c r="GA174" s="17">
        <f>FZ174*VLOOKUP('Données projet'!$B$17,Paramètres!$A$1:$I$89,3,0)*VLOOKUP('Données projet'!$B$17,Paramètres!$A$1:$I$89,5,0)</f>
        <v>399.20400000000006</v>
      </c>
      <c r="GB174" s="13">
        <f t="shared" si="185"/>
        <v>91.615269732888521</v>
      </c>
      <c r="GC174" s="20">
        <f t="shared" si="186"/>
        <v>854.8435614514475</v>
      </c>
      <c r="GD174" s="59">
        <f t="shared" si="134"/>
        <v>1148.1768947847809</v>
      </c>
      <c r="GE174" s="59">
        <f ca="1">AVERAGE(OFFSET($GD$3,0,0,'Données projet'!$E$17+1,1))-AVERAGE(OFFSET($H$3,0,0,'Données projet'!$E$17+1,1))</f>
        <v>488.67934252295686</v>
      </c>
      <c r="GF174" s="59">
        <f t="shared" si="158"/>
        <v>424.50324471331095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22.859242469245494</v>
      </c>
      <c r="GM174" s="21">
        <f>EXP(-LN(2)/25)*GM173+(1-EXP(-LN(2)/25))/(LN(2)/25)*Calculateur!GH174*Calculateur!GJ174*VLOOKUP('Données projet'!$B$17,Paramètres!$A$1:$I$89,3,0)*0.475*44/12</f>
        <v>0.98236875897160181</v>
      </c>
      <c r="GN174" s="21">
        <f>EXP(-LN(2)/2)*GN173+(1-EXP(-LN(2)/2))/(LN(2)/2)*GH174*GK174*VLOOKUP('Données projet'!$B$17,Paramètres!$A$1:$I$89,3,0)*0.475*44/12</f>
        <v>4.8597373692178275E-22</v>
      </c>
      <c r="GO174" s="21">
        <f t="shared" si="187"/>
        <v>23.841611228217097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789</v>
      </c>
      <c r="GV174" s="17">
        <f>GU174*VLOOKUP('Données projet'!$B$18,Paramètres!$A$1:$I$89,3,0)*VLOOKUP('Données projet'!$B$18,Paramètres!$A$1:$I$89,5,0)</f>
        <v>379.50900000000001</v>
      </c>
      <c r="GW174" s="13">
        <f t="shared" si="188"/>
        <v>87.609801106074272</v>
      </c>
      <c r="GX174" s="20">
        <f t="shared" si="189"/>
        <v>813.56524525974601</v>
      </c>
      <c r="GY174" s="59">
        <f t="shared" si="137"/>
        <v>1106.8985785930793</v>
      </c>
      <c r="GZ174" s="59">
        <f ca="1">AVERAGE(OFFSET($GY$3,0,0,'Données projet'!$E$18+1,1))-AVERAGE(OFFSET($H$3,0,0,'Données projet'!$E$18+1,1))</f>
        <v>458.80976193248841</v>
      </c>
      <c r="HA174" s="59">
        <f t="shared" si="160"/>
        <v>396.07405370178759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23.146762689652824</v>
      </c>
      <c r="HH174" s="21">
        <f>EXP(-LN(2)/25)*HH173+(1-EXP(-LN(2)/25))/(LN(2)/25)*Calculateur!HC174*Calculateur!HE174*VLOOKUP('Données projet'!$B$18,Paramètres!$A$1:$I$89,3,0)*0.475*44/12</f>
        <v>0.91786980004922469</v>
      </c>
      <c r="HI174" s="21">
        <f>EXP(-LN(2)/2)*HI173+(1-EXP(-LN(2)/2))/(LN(2)/2)*HC174*HF174*VLOOKUP('Données projet'!$B$18,Paramètres!$A$1:$I$89,3,0)*0.475*44/12</f>
        <v>2.2425318699225146E-22</v>
      </c>
      <c r="HJ174" s="22">
        <f t="shared" si="190"/>
        <v>24.064632489702049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267</v>
      </c>
      <c r="O175" s="13">
        <f>N175*VLOOKUP('Données projet'!$B$9,Paramètres!$A$1:$I$89,3,0)*VLOOKUP('Données projet'!$B$9,Paramètres!$A$1:$I$89,5,0)</f>
        <v>241.58159999999998</v>
      </c>
      <c r="P175" s="13">
        <f t="shared" si="141"/>
        <v>58.779689232021951</v>
      </c>
      <c r="Q175" s="20">
        <f t="shared" si="162"/>
        <v>523.12924541243819</v>
      </c>
      <c r="R175" s="59">
        <f t="shared" si="109"/>
        <v>816.46257874577145</v>
      </c>
      <c r="S175" s="59">
        <f ca="1">AVERAGE(OFFSET($R$3,0,0,'Données projet'!$E$9+1,1))-AVERAGE(OFFSET($H$3,0,0,'Données projet'!$E$9+1,1))</f>
        <v>364.3481978218424</v>
      </c>
      <c r="T175" s="59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24.445285717477503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24.445285717477503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636.99999999999977</v>
      </c>
      <c r="AJ175" s="13">
        <f>AI175*VLOOKUP('Données projet'!$B$10,Paramètres!$A$1:$I$89,3,0)*VLOOKUP('Données projet'!$B$10,Paramètres!$A$1:$I$89,5,0)</f>
        <v>356.08299999999991</v>
      </c>
      <c r="AK175" s="13">
        <f t="shared" si="164"/>
        <v>82.813805255716545</v>
      </c>
      <c r="AL175" s="20">
        <f t="shared" si="165"/>
        <v>764.41193582037283</v>
      </c>
      <c r="AM175" s="59">
        <f t="shared" si="113"/>
        <v>1057.7452691537062</v>
      </c>
      <c r="AN175" s="59">
        <f ca="1">AVERAGE(OFFSET($AM$3,0,0,'Données projet'!$E$10+1,1))-AVERAGE(OFFSET($H$3,0,0,'Données projet'!$E$10+1,1))</f>
        <v>443.34220761968419</v>
      </c>
      <c r="AO175" s="59">
        <f t="shared" si="144"/>
        <v>546.58234447298014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10.634930859700003</v>
      </c>
      <c r="AV175" s="21">
        <f>EXP(-LN(2)/25)*AV174+(1-EXP(-LN(2)/25))/(LN(2)/25)*Calculateur!AQ175*Calculateur!AS175*VLOOKUP('Données projet'!$B$10,Paramètres!$A$1:$I$89,3,0)*0.475*44/12</f>
        <v>0.4278907322400729</v>
      </c>
      <c r="AW175" s="21">
        <f>EXP(-LN(2)/2)*AW174+(1-EXP(-LN(2)/2))/(LN(2)/2)*AQ175*AT175*VLOOKUP('Données projet'!$B$10,Paramètres!$A$1:$I$89,3,0)*0.475*44/12</f>
        <v>2.5588004923636738E-21</v>
      </c>
      <c r="AX175" s="21">
        <f t="shared" si="166"/>
        <v>11.062821591940075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403.99999999999989</v>
      </c>
      <c r="BE175" s="13">
        <f>BD175*VLOOKUP('Données projet'!$B$11,Paramètres!$A$1:$I$89,3,0)*VLOOKUP('Données projet'!$B$11,Paramètres!$A$1:$I$89,5,0)</f>
        <v>346.63199999999995</v>
      </c>
      <c r="BF175" s="13">
        <f t="shared" si="167"/>
        <v>80.868615263336864</v>
      </c>
      <c r="BG175" s="20">
        <f t="shared" si="168"/>
        <v>744.56357158364483</v>
      </c>
      <c r="BH175" s="59">
        <f t="shared" si="116"/>
        <v>1037.8969049169782</v>
      </c>
      <c r="BI175" s="59">
        <f ca="1">AVERAGE(OFFSET($BH$3,0,0,'Données projet'!$E$11+1,1))-AVERAGE(OFFSET($H$3,0,0,'Données projet'!$E$11+1,1))</f>
        <v>447.15627913956871</v>
      </c>
      <c r="BJ175" s="59">
        <f t="shared" si="146"/>
        <v>256.77417912163997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35.691357222781072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35.691357222781072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245.99999999999994</v>
      </c>
      <c r="BZ175" s="13">
        <f>BY175*VLOOKUP('Données projet'!$B$12,Paramètres!$A$1:$I$89,3,0)*VLOOKUP('Données projet'!$B$12,Paramètres!$A$1:$I$89,5,0)</f>
        <v>234.09359999999998</v>
      </c>
      <c r="CA175" s="13">
        <f t="shared" si="170"/>
        <v>57.166902703920208</v>
      </c>
      <c r="CB175" s="20">
        <f t="shared" si="171"/>
        <v>507.27870887599425</v>
      </c>
      <c r="CC175" s="59">
        <f t="shared" si="119"/>
        <v>800.61204220932757</v>
      </c>
      <c r="CD175" s="59">
        <f ca="1">AVERAGE(OFFSET($CC$3,0,0,'Données projet'!$E$12+1,1))-AVERAGE(OFFSET($H$3,0,0,'Données projet'!$E$12+1,1))</f>
        <v>448.94764480536713</v>
      </c>
      <c r="CE175" s="59">
        <f t="shared" si="148"/>
        <v>469.26760321719695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25.218864412389284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25.218864412389284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187.80389738728508</v>
      </c>
      <c r="CZ175" s="59">
        <f t="shared" si="150"/>
        <v>439.28159165815265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7.4195906001810226</v>
      </c>
      <c r="DG175" s="21">
        <f>EXP(-LN(2)/25)*DG174+(1-EXP(-LN(2)/25))/(LN(2)/25)*Calculateur!DB175*Calculateur!DD175*VLOOKUP('Données projet'!$B$13,Paramètres!$A$1:$I$89,3,0)*0.475*44/12</f>
        <v>0.28043179347166636</v>
      </c>
      <c r="DH175" s="21">
        <f>EXP(-LN(2)/2)*DH174+(1-EXP(-LN(2)/2))/(LN(2)/2)*DB175*DE175*VLOOKUP('Données projet'!$B$13,Paramètres!$A$1:$I$89,3,0)*0.475*44/12</f>
        <v>1.9042150229404807E-23</v>
      </c>
      <c r="DI175" s="22">
        <f t="shared" si="175"/>
        <v>7.7000223936526888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255.00000000000006</v>
      </c>
      <c r="DP175" s="17">
        <f>DO175*VLOOKUP('Données projet'!$B$14,Paramètres!$A$1:$I$89,3,0)*VLOOKUP('Données projet'!$B$14,Paramètres!$A$1:$I$89,5,0)</f>
        <v>186.96600000000004</v>
      </c>
      <c r="DQ175" s="13">
        <f t="shared" si="176"/>
        <v>46.868551400324648</v>
      </c>
      <c r="DR175" s="20">
        <f t="shared" si="177"/>
        <v>407.26184368889881</v>
      </c>
      <c r="DS175" s="59">
        <f t="shared" si="125"/>
        <v>700.59517702223206</v>
      </c>
      <c r="DT175" s="59">
        <f ca="1">AVERAGE(OFFSET($DS$3,0,0,'Données projet'!$E$14+1,1))-AVERAGE(OFFSET($H$3,0,0,'Données projet'!$E$14+1,1))</f>
        <v>239.25212250019609</v>
      </c>
      <c r="DU175" s="59">
        <f t="shared" si="152"/>
        <v>213.58492101729695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689</v>
      </c>
      <c r="EK175" s="17">
        <f>EJ175*VLOOKUP('Données projet'!$B$15,Paramètres!$A$1:$I$89,3,0)*VLOOKUP('Données projet'!$B$15,Paramètres!$A$1:$I$89,5,0)</f>
        <v>412.02199999999999</v>
      </c>
      <c r="EL175" s="13">
        <f t="shared" si="179"/>
        <v>94.209724877926391</v>
      </c>
      <c r="EM175" s="20">
        <f t="shared" si="180"/>
        <v>881.686920829055</v>
      </c>
      <c r="EN175" s="59">
        <f t="shared" si="128"/>
        <v>1175.0202541623883</v>
      </c>
      <c r="EO175" s="59">
        <f ca="1">AVERAGE(OFFSET($EN$3,0,0,'Données projet'!$E$15+1,1))-AVERAGE(OFFSET($H$3,0,0,'Données projet'!$E$15+1,1))</f>
        <v>504.81063008331739</v>
      </c>
      <c r="EP175" s="59">
        <f t="shared" si="154"/>
        <v>441.82647565372287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15.826211470100819</v>
      </c>
      <c r="EW175" s="21">
        <f>EXP(-LN(2)/25)*EW174+(1-EXP(-LN(2)/25))/(LN(2)/25)*Calculateur!ER175*Calculateur!ET175*VLOOKUP('Données projet'!$B$15,Paramètres!$A$1:$I$89,3,0)*0.475*44/12</f>
        <v>1.1484492021711519</v>
      </c>
      <c r="EX175" s="21">
        <f>EXP(-LN(2)/2)*EX174+(1-EXP(-LN(2)/2))/(LN(2)/2)*ER175*EU175*VLOOKUP('Données projet'!$B$15,Paramètres!$A$1:$I$89,3,0)*0.475*44/12</f>
        <v>2.2177372915081378E-23</v>
      </c>
      <c r="EY175" s="22">
        <f t="shared" si="181"/>
        <v>16.97466067227197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541.99999999999989</v>
      </c>
      <c r="FF175" s="17">
        <f>FE175*VLOOKUP('Données projet'!$B$16,Paramètres!$A$1:$I$89,3,0)*VLOOKUP('Données projet'!$B$16,Paramètres!$A$1:$I$89,5,0)</f>
        <v>310.02399999999994</v>
      </c>
      <c r="FG175" s="13">
        <f t="shared" si="182"/>
        <v>73.27384230442388</v>
      </c>
      <c r="FH175" s="20">
        <f t="shared" si="183"/>
        <v>667.57707534687154</v>
      </c>
      <c r="FI175" s="59">
        <f t="shared" si="131"/>
        <v>960.91040868020491</v>
      </c>
      <c r="FJ175" s="59">
        <f ca="1">AVERAGE(OFFSET($FI$3,0,0,'Données projet'!$E$16+1,1))-AVERAGE(OFFSET($H$3,0,0,'Données projet'!$E$16+1,1))</f>
        <v>393.41577134252316</v>
      </c>
      <c r="FK175" s="59">
        <f t="shared" si="156"/>
        <v>255.54039659391475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18.531776503403165</v>
      </c>
      <c r="FR175" s="21">
        <f>EXP(-LN(2)/25)*FR174+(1-EXP(-LN(2)/25))/(LN(2)/25)*Calculateur!FM175*Calculateur!FO175*VLOOKUP('Données projet'!$B$16,Paramètres!$A$1:$I$89,3,0)*0.475*44/12</f>
        <v>0.52118500014381552</v>
      </c>
      <c r="FS175" s="21">
        <f>EXP(-LN(2)/2)*FS174+(1-EXP(-LN(2)/2))/(LN(2)/2)*FM175*FP175*VLOOKUP('Données projet'!$B$16,Paramètres!$A$1:$I$89,3,0)*0.475*44/12</f>
        <v>1.5428524789451263E-22</v>
      </c>
      <c r="FT175" s="22">
        <f t="shared" si="184"/>
        <v>19.052961503546982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853.00000000000011</v>
      </c>
      <c r="GA175" s="17">
        <f>FZ175*VLOOKUP('Données projet'!$B$17,Paramètres!$A$1:$I$89,3,0)*VLOOKUP('Données projet'!$B$17,Paramètres!$A$1:$I$89,5,0)</f>
        <v>399.20400000000006</v>
      </c>
      <c r="GB175" s="13">
        <f t="shared" si="185"/>
        <v>91.615269732888521</v>
      </c>
      <c r="GC175" s="20">
        <f t="shared" si="186"/>
        <v>854.8435614514475</v>
      </c>
      <c r="GD175" s="59">
        <f t="shared" si="134"/>
        <v>1148.1768947847809</v>
      </c>
      <c r="GE175" s="59">
        <f ca="1">AVERAGE(OFFSET($GD$3,0,0,'Données projet'!$E$17+1,1))-AVERAGE(OFFSET($H$3,0,0,'Données projet'!$E$17+1,1))</f>
        <v>488.67934252295686</v>
      </c>
      <c r="GF175" s="59">
        <f t="shared" si="158"/>
        <v>424.50324471331095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22.410986667184762</v>
      </c>
      <c r="GM175" s="21">
        <f>EXP(-LN(2)/25)*GM174+(1-EXP(-LN(2)/25))/(LN(2)/25)*Calculateur!GH175*Calculateur!GJ175*VLOOKUP('Données projet'!$B$17,Paramètres!$A$1:$I$89,3,0)*0.475*44/12</f>
        <v>0.95550583359699559</v>
      </c>
      <c r="GN175" s="21">
        <f>EXP(-LN(2)/2)*GN174+(1-EXP(-LN(2)/2))/(LN(2)/2)*GH175*GK175*VLOOKUP('Données projet'!$B$17,Paramètres!$A$1:$I$89,3,0)*0.475*44/12</f>
        <v>3.4363532485595985E-22</v>
      </c>
      <c r="GO175" s="21">
        <f t="shared" si="187"/>
        <v>23.366492500781757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789</v>
      </c>
      <c r="GV175" s="17">
        <f>GU175*VLOOKUP('Données projet'!$B$18,Paramètres!$A$1:$I$89,3,0)*VLOOKUP('Données projet'!$B$18,Paramètres!$A$1:$I$89,5,0)</f>
        <v>379.50900000000001</v>
      </c>
      <c r="GW175" s="13">
        <f t="shared" si="188"/>
        <v>87.609801106074272</v>
      </c>
      <c r="GX175" s="20">
        <f t="shared" si="189"/>
        <v>813.56524525974601</v>
      </c>
      <c r="GY175" s="59">
        <f t="shared" si="137"/>
        <v>1106.8985785930793</v>
      </c>
      <c r="GZ175" s="59">
        <f ca="1">AVERAGE(OFFSET($GY$3,0,0,'Données projet'!$E$18+1,1))-AVERAGE(OFFSET($H$3,0,0,'Données projet'!$E$18+1,1))</f>
        <v>458.80976193248841</v>
      </c>
      <c r="HA175" s="59">
        <f t="shared" si="160"/>
        <v>396.07405370178759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22.692868791439924</v>
      </c>
      <c r="HH175" s="21">
        <f>EXP(-LN(2)/25)*HH174+(1-EXP(-LN(2)/25))/(LN(2)/25)*Calculateur!HC175*Calculateur!HE175*VLOOKUP('Données projet'!$B$18,Paramètres!$A$1:$I$89,3,0)*0.475*44/12</f>
        <v>0.89277060209820369</v>
      </c>
      <c r="HI175" s="21">
        <f>EXP(-LN(2)/2)*HI174+(1-EXP(-LN(2)/2))/(LN(2)/2)*HC175*HF175*VLOOKUP('Données projet'!$B$18,Paramètres!$A$1:$I$89,3,0)*0.475*44/12</f>
        <v>1.5857094922491588E-22</v>
      </c>
      <c r="HJ175" s="22">
        <f t="shared" si="190"/>
        <v>23.585639393538127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267</v>
      </c>
      <c r="O176" s="13">
        <f>N176*VLOOKUP('Données projet'!$B$9,Paramètres!$A$1:$I$89,3,0)*VLOOKUP('Données projet'!$B$9,Paramètres!$A$1:$I$89,5,0)</f>
        <v>241.58159999999998</v>
      </c>
      <c r="P176" s="13">
        <f t="shared" si="141"/>
        <v>58.779689232021951</v>
      </c>
      <c r="Q176" s="20">
        <f t="shared" si="162"/>
        <v>523.12924541243819</v>
      </c>
      <c r="R176" s="59">
        <f t="shared" si="109"/>
        <v>816.46257874577145</v>
      </c>
      <c r="S176" s="59">
        <f ca="1">AVERAGE(OFFSET($R$3,0,0,'Données projet'!$E$9+1,1))-AVERAGE(OFFSET($H$3,0,0,'Données projet'!$E$9+1,1))</f>
        <v>364.3481978218424</v>
      </c>
      <c r="T176" s="59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23.965928574709803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23.965928574709803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636.99999999999977</v>
      </c>
      <c r="AJ176" s="13">
        <f>AI176*VLOOKUP('Données projet'!$B$10,Paramètres!$A$1:$I$89,3,0)*VLOOKUP('Données projet'!$B$10,Paramètres!$A$1:$I$89,5,0)</f>
        <v>356.08299999999991</v>
      </c>
      <c r="AK176" s="13">
        <f t="shared" si="164"/>
        <v>82.813805255716545</v>
      </c>
      <c r="AL176" s="20">
        <f t="shared" si="165"/>
        <v>764.41193582037283</v>
      </c>
      <c r="AM176" s="59">
        <f t="shared" si="113"/>
        <v>1057.7452691537062</v>
      </c>
      <c r="AN176" s="59">
        <f ca="1">AVERAGE(OFFSET($AM$3,0,0,'Données projet'!$E$10+1,1))-AVERAGE(OFFSET($H$3,0,0,'Données projet'!$E$10+1,1))</f>
        <v>443.34220761968419</v>
      </c>
      <c r="AO176" s="59">
        <f t="shared" si="144"/>
        <v>546.58234447298014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10.426386352208604</v>
      </c>
      <c r="AV176" s="21">
        <f>EXP(-LN(2)/25)*AV175+(1-EXP(-LN(2)/25))/(LN(2)/25)*Calculateur!AQ176*Calculateur!AS176*VLOOKUP('Données projet'!$B$10,Paramètres!$A$1:$I$89,3,0)*0.475*44/12</f>
        <v>0.41619003766517243</v>
      </c>
      <c r="AW176" s="21">
        <f>EXP(-LN(2)/2)*AW175+(1-EXP(-LN(2)/2))/(LN(2)/2)*AQ176*AT176*VLOOKUP('Données projet'!$B$10,Paramètres!$A$1:$I$89,3,0)*0.475*44/12</f>
        <v>1.8093451798538303E-21</v>
      </c>
      <c r="AX176" s="21">
        <f t="shared" si="166"/>
        <v>10.842576389873777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403.99999999999989</v>
      </c>
      <c r="BE176" s="13">
        <f>BD176*VLOOKUP('Données projet'!$B$11,Paramètres!$A$1:$I$89,3,0)*VLOOKUP('Données projet'!$B$11,Paramètres!$A$1:$I$89,5,0)</f>
        <v>346.63199999999995</v>
      </c>
      <c r="BF176" s="13">
        <f t="shared" si="167"/>
        <v>80.868615263336864</v>
      </c>
      <c r="BG176" s="20">
        <f t="shared" si="168"/>
        <v>744.56357158364483</v>
      </c>
      <c r="BH176" s="59">
        <f t="shared" si="116"/>
        <v>1037.8969049169782</v>
      </c>
      <c r="BI176" s="59">
        <f ca="1">AVERAGE(OFFSET($BH$3,0,0,'Données projet'!$E$11+1,1))-AVERAGE(OFFSET($H$3,0,0,'Données projet'!$E$11+1,1))</f>
        <v>447.15627913956871</v>
      </c>
      <c r="BJ176" s="59">
        <f t="shared" si="146"/>
        <v>256.77417912163997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34.991471477220671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34.991471477220671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245.99999999999994</v>
      </c>
      <c r="BZ176" s="13">
        <f>BY176*VLOOKUP('Données projet'!$B$12,Paramètres!$A$1:$I$89,3,0)*VLOOKUP('Données projet'!$B$12,Paramètres!$A$1:$I$89,5,0)</f>
        <v>234.09359999999998</v>
      </c>
      <c r="CA176" s="13">
        <f t="shared" si="170"/>
        <v>57.166902703920208</v>
      </c>
      <c r="CB176" s="20">
        <f t="shared" si="171"/>
        <v>507.27870887599425</v>
      </c>
      <c r="CC176" s="59">
        <f t="shared" si="119"/>
        <v>800.61204220932757</v>
      </c>
      <c r="CD176" s="59">
        <f ca="1">AVERAGE(OFFSET($CC$3,0,0,'Données projet'!$E$12+1,1))-AVERAGE(OFFSET($H$3,0,0,'Données projet'!$E$12+1,1))</f>
        <v>448.94764480536713</v>
      </c>
      <c r="CE176" s="59">
        <f t="shared" si="148"/>
        <v>469.26760321719695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24.724337863250778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24.724337863250778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187.80389738728508</v>
      </c>
      <c r="CZ176" s="59">
        <f t="shared" si="150"/>
        <v>439.28159165815265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7.2740969540148823</v>
      </c>
      <c r="DG176" s="21">
        <f>EXP(-LN(2)/25)*DG175+(1-EXP(-LN(2)/25))/(LN(2)/25)*Calculateur!DB176*Calculateur!DD176*VLOOKUP('Données projet'!$B$13,Paramètres!$A$1:$I$89,3,0)*0.475*44/12</f>
        <v>0.27276337133191658</v>
      </c>
      <c r="DH176" s="21">
        <f>EXP(-LN(2)/2)*DH175+(1-EXP(-LN(2)/2))/(LN(2)/2)*DB176*DE176*VLOOKUP('Données projet'!$B$13,Paramètres!$A$1:$I$89,3,0)*0.475*44/12</f>
        <v>1.346483355558511E-23</v>
      </c>
      <c r="DI176" s="22">
        <f t="shared" si="175"/>
        <v>7.546860325346799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255.00000000000006</v>
      </c>
      <c r="DP176" s="17">
        <f>DO176*VLOOKUP('Données projet'!$B$14,Paramètres!$A$1:$I$89,3,0)*VLOOKUP('Données projet'!$B$14,Paramètres!$A$1:$I$89,5,0)</f>
        <v>186.96600000000004</v>
      </c>
      <c r="DQ176" s="13">
        <f t="shared" si="176"/>
        <v>46.868551400324648</v>
      </c>
      <c r="DR176" s="20">
        <f t="shared" si="177"/>
        <v>407.26184368889881</v>
      </c>
      <c r="DS176" s="59">
        <f t="shared" si="125"/>
        <v>700.59517702223206</v>
      </c>
      <c r="DT176" s="59">
        <f ca="1">AVERAGE(OFFSET($DS$3,0,0,'Données projet'!$E$14+1,1))-AVERAGE(OFFSET($H$3,0,0,'Données projet'!$E$14+1,1))</f>
        <v>239.25212250019609</v>
      </c>
      <c r="DU176" s="59">
        <f t="shared" si="152"/>
        <v>213.58492101729695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689</v>
      </c>
      <c r="EK176" s="17">
        <f>EJ176*VLOOKUP('Données projet'!$B$15,Paramètres!$A$1:$I$89,3,0)*VLOOKUP('Données projet'!$B$15,Paramètres!$A$1:$I$89,5,0)</f>
        <v>412.02199999999999</v>
      </c>
      <c r="EL176" s="13">
        <f t="shared" si="179"/>
        <v>94.209724877926391</v>
      </c>
      <c r="EM176" s="20">
        <f t="shared" si="180"/>
        <v>881.686920829055</v>
      </c>
      <c r="EN176" s="59">
        <f t="shared" si="128"/>
        <v>1175.0202541623883</v>
      </c>
      <c r="EO176" s="59">
        <f ca="1">AVERAGE(OFFSET($EN$3,0,0,'Données projet'!$E$15+1,1))-AVERAGE(OFFSET($H$3,0,0,'Données projet'!$E$15+1,1))</f>
        <v>504.81063008331739</v>
      </c>
      <c r="EP176" s="59">
        <f t="shared" si="154"/>
        <v>441.82647565372287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15.51586911620798</v>
      </c>
      <c r="EW176" s="21">
        <f>EXP(-LN(2)/25)*EW175+(1-EXP(-LN(2)/25))/(LN(2)/25)*Calculateur!ER176*Calculateur!ET176*VLOOKUP('Données projet'!$B$15,Paramètres!$A$1:$I$89,3,0)*0.475*44/12</f>
        <v>1.117044798343463</v>
      </c>
      <c r="EX176" s="21">
        <f>EXP(-LN(2)/2)*EX175+(1-EXP(-LN(2)/2))/(LN(2)/2)*ER176*EU176*VLOOKUP('Données projet'!$B$15,Paramètres!$A$1:$I$89,3,0)*0.475*44/12</f>
        <v>1.5681770777156913E-23</v>
      </c>
      <c r="EY176" s="22">
        <f t="shared" si="181"/>
        <v>16.632913914551445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541.99999999999989</v>
      </c>
      <c r="FF176" s="17">
        <f>FE176*VLOOKUP('Données projet'!$B$16,Paramètres!$A$1:$I$89,3,0)*VLOOKUP('Données projet'!$B$16,Paramètres!$A$1:$I$89,5,0)</f>
        <v>310.02399999999994</v>
      </c>
      <c r="FG176" s="13">
        <f t="shared" si="182"/>
        <v>73.27384230442388</v>
      </c>
      <c r="FH176" s="20">
        <f t="shared" si="183"/>
        <v>667.57707534687154</v>
      </c>
      <c r="FI176" s="59">
        <f t="shared" si="131"/>
        <v>960.91040868020491</v>
      </c>
      <c r="FJ176" s="59">
        <f ca="1">AVERAGE(OFFSET($FI$3,0,0,'Données projet'!$E$16+1,1))-AVERAGE(OFFSET($H$3,0,0,'Données projet'!$E$16+1,1))</f>
        <v>393.41577134252316</v>
      </c>
      <c r="FK176" s="59">
        <f t="shared" si="156"/>
        <v>255.54039659391475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18.168379669438991</v>
      </c>
      <c r="FR176" s="21">
        <f>EXP(-LN(2)/25)*FR175+(1-EXP(-LN(2)/25))/(LN(2)/25)*Calculateur!FM176*Calculateur!FO176*VLOOKUP('Données projet'!$B$16,Paramètres!$A$1:$I$89,3,0)*0.475*44/12</f>
        <v>0.50693316890695495</v>
      </c>
      <c r="FS176" s="21">
        <f>EXP(-LN(2)/2)*FS175+(1-EXP(-LN(2)/2))/(LN(2)/2)*FM176*FP176*VLOOKUP('Données projet'!$B$16,Paramètres!$A$1:$I$89,3,0)*0.475*44/12</f>
        <v>1.0909614502325738E-22</v>
      </c>
      <c r="FT176" s="22">
        <f t="shared" si="184"/>
        <v>18.675312838345945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853.00000000000011</v>
      </c>
      <c r="GA176" s="17">
        <f>FZ176*VLOOKUP('Données projet'!$B$17,Paramètres!$A$1:$I$89,3,0)*VLOOKUP('Données projet'!$B$17,Paramètres!$A$1:$I$89,5,0)</f>
        <v>399.20400000000006</v>
      </c>
      <c r="GB176" s="13">
        <f t="shared" si="185"/>
        <v>91.615269732888521</v>
      </c>
      <c r="GC176" s="20">
        <f t="shared" si="186"/>
        <v>854.8435614514475</v>
      </c>
      <c r="GD176" s="59">
        <f t="shared" si="134"/>
        <v>1148.1768947847809</v>
      </c>
      <c r="GE176" s="59">
        <f ca="1">AVERAGE(OFFSET($GD$3,0,0,'Données projet'!$E$17+1,1))-AVERAGE(OFFSET($H$3,0,0,'Données projet'!$E$17+1,1))</f>
        <v>488.67934252295686</v>
      </c>
      <c r="GF176" s="59">
        <f t="shared" si="158"/>
        <v>424.50324471331095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21.9715208879934</v>
      </c>
      <c r="GM176" s="21">
        <f>EXP(-LN(2)/25)*GM175+(1-EXP(-LN(2)/25))/(LN(2)/25)*Calculateur!GH176*Calculateur!GJ176*VLOOKUP('Données projet'!$B$17,Paramètres!$A$1:$I$89,3,0)*0.475*44/12</f>
        <v>0.92937747632941781</v>
      </c>
      <c r="GN176" s="21">
        <f>EXP(-LN(2)/2)*GN175+(1-EXP(-LN(2)/2))/(LN(2)/2)*GH176*GK176*VLOOKUP('Données projet'!$B$17,Paramètres!$A$1:$I$89,3,0)*0.475*44/12</f>
        <v>2.4298686846089137E-22</v>
      </c>
      <c r="GO176" s="21">
        <f t="shared" si="187"/>
        <v>22.900898364322817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789</v>
      </c>
      <c r="GV176" s="17">
        <f>GU176*VLOOKUP('Données projet'!$B$18,Paramètres!$A$1:$I$89,3,0)*VLOOKUP('Données projet'!$B$18,Paramètres!$A$1:$I$89,5,0)</f>
        <v>379.50900000000001</v>
      </c>
      <c r="GW176" s="13">
        <f t="shared" si="188"/>
        <v>87.609801106074272</v>
      </c>
      <c r="GX176" s="20">
        <f t="shared" si="189"/>
        <v>813.56524525974601</v>
      </c>
      <c r="GY176" s="59">
        <f t="shared" si="137"/>
        <v>1106.8985785930793</v>
      </c>
      <c r="GZ176" s="59">
        <f ca="1">AVERAGE(OFFSET($GY$3,0,0,'Données projet'!$E$18+1,1))-AVERAGE(OFFSET($H$3,0,0,'Données projet'!$E$18+1,1))</f>
        <v>458.80976193248841</v>
      </c>
      <c r="HA176" s="59">
        <f t="shared" si="160"/>
        <v>396.07405370178759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22.247875475723038</v>
      </c>
      <c r="HH176" s="21">
        <f>EXP(-LN(2)/25)*HH175+(1-EXP(-LN(2)/25))/(LN(2)/25)*Calculateur!HC176*Calculateur!HE176*VLOOKUP('Données projet'!$B$18,Paramètres!$A$1:$I$89,3,0)*0.475*44/12</f>
        <v>0.86835774303506286</v>
      </c>
      <c r="HI176" s="21">
        <f>EXP(-LN(2)/2)*HI175+(1-EXP(-LN(2)/2))/(LN(2)/2)*HC176*HF176*VLOOKUP('Données projet'!$B$18,Paramètres!$A$1:$I$89,3,0)*0.475*44/12</f>
        <v>1.1212659349612573E-22</v>
      </c>
      <c r="HJ176" s="22">
        <f t="shared" si="190"/>
        <v>23.116233218758101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267</v>
      </c>
      <c r="O177" s="13">
        <f>N177*VLOOKUP('Données projet'!$B$9,Paramètres!$A$1:$I$89,3,0)*VLOOKUP('Données projet'!$B$9,Paramètres!$A$1:$I$89,5,0)</f>
        <v>241.58159999999998</v>
      </c>
      <c r="P177" s="13">
        <f t="shared" si="141"/>
        <v>58.779689232021951</v>
      </c>
      <c r="Q177" s="20">
        <f t="shared" si="162"/>
        <v>523.12924541243819</v>
      </c>
      <c r="R177" s="59">
        <f t="shared" si="109"/>
        <v>816.46257874577145</v>
      </c>
      <c r="S177" s="59">
        <f ca="1">AVERAGE(OFFSET($R$3,0,0,'Données projet'!$E$9+1,1))-AVERAGE(OFFSET($H$3,0,0,'Données projet'!$E$9+1,1))</f>
        <v>364.3481978218424</v>
      </c>
      <c r="T177" s="59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23.49597133313279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23.49597133313279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636.99999999999977</v>
      </c>
      <c r="AJ177" s="13">
        <f>AI177*VLOOKUP('Données projet'!$B$10,Paramètres!$A$1:$I$89,3,0)*VLOOKUP('Données projet'!$B$10,Paramètres!$A$1:$I$89,5,0)</f>
        <v>356.08299999999991</v>
      </c>
      <c r="AK177" s="13">
        <f t="shared" si="164"/>
        <v>82.813805255716545</v>
      </c>
      <c r="AL177" s="20">
        <f t="shared" si="165"/>
        <v>764.41193582037283</v>
      </c>
      <c r="AM177" s="59">
        <f t="shared" si="113"/>
        <v>1057.7452691537062</v>
      </c>
      <c r="AN177" s="59">
        <f ca="1">AVERAGE(OFFSET($AM$3,0,0,'Données projet'!$E$10+1,1))-AVERAGE(OFFSET($H$3,0,0,'Données projet'!$E$10+1,1))</f>
        <v>443.34220761968419</v>
      </c>
      <c r="AO177" s="59">
        <f t="shared" si="144"/>
        <v>546.58234447298014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10.221931275309522</v>
      </c>
      <c r="AV177" s="21">
        <f>EXP(-LN(2)/25)*AV176+(1-EXP(-LN(2)/25))/(LN(2)/25)*Calculateur!AQ177*Calculateur!AS177*VLOOKUP('Données projet'!$B$10,Paramètres!$A$1:$I$89,3,0)*0.475*44/12</f>
        <v>0.40480929919873543</v>
      </c>
      <c r="AW177" s="21">
        <f>EXP(-LN(2)/2)*AW176+(1-EXP(-LN(2)/2))/(LN(2)/2)*AQ177*AT177*VLOOKUP('Données projet'!$B$10,Paramètres!$A$1:$I$89,3,0)*0.475*44/12</f>
        <v>1.2794002461818369E-21</v>
      </c>
      <c r="AX177" s="21">
        <f t="shared" si="166"/>
        <v>10.626740574508258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403.99999999999989</v>
      </c>
      <c r="BE177" s="13">
        <f>BD177*VLOOKUP('Données projet'!$B$11,Paramètres!$A$1:$I$89,3,0)*VLOOKUP('Données projet'!$B$11,Paramètres!$A$1:$I$89,5,0)</f>
        <v>346.63199999999995</v>
      </c>
      <c r="BF177" s="13">
        <f t="shared" si="167"/>
        <v>80.868615263336864</v>
      </c>
      <c r="BG177" s="20">
        <f t="shared" si="168"/>
        <v>744.56357158364483</v>
      </c>
      <c r="BH177" s="59">
        <f t="shared" si="116"/>
        <v>1037.8969049169782</v>
      </c>
      <c r="BI177" s="59">
        <f ca="1">AVERAGE(OFFSET($BH$3,0,0,'Données projet'!$E$11+1,1))-AVERAGE(OFFSET($H$3,0,0,'Données projet'!$E$11+1,1))</f>
        <v>447.15627913956871</v>
      </c>
      <c r="BJ177" s="59">
        <f t="shared" si="146"/>
        <v>256.77417912163997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34.305310064242562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34.305310064242562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245.99999999999994</v>
      </c>
      <c r="BZ177" s="13">
        <f>BY177*VLOOKUP('Données projet'!$B$12,Paramètres!$A$1:$I$89,3,0)*VLOOKUP('Données projet'!$B$12,Paramètres!$A$1:$I$89,5,0)</f>
        <v>234.09359999999998</v>
      </c>
      <c r="CA177" s="13">
        <f t="shared" si="170"/>
        <v>57.166902703920208</v>
      </c>
      <c r="CB177" s="20">
        <f t="shared" si="171"/>
        <v>507.27870887599425</v>
      </c>
      <c r="CC177" s="59">
        <f t="shared" si="119"/>
        <v>800.61204220932757</v>
      </c>
      <c r="CD177" s="59">
        <f ca="1">AVERAGE(OFFSET($CC$3,0,0,'Données projet'!$E$12+1,1))-AVERAGE(OFFSET($H$3,0,0,'Données projet'!$E$12+1,1))</f>
        <v>448.94764480536713</v>
      </c>
      <c r="CE177" s="59">
        <f t="shared" si="148"/>
        <v>469.26760321719695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24.239508678109466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24.239508678109466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187.80389738728508</v>
      </c>
      <c r="CZ177" s="59">
        <f t="shared" si="150"/>
        <v>439.28159165815265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7.1314563495076984</v>
      </c>
      <c r="DG177" s="21">
        <f>EXP(-LN(2)/25)*DG176+(1-EXP(-LN(2)/25))/(LN(2)/25)*Calculateur!DB177*Calculateur!DD177*VLOOKUP('Données projet'!$B$13,Paramètres!$A$1:$I$89,3,0)*0.475*44/12</f>
        <v>0.26530464259884301</v>
      </c>
      <c r="DH177" s="21">
        <f>EXP(-LN(2)/2)*DH176+(1-EXP(-LN(2)/2))/(LN(2)/2)*DB177*DE177*VLOOKUP('Données projet'!$B$13,Paramètres!$A$1:$I$89,3,0)*0.475*44/12</f>
        <v>9.5210751147024034E-24</v>
      </c>
      <c r="DI177" s="22">
        <f t="shared" si="175"/>
        <v>7.3967609921065414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255.00000000000006</v>
      </c>
      <c r="DP177" s="17">
        <f>DO177*VLOOKUP('Données projet'!$B$14,Paramètres!$A$1:$I$89,3,0)*VLOOKUP('Données projet'!$B$14,Paramètres!$A$1:$I$89,5,0)</f>
        <v>186.96600000000004</v>
      </c>
      <c r="DQ177" s="13">
        <f t="shared" si="176"/>
        <v>46.868551400324648</v>
      </c>
      <c r="DR177" s="20">
        <f t="shared" si="177"/>
        <v>407.26184368889881</v>
      </c>
      <c r="DS177" s="59">
        <f t="shared" si="125"/>
        <v>700.59517702223206</v>
      </c>
      <c r="DT177" s="59">
        <f ca="1">AVERAGE(OFFSET($DS$3,0,0,'Données projet'!$E$14+1,1))-AVERAGE(OFFSET($H$3,0,0,'Données projet'!$E$14+1,1))</f>
        <v>239.25212250019609</v>
      </c>
      <c r="DU177" s="59">
        <f t="shared" si="152"/>
        <v>213.58492101729695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689</v>
      </c>
      <c r="EK177" s="17">
        <f>EJ177*VLOOKUP('Données projet'!$B$15,Paramètres!$A$1:$I$89,3,0)*VLOOKUP('Données projet'!$B$15,Paramètres!$A$1:$I$89,5,0)</f>
        <v>412.02199999999999</v>
      </c>
      <c r="EL177" s="13">
        <f t="shared" si="179"/>
        <v>94.209724877926391</v>
      </c>
      <c r="EM177" s="20">
        <f t="shared" si="180"/>
        <v>881.686920829055</v>
      </c>
      <c r="EN177" s="59">
        <f t="shared" si="128"/>
        <v>1175.0202541623883</v>
      </c>
      <c r="EO177" s="59">
        <f ca="1">AVERAGE(OFFSET($EN$3,0,0,'Données projet'!$E$15+1,1))-AVERAGE(OFFSET($H$3,0,0,'Données projet'!$E$15+1,1))</f>
        <v>504.81063008331739</v>
      </c>
      <c r="EP177" s="59">
        <f t="shared" si="154"/>
        <v>441.82647565372287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15.211612386584836</v>
      </c>
      <c r="EW177" s="21">
        <f>EXP(-LN(2)/25)*EW176+(1-EXP(-LN(2)/25))/(LN(2)/25)*Calculateur!ER177*Calculateur!ET177*VLOOKUP('Données projet'!$B$15,Paramètres!$A$1:$I$89,3,0)*0.475*44/12</f>
        <v>1.0864991495899281</v>
      </c>
      <c r="EX177" s="21">
        <f>EXP(-LN(2)/2)*EX176+(1-EXP(-LN(2)/2))/(LN(2)/2)*ER177*EU177*VLOOKUP('Données projet'!$B$15,Paramètres!$A$1:$I$89,3,0)*0.475*44/12</f>
        <v>1.1088686457540689E-23</v>
      </c>
      <c r="EY177" s="22">
        <f t="shared" si="181"/>
        <v>16.298111536174765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541.99999999999989</v>
      </c>
      <c r="FF177" s="17">
        <f>FE177*VLOOKUP('Données projet'!$B$16,Paramètres!$A$1:$I$89,3,0)*VLOOKUP('Données projet'!$B$16,Paramètres!$A$1:$I$89,5,0)</f>
        <v>310.02399999999994</v>
      </c>
      <c r="FG177" s="13">
        <f t="shared" si="182"/>
        <v>73.27384230442388</v>
      </c>
      <c r="FH177" s="20">
        <f t="shared" si="183"/>
        <v>667.57707534687154</v>
      </c>
      <c r="FI177" s="59">
        <f t="shared" si="131"/>
        <v>960.91040868020491</v>
      </c>
      <c r="FJ177" s="59">
        <f ca="1">AVERAGE(OFFSET($FI$3,0,0,'Données projet'!$E$16+1,1))-AVERAGE(OFFSET($H$3,0,0,'Données projet'!$E$16+1,1))</f>
        <v>393.41577134252316</v>
      </c>
      <c r="FK177" s="59">
        <f t="shared" si="156"/>
        <v>255.54039659391475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17.812108825738672</v>
      </c>
      <c r="FR177" s="21">
        <f>EXP(-LN(2)/25)*FR176+(1-EXP(-LN(2)/25))/(LN(2)/25)*Calculateur!FM177*Calculateur!FO177*VLOOKUP('Données projet'!$B$16,Paramètres!$A$1:$I$89,3,0)*0.475*44/12</f>
        <v>0.4930710547447375</v>
      </c>
      <c r="FS177" s="21">
        <f>EXP(-LN(2)/2)*FS176+(1-EXP(-LN(2)/2))/(LN(2)/2)*FM177*FP177*VLOOKUP('Données projet'!$B$16,Paramètres!$A$1:$I$89,3,0)*0.475*44/12</f>
        <v>7.7142623947256316E-23</v>
      </c>
      <c r="FT177" s="22">
        <f t="shared" si="184"/>
        <v>18.305179880483411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853.00000000000011</v>
      </c>
      <c r="GA177" s="17">
        <f>FZ177*VLOOKUP('Données projet'!$B$17,Paramètres!$A$1:$I$89,3,0)*VLOOKUP('Données projet'!$B$17,Paramètres!$A$1:$I$89,5,0)</f>
        <v>399.20400000000006</v>
      </c>
      <c r="GB177" s="13">
        <f t="shared" si="185"/>
        <v>91.615269732888521</v>
      </c>
      <c r="GC177" s="20">
        <f t="shared" si="186"/>
        <v>854.8435614514475</v>
      </c>
      <c r="GD177" s="59">
        <f t="shared" si="134"/>
        <v>1148.1768947847809</v>
      </c>
      <c r="GE177" s="59">
        <f ca="1">AVERAGE(OFFSET($GD$3,0,0,'Données projet'!$E$17+1,1))-AVERAGE(OFFSET($H$3,0,0,'Données projet'!$E$17+1,1))</f>
        <v>488.67934252295686</v>
      </c>
      <c r="GF177" s="59">
        <f t="shared" si="158"/>
        <v>424.50324471331095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21.54067276468432</v>
      </c>
      <c r="GM177" s="21">
        <f>EXP(-LN(2)/25)*GM176+(1-EXP(-LN(2)/25))/(LN(2)/25)*Calculateur!GH177*Calculateur!GJ177*VLOOKUP('Données projet'!$B$17,Paramètres!$A$1:$I$89,3,0)*0.475*44/12</f>
        <v>0.9039636003653525</v>
      </c>
      <c r="GN177" s="21">
        <f>EXP(-LN(2)/2)*GN176+(1-EXP(-LN(2)/2))/(LN(2)/2)*GH177*GK177*VLOOKUP('Données projet'!$B$17,Paramètres!$A$1:$I$89,3,0)*0.475*44/12</f>
        <v>1.7181766242797993E-22</v>
      </c>
      <c r="GO177" s="21">
        <f t="shared" si="187"/>
        <v>22.444636365049671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789</v>
      </c>
      <c r="GV177" s="17">
        <f>GU177*VLOOKUP('Données projet'!$B$18,Paramètres!$A$1:$I$89,3,0)*VLOOKUP('Données projet'!$B$18,Paramètres!$A$1:$I$89,5,0)</f>
        <v>379.50900000000001</v>
      </c>
      <c r="GW177" s="13">
        <f t="shared" si="188"/>
        <v>87.609801106074272</v>
      </c>
      <c r="GX177" s="20">
        <f t="shared" si="189"/>
        <v>813.56524525974601</v>
      </c>
      <c r="GY177" s="59">
        <f t="shared" si="137"/>
        <v>1106.8985785930793</v>
      </c>
      <c r="GZ177" s="59">
        <f ca="1">AVERAGE(OFFSET($GY$3,0,0,'Données projet'!$E$18+1,1))-AVERAGE(OFFSET($H$3,0,0,'Données projet'!$E$18+1,1))</f>
        <v>458.80976193248841</v>
      </c>
      <c r="HA177" s="59">
        <f t="shared" si="160"/>
        <v>396.07405370178759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21.811608207508236</v>
      </c>
      <c r="HH177" s="21">
        <f>EXP(-LN(2)/25)*HH176+(1-EXP(-LN(2)/25))/(LN(2)/25)*Calculateur!HC177*Calculateur!HE177*VLOOKUP('Données projet'!$B$18,Paramètres!$A$1:$I$89,3,0)*0.475*44/12</f>
        <v>0.84461245488682002</v>
      </c>
      <c r="HI177" s="21">
        <f>EXP(-LN(2)/2)*HI176+(1-EXP(-LN(2)/2))/(LN(2)/2)*HC177*HF177*VLOOKUP('Données projet'!$B$18,Paramètres!$A$1:$I$89,3,0)*0.475*44/12</f>
        <v>7.928547461245794E-23</v>
      </c>
      <c r="HJ177" s="22">
        <f t="shared" si="190"/>
        <v>22.656220662395057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267</v>
      </c>
      <c r="O178" s="13">
        <f>N178*VLOOKUP('Données projet'!$B$9,Paramètres!$A$1:$I$89,3,0)*VLOOKUP('Données projet'!$B$9,Paramètres!$A$1:$I$89,5,0)</f>
        <v>241.58159999999998</v>
      </c>
      <c r="P178" s="13">
        <f t="shared" si="141"/>
        <v>58.779689232021951</v>
      </c>
      <c r="Q178" s="20">
        <f t="shared" si="162"/>
        <v>523.12924541243819</v>
      </c>
      <c r="R178" s="59">
        <f t="shared" si="109"/>
        <v>816.46257874577145</v>
      </c>
      <c r="S178" s="59">
        <f ca="1">AVERAGE(OFFSET($R$3,0,0,'Données projet'!$E$9+1,1))-AVERAGE(OFFSET($H$3,0,0,'Données projet'!$E$9+1,1))</f>
        <v>364.3481978218424</v>
      </c>
      <c r="T178" s="59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23.035229666417489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23.035229666417489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636.99999999999977</v>
      </c>
      <c r="AJ178" s="13">
        <f>AI178*VLOOKUP('Données projet'!$B$10,Paramètres!$A$1:$I$89,3,0)*VLOOKUP('Données projet'!$B$10,Paramètres!$A$1:$I$89,5,0)</f>
        <v>356.08299999999991</v>
      </c>
      <c r="AK178" s="13">
        <f t="shared" si="164"/>
        <v>82.813805255716545</v>
      </c>
      <c r="AL178" s="20">
        <f t="shared" si="165"/>
        <v>764.41193582037283</v>
      </c>
      <c r="AM178" s="59">
        <f t="shared" si="113"/>
        <v>1057.7452691537062</v>
      </c>
      <c r="AN178" s="59">
        <f ca="1">AVERAGE(OFFSET($AM$3,0,0,'Données projet'!$E$10+1,1))-AVERAGE(OFFSET($H$3,0,0,'Données projet'!$E$10+1,1))</f>
        <v>443.34220761968419</v>
      </c>
      <c r="AO178" s="59">
        <f t="shared" si="144"/>
        <v>546.58234447298014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10.021485437763149</v>
      </c>
      <c r="AV178" s="21">
        <f>EXP(-LN(2)/25)*AV177+(1-EXP(-LN(2)/25))/(LN(2)/25)*Calculateur!AQ178*Calculateur!AS178*VLOOKUP('Données projet'!$B$10,Paramètres!$A$1:$I$89,3,0)*0.475*44/12</f>
        <v>0.39373976762415019</v>
      </c>
      <c r="AW178" s="21">
        <f>EXP(-LN(2)/2)*AW177+(1-EXP(-LN(2)/2))/(LN(2)/2)*AQ178*AT178*VLOOKUP('Données projet'!$B$10,Paramètres!$A$1:$I$89,3,0)*0.475*44/12</f>
        <v>9.0467258992691515E-22</v>
      </c>
      <c r="AX178" s="21">
        <f t="shared" si="166"/>
        <v>10.4152252053873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403.99999999999989</v>
      </c>
      <c r="BE178" s="13">
        <f>BD178*VLOOKUP('Données projet'!$B$11,Paramètres!$A$1:$I$89,3,0)*VLOOKUP('Données projet'!$B$11,Paramètres!$A$1:$I$89,5,0)</f>
        <v>346.63199999999995</v>
      </c>
      <c r="BF178" s="13">
        <f t="shared" si="167"/>
        <v>80.868615263336864</v>
      </c>
      <c r="BG178" s="20">
        <f t="shared" si="168"/>
        <v>744.56357158364483</v>
      </c>
      <c r="BH178" s="59">
        <f t="shared" si="116"/>
        <v>1037.8969049169782</v>
      </c>
      <c r="BI178" s="59">
        <f ca="1">AVERAGE(OFFSET($BH$3,0,0,'Données projet'!$E$11+1,1))-AVERAGE(OFFSET($H$3,0,0,'Données projet'!$E$11+1,1))</f>
        <v>447.15627913956871</v>
      </c>
      <c r="BJ178" s="59">
        <f t="shared" si="146"/>
        <v>256.77417912163997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33.632603858055816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33.632603858055816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245.99999999999994</v>
      </c>
      <c r="BZ178" s="13">
        <f>BY178*VLOOKUP('Données projet'!$B$12,Paramètres!$A$1:$I$89,3,0)*VLOOKUP('Données projet'!$B$12,Paramètres!$A$1:$I$89,5,0)</f>
        <v>234.09359999999998</v>
      </c>
      <c r="CA178" s="13">
        <f t="shared" si="170"/>
        <v>57.166902703920208</v>
      </c>
      <c r="CB178" s="20">
        <f t="shared" si="171"/>
        <v>507.27870887599425</v>
      </c>
      <c r="CC178" s="59">
        <f t="shared" si="119"/>
        <v>800.61204220932757</v>
      </c>
      <c r="CD178" s="59">
        <f ca="1">AVERAGE(OFFSET($CC$3,0,0,'Données projet'!$E$12+1,1))-AVERAGE(OFFSET($H$3,0,0,'Données projet'!$E$12+1,1))</f>
        <v>448.94764480536713</v>
      </c>
      <c r="CE178" s="59">
        <f t="shared" si="148"/>
        <v>469.26760321719695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23.764186697572171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23.764186697572171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187.80389738728508</v>
      </c>
      <c r="CZ178" s="59">
        <f t="shared" si="150"/>
        <v>439.28159165815265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6.9916128402527224</v>
      </c>
      <c r="DG178" s="21">
        <f>EXP(-LN(2)/25)*DG177+(1-EXP(-LN(2)/25))/(LN(2)/25)*Calculateur!DB178*Calculateur!DD178*VLOOKUP('Données projet'!$B$13,Paramètres!$A$1:$I$89,3,0)*0.475*44/12</f>
        <v>0.25804987319521283</v>
      </c>
      <c r="DH178" s="21">
        <f>EXP(-LN(2)/2)*DH177+(1-EXP(-LN(2)/2))/(LN(2)/2)*DB178*DE178*VLOOKUP('Données projet'!$B$13,Paramètres!$A$1:$I$89,3,0)*0.475*44/12</f>
        <v>6.7324167777925552E-24</v>
      </c>
      <c r="DI178" s="22">
        <f t="shared" si="175"/>
        <v>7.2496627134479352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255.00000000000006</v>
      </c>
      <c r="DP178" s="17">
        <f>DO178*VLOOKUP('Données projet'!$B$14,Paramètres!$A$1:$I$89,3,0)*VLOOKUP('Données projet'!$B$14,Paramètres!$A$1:$I$89,5,0)</f>
        <v>186.96600000000004</v>
      </c>
      <c r="DQ178" s="13">
        <f t="shared" si="176"/>
        <v>46.868551400324648</v>
      </c>
      <c r="DR178" s="20">
        <f t="shared" si="177"/>
        <v>407.26184368889881</v>
      </c>
      <c r="DS178" s="59">
        <f t="shared" si="125"/>
        <v>700.59517702223206</v>
      </c>
      <c r="DT178" s="59">
        <f ca="1">AVERAGE(OFFSET($DS$3,0,0,'Données projet'!$E$14+1,1))-AVERAGE(OFFSET($H$3,0,0,'Données projet'!$E$14+1,1))</f>
        <v>239.25212250019609</v>
      </c>
      <c r="DU178" s="59">
        <f t="shared" si="152"/>
        <v>213.58492101729695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689</v>
      </c>
      <c r="EK178" s="17">
        <f>EJ178*VLOOKUP('Données projet'!$B$15,Paramètres!$A$1:$I$89,3,0)*VLOOKUP('Données projet'!$B$15,Paramètres!$A$1:$I$89,5,0)</f>
        <v>412.02199999999999</v>
      </c>
      <c r="EL178" s="13">
        <f t="shared" si="179"/>
        <v>94.209724877926391</v>
      </c>
      <c r="EM178" s="20">
        <f t="shared" si="180"/>
        <v>881.686920829055</v>
      </c>
      <c r="EN178" s="59">
        <f t="shared" si="128"/>
        <v>1175.0202541623883</v>
      </c>
      <c r="EO178" s="59">
        <f ca="1">AVERAGE(OFFSET($EN$3,0,0,'Données projet'!$E$15+1,1))-AVERAGE(OFFSET($H$3,0,0,'Données projet'!$E$15+1,1))</f>
        <v>504.81063008331739</v>
      </c>
      <c r="EP178" s="59">
        <f t="shared" si="154"/>
        <v>441.82647565372287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14.913321945851321</v>
      </c>
      <c r="EW178" s="21">
        <f>EXP(-LN(2)/25)*EW177+(1-EXP(-LN(2)/25))/(LN(2)/25)*Calculateur!ER178*Calculateur!ET178*VLOOKUP('Données projet'!$B$15,Paramètres!$A$1:$I$89,3,0)*0.475*44/12</f>
        <v>1.0567887732078844</v>
      </c>
      <c r="EX178" s="21">
        <f>EXP(-LN(2)/2)*EX177+(1-EXP(-LN(2)/2))/(LN(2)/2)*ER178*EU178*VLOOKUP('Données projet'!$B$15,Paramètres!$A$1:$I$89,3,0)*0.475*44/12</f>
        <v>7.8408853885784565E-24</v>
      </c>
      <c r="EY178" s="22">
        <f t="shared" si="181"/>
        <v>15.970110719059205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541.99999999999989</v>
      </c>
      <c r="FF178" s="17">
        <f>FE178*VLOOKUP('Données projet'!$B$16,Paramètres!$A$1:$I$89,3,0)*VLOOKUP('Données projet'!$B$16,Paramètres!$A$1:$I$89,5,0)</f>
        <v>310.02399999999994</v>
      </c>
      <c r="FG178" s="13">
        <f t="shared" si="182"/>
        <v>73.27384230442388</v>
      </c>
      <c r="FH178" s="20">
        <f t="shared" si="183"/>
        <v>667.57707534687154</v>
      </c>
      <c r="FI178" s="59">
        <f t="shared" si="131"/>
        <v>960.91040868020491</v>
      </c>
      <c r="FJ178" s="59">
        <f ca="1">AVERAGE(OFFSET($FI$3,0,0,'Données projet'!$E$16+1,1))-AVERAGE(OFFSET($H$3,0,0,'Données projet'!$E$16+1,1))</f>
        <v>393.41577134252316</v>
      </c>
      <c r="FK178" s="59">
        <f t="shared" si="156"/>
        <v>255.54039659391475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17.462824235979557</v>
      </c>
      <c r="FR178" s="21">
        <f>EXP(-LN(2)/25)*FR177+(1-EXP(-LN(2)/25))/(LN(2)/25)*Calculateur!FM178*Calculateur!FO178*VLOOKUP('Données projet'!$B$16,Paramètres!$A$1:$I$89,3,0)*0.475*44/12</f>
        <v>0.47958800082326281</v>
      </c>
      <c r="FS178" s="21">
        <f>EXP(-LN(2)/2)*FS177+(1-EXP(-LN(2)/2))/(LN(2)/2)*FM178*FP178*VLOOKUP('Données projet'!$B$16,Paramètres!$A$1:$I$89,3,0)*0.475*44/12</f>
        <v>5.4548072511628692E-23</v>
      </c>
      <c r="FT178" s="22">
        <f t="shared" si="184"/>
        <v>17.94241223680282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853.00000000000011</v>
      </c>
      <c r="GA178" s="17">
        <f>FZ178*VLOOKUP('Données projet'!$B$17,Paramètres!$A$1:$I$89,3,0)*VLOOKUP('Données projet'!$B$17,Paramètres!$A$1:$I$89,5,0)</f>
        <v>399.20400000000006</v>
      </c>
      <c r="GB178" s="13">
        <f t="shared" si="185"/>
        <v>91.615269732888521</v>
      </c>
      <c r="GC178" s="20">
        <f t="shared" si="186"/>
        <v>854.8435614514475</v>
      </c>
      <c r="GD178" s="59">
        <f t="shared" si="134"/>
        <v>1148.1768947847809</v>
      </c>
      <c r="GE178" s="59">
        <f ca="1">AVERAGE(OFFSET($GD$3,0,0,'Données projet'!$E$17+1,1))-AVERAGE(OFFSET($H$3,0,0,'Données projet'!$E$17+1,1))</f>
        <v>488.67934252295686</v>
      </c>
      <c r="GF178" s="59">
        <f t="shared" si="158"/>
        <v>424.50324471331095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21.118273310281925</v>
      </c>
      <c r="GM178" s="21">
        <f>EXP(-LN(2)/25)*GM177+(1-EXP(-LN(2)/25))/(LN(2)/25)*Calculateur!GH178*Calculateur!GJ178*VLOOKUP('Données projet'!$B$17,Paramètres!$A$1:$I$89,3,0)*0.475*44/12</f>
        <v>0.87924466817598224</v>
      </c>
      <c r="GN178" s="21">
        <f>EXP(-LN(2)/2)*GN177+(1-EXP(-LN(2)/2))/(LN(2)/2)*GH178*GK178*VLOOKUP('Données projet'!$B$17,Paramètres!$A$1:$I$89,3,0)*0.475*44/12</f>
        <v>1.2149343423044569E-22</v>
      </c>
      <c r="GO178" s="21">
        <f t="shared" si="187"/>
        <v>21.997517978457907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789</v>
      </c>
      <c r="GV178" s="17">
        <f>GU178*VLOOKUP('Données projet'!$B$18,Paramètres!$A$1:$I$89,3,0)*VLOOKUP('Données projet'!$B$18,Paramètres!$A$1:$I$89,5,0)</f>
        <v>379.50900000000001</v>
      </c>
      <c r="GW178" s="13">
        <f t="shared" si="188"/>
        <v>87.609801106074272</v>
      </c>
      <c r="GX178" s="20">
        <f t="shared" si="189"/>
        <v>813.56524525974601</v>
      </c>
      <c r="GY178" s="59">
        <f t="shared" si="137"/>
        <v>1106.8985785930793</v>
      </c>
      <c r="GZ178" s="59">
        <f ca="1">AVERAGE(OFFSET($GY$3,0,0,'Données projet'!$E$18+1,1))-AVERAGE(OFFSET($H$3,0,0,'Données projet'!$E$18+1,1))</f>
        <v>458.80976193248841</v>
      </c>
      <c r="HA178" s="59">
        <f t="shared" si="160"/>
        <v>396.07405370178759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21.383895874326367</v>
      </c>
      <c r="HH178" s="21">
        <f>EXP(-LN(2)/25)*HH177+(1-EXP(-LN(2)/25))/(LN(2)/25)*Calculateur!HC178*Calculateur!HE178*VLOOKUP('Données projet'!$B$18,Paramètres!$A$1:$I$89,3,0)*0.475*44/12</f>
        <v>0.82151648289170132</v>
      </c>
      <c r="HI178" s="21">
        <f>EXP(-LN(2)/2)*HI177+(1-EXP(-LN(2)/2))/(LN(2)/2)*HC178*HF178*VLOOKUP('Données projet'!$B$18,Paramètres!$A$1:$I$89,3,0)*0.475*44/12</f>
        <v>5.6063296748062865E-23</v>
      </c>
      <c r="HJ178" s="22">
        <f t="shared" si="190"/>
        <v>22.205412357218069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267</v>
      </c>
      <c r="O179" s="13">
        <f>N179*VLOOKUP('Données projet'!$B$9,Paramètres!$A$1:$I$89,3,0)*VLOOKUP('Données projet'!$B$9,Paramètres!$A$1:$I$89,5,0)</f>
        <v>241.58159999999998</v>
      </c>
      <c r="P179" s="13">
        <f t="shared" si="141"/>
        <v>58.779689232021951</v>
      </c>
      <c r="Q179" s="20">
        <f t="shared" si="162"/>
        <v>523.12924541243819</v>
      </c>
      <c r="R179" s="59">
        <f t="shared" si="109"/>
        <v>816.46257874577145</v>
      </c>
      <c r="S179" s="59">
        <f ca="1">AVERAGE(OFFSET($R$3,0,0,'Données projet'!$E$9+1,1))-AVERAGE(OFFSET($H$3,0,0,'Données projet'!$E$9+1,1))</f>
        <v>364.3481978218424</v>
      </c>
      <c r="T179" s="59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22.583522862761807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22.583522862761807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636.99999999999977</v>
      </c>
      <c r="AJ179" s="13">
        <f>AI179*VLOOKUP('Données projet'!$B$10,Paramètres!$A$1:$I$89,3,0)*VLOOKUP('Données projet'!$B$10,Paramètres!$A$1:$I$89,5,0)</f>
        <v>356.08299999999991</v>
      </c>
      <c r="AK179" s="13">
        <f t="shared" si="164"/>
        <v>82.813805255716545</v>
      </c>
      <c r="AL179" s="20">
        <f t="shared" si="165"/>
        <v>764.41193582037283</v>
      </c>
      <c r="AM179" s="59">
        <f t="shared" si="113"/>
        <v>1057.7452691537062</v>
      </c>
      <c r="AN179" s="59">
        <f ca="1">AVERAGE(OFFSET($AM$3,0,0,'Données projet'!$E$10+1,1))-AVERAGE(OFFSET($H$3,0,0,'Données projet'!$E$10+1,1))</f>
        <v>443.34220761968419</v>
      </c>
      <c r="AO179" s="59">
        <f t="shared" si="144"/>
        <v>546.58234447298014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9.8249702208311707</v>
      </c>
      <c r="AV179" s="21">
        <f>EXP(-LN(2)/25)*AV178+(1-EXP(-LN(2)/25))/(LN(2)/25)*Calculateur!AQ179*Calculateur!AS179*VLOOKUP('Données projet'!$B$10,Paramètres!$A$1:$I$89,3,0)*0.475*44/12</f>
        <v>0.38297293297259333</v>
      </c>
      <c r="AW179" s="21">
        <f>EXP(-LN(2)/2)*AW178+(1-EXP(-LN(2)/2))/(LN(2)/2)*AQ179*AT179*VLOOKUP('Données projet'!$B$10,Paramètres!$A$1:$I$89,3,0)*0.475*44/12</f>
        <v>6.3970012309091844E-22</v>
      </c>
      <c r="AX179" s="21">
        <f t="shared" si="166"/>
        <v>10.207943153803765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403.99999999999989</v>
      </c>
      <c r="BE179" s="13">
        <f>BD179*VLOOKUP('Données projet'!$B$11,Paramètres!$A$1:$I$89,3,0)*VLOOKUP('Données projet'!$B$11,Paramètres!$A$1:$I$89,5,0)</f>
        <v>346.63199999999995</v>
      </c>
      <c r="BF179" s="13">
        <f t="shared" si="167"/>
        <v>80.868615263336864</v>
      </c>
      <c r="BG179" s="20">
        <f t="shared" si="168"/>
        <v>744.56357158364483</v>
      </c>
      <c r="BH179" s="59">
        <f t="shared" si="116"/>
        <v>1037.8969049169782</v>
      </c>
      <c r="BI179" s="59">
        <f ca="1">AVERAGE(OFFSET($BH$3,0,0,'Données projet'!$E$11+1,1))-AVERAGE(OFFSET($H$3,0,0,'Données projet'!$E$11+1,1))</f>
        <v>447.15627913956871</v>
      </c>
      <c r="BJ179" s="59">
        <f t="shared" si="146"/>
        <v>256.77417912163997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32.973089010262122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32.973089010262122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245.99999999999994</v>
      </c>
      <c r="BZ179" s="13">
        <f>BY179*VLOOKUP('Données projet'!$B$12,Paramètres!$A$1:$I$89,3,0)*VLOOKUP('Données projet'!$B$12,Paramètres!$A$1:$I$89,5,0)</f>
        <v>234.09359999999998</v>
      </c>
      <c r="CA179" s="13">
        <f t="shared" si="170"/>
        <v>57.166902703920208</v>
      </c>
      <c r="CB179" s="20">
        <f t="shared" si="171"/>
        <v>507.27870887599425</v>
      </c>
      <c r="CC179" s="59">
        <f t="shared" si="119"/>
        <v>800.61204220932757</v>
      </c>
      <c r="CD179" s="59">
        <f ca="1">AVERAGE(OFFSET($CC$3,0,0,'Données projet'!$E$12+1,1))-AVERAGE(OFFSET($H$3,0,0,'Données projet'!$E$12+1,1))</f>
        <v>448.94764480536713</v>
      </c>
      <c r="CE179" s="59">
        <f t="shared" si="148"/>
        <v>469.26760321719695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23.298185491155433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23.298185491155433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187.80389738728508</v>
      </c>
      <c r="CZ179" s="59">
        <f t="shared" si="150"/>
        <v>439.28159165815265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6.8545115769181182</v>
      </c>
      <c r="DG179" s="21">
        <f>EXP(-LN(2)/25)*DG178+(1-EXP(-LN(2)/25))/(LN(2)/25)*Calculateur!DB179*Calculateur!DD179*VLOOKUP('Données projet'!$B$13,Paramètres!$A$1:$I$89,3,0)*0.475*44/12</f>
        <v>0.25099348584243669</v>
      </c>
      <c r="DH179" s="21">
        <f>EXP(-LN(2)/2)*DH178+(1-EXP(-LN(2)/2))/(LN(2)/2)*DB179*DE179*VLOOKUP('Données projet'!$B$13,Paramètres!$A$1:$I$89,3,0)*0.475*44/12</f>
        <v>4.7605375573512017E-24</v>
      </c>
      <c r="DI179" s="22">
        <f t="shared" si="175"/>
        <v>7.1055050627605549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255.00000000000006</v>
      </c>
      <c r="DP179" s="17">
        <f>DO179*VLOOKUP('Données projet'!$B$14,Paramètres!$A$1:$I$89,3,0)*VLOOKUP('Données projet'!$B$14,Paramètres!$A$1:$I$89,5,0)</f>
        <v>186.96600000000004</v>
      </c>
      <c r="DQ179" s="13">
        <f t="shared" si="176"/>
        <v>46.868551400324648</v>
      </c>
      <c r="DR179" s="20">
        <f t="shared" si="177"/>
        <v>407.26184368889881</v>
      </c>
      <c r="DS179" s="59">
        <f t="shared" si="125"/>
        <v>700.59517702223206</v>
      </c>
      <c r="DT179" s="59">
        <f ca="1">AVERAGE(OFFSET($DS$3,0,0,'Données projet'!$E$14+1,1))-AVERAGE(OFFSET($H$3,0,0,'Données projet'!$E$14+1,1))</f>
        <v>239.25212250019609</v>
      </c>
      <c r="DU179" s="59">
        <f t="shared" si="152"/>
        <v>213.58492101729695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689</v>
      </c>
      <c r="EK179" s="17">
        <f>EJ179*VLOOKUP('Données projet'!$B$15,Paramètres!$A$1:$I$89,3,0)*VLOOKUP('Données projet'!$B$15,Paramètres!$A$1:$I$89,5,0)</f>
        <v>412.02199999999999</v>
      </c>
      <c r="EL179" s="13">
        <f t="shared" si="179"/>
        <v>94.209724877926391</v>
      </c>
      <c r="EM179" s="20">
        <f t="shared" si="180"/>
        <v>881.686920829055</v>
      </c>
      <c r="EN179" s="59">
        <f t="shared" si="128"/>
        <v>1175.0202541623883</v>
      </c>
      <c r="EO179" s="59">
        <f ca="1">AVERAGE(OFFSET($EN$3,0,0,'Données projet'!$E$15+1,1))-AVERAGE(OFFSET($H$3,0,0,'Données projet'!$E$15+1,1))</f>
        <v>504.81063008331739</v>
      </c>
      <c r="EP179" s="59">
        <f t="shared" si="154"/>
        <v>441.82647565372287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14.620880798721386</v>
      </c>
      <c r="EW179" s="21">
        <f>EXP(-LN(2)/25)*EW178+(1-EXP(-LN(2)/25))/(LN(2)/25)*Calculateur!ER179*Calculateur!ET179*VLOOKUP('Données projet'!$B$15,Paramètres!$A$1:$I$89,3,0)*0.475*44/12</f>
        <v>1.0278908286304085</v>
      </c>
      <c r="EX179" s="21">
        <f>EXP(-LN(2)/2)*EX178+(1-EXP(-LN(2)/2))/(LN(2)/2)*ER179*EU179*VLOOKUP('Données projet'!$B$15,Paramètres!$A$1:$I$89,3,0)*0.475*44/12</f>
        <v>5.5443432287703444E-24</v>
      </c>
      <c r="EY179" s="22">
        <f t="shared" si="181"/>
        <v>15.648771627351794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541.99999999999989</v>
      </c>
      <c r="FF179" s="17">
        <f>FE179*VLOOKUP('Données projet'!$B$16,Paramètres!$A$1:$I$89,3,0)*VLOOKUP('Données projet'!$B$16,Paramètres!$A$1:$I$89,5,0)</f>
        <v>310.02399999999994</v>
      </c>
      <c r="FG179" s="13">
        <f t="shared" si="182"/>
        <v>73.27384230442388</v>
      </c>
      <c r="FH179" s="20">
        <f t="shared" si="183"/>
        <v>667.57707534687154</v>
      </c>
      <c r="FI179" s="59">
        <f t="shared" si="131"/>
        <v>960.91040868020491</v>
      </c>
      <c r="FJ179" s="59">
        <f ca="1">AVERAGE(OFFSET($FI$3,0,0,'Données projet'!$E$16+1,1))-AVERAGE(OFFSET($H$3,0,0,'Données projet'!$E$16+1,1))</f>
        <v>393.41577134252316</v>
      </c>
      <c r="FK179" s="59">
        <f t="shared" si="156"/>
        <v>255.54039659391475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17.120388903983056</v>
      </c>
      <c r="FR179" s="21">
        <f>EXP(-LN(2)/25)*FR178+(1-EXP(-LN(2)/25))/(LN(2)/25)*Calculateur!FM179*Calculateur!FO179*VLOOKUP('Données projet'!$B$16,Paramètres!$A$1:$I$89,3,0)*0.475*44/12</f>
        <v>0.46647364172031386</v>
      </c>
      <c r="FS179" s="21">
        <f>EXP(-LN(2)/2)*FS178+(1-EXP(-LN(2)/2))/(LN(2)/2)*FM179*FP179*VLOOKUP('Données projet'!$B$16,Paramètres!$A$1:$I$89,3,0)*0.475*44/12</f>
        <v>3.8571311973628158E-23</v>
      </c>
      <c r="FT179" s="22">
        <f t="shared" si="184"/>
        <v>17.586862545703369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853.00000000000011</v>
      </c>
      <c r="GA179" s="17">
        <f>FZ179*VLOOKUP('Données projet'!$B$17,Paramètres!$A$1:$I$89,3,0)*VLOOKUP('Données projet'!$B$17,Paramètres!$A$1:$I$89,5,0)</f>
        <v>399.20400000000006</v>
      </c>
      <c r="GB179" s="13">
        <f t="shared" si="185"/>
        <v>91.615269732888521</v>
      </c>
      <c r="GC179" s="20">
        <f t="shared" si="186"/>
        <v>854.8435614514475</v>
      </c>
      <c r="GD179" s="59">
        <f t="shared" si="134"/>
        <v>1148.1768947847809</v>
      </c>
      <c r="GE179" s="59">
        <f ca="1">AVERAGE(OFFSET($GD$3,0,0,'Données projet'!$E$17+1,1))-AVERAGE(OFFSET($H$3,0,0,'Données projet'!$E$17+1,1))</f>
        <v>488.67934252295686</v>
      </c>
      <c r="GF179" s="59">
        <f t="shared" si="158"/>
        <v>424.50324471331095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20.704156851542134</v>
      </c>
      <c r="GM179" s="21">
        <f>EXP(-LN(2)/25)*GM178+(1-EXP(-LN(2)/25))/(LN(2)/25)*Calculateur!GH179*Calculateur!GJ179*VLOOKUP('Données projet'!$B$17,Paramètres!$A$1:$I$89,3,0)*0.475*44/12</f>
        <v>0.85520167648724243</v>
      </c>
      <c r="GN179" s="21">
        <f>EXP(-LN(2)/2)*GN178+(1-EXP(-LN(2)/2))/(LN(2)/2)*GH179*GK179*VLOOKUP('Données projet'!$B$17,Paramètres!$A$1:$I$89,3,0)*0.475*44/12</f>
        <v>8.5908831213989963E-23</v>
      </c>
      <c r="GO179" s="21">
        <f t="shared" si="187"/>
        <v>21.559358528029378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789</v>
      </c>
      <c r="GV179" s="17">
        <f>GU179*VLOOKUP('Données projet'!$B$18,Paramètres!$A$1:$I$89,3,0)*VLOOKUP('Données projet'!$B$18,Paramètres!$A$1:$I$89,5,0)</f>
        <v>379.50900000000001</v>
      </c>
      <c r="GW179" s="13">
        <f t="shared" si="188"/>
        <v>87.609801106074272</v>
      </c>
      <c r="GX179" s="20">
        <f t="shared" si="189"/>
        <v>813.56524525974601</v>
      </c>
      <c r="GY179" s="59">
        <f t="shared" si="137"/>
        <v>1106.8985785930793</v>
      </c>
      <c r="GZ179" s="59">
        <f ca="1">AVERAGE(OFFSET($GY$3,0,0,'Données projet'!$E$18+1,1))-AVERAGE(OFFSET($H$3,0,0,'Données projet'!$E$18+1,1))</f>
        <v>458.80976193248841</v>
      </c>
      <c r="HA179" s="59">
        <f t="shared" si="160"/>
        <v>396.07405370178759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20.964570719119433</v>
      </c>
      <c r="HH179" s="21">
        <f>EXP(-LN(2)/25)*HH178+(1-EXP(-LN(2)/25))/(LN(2)/25)*Calculateur!HC179*Calculateur!HE179*VLOOKUP('Données projet'!$B$18,Paramètres!$A$1:$I$89,3,0)*0.475*44/12</f>
        <v>0.79905207146535351</v>
      </c>
      <c r="HI179" s="21">
        <f>EXP(-LN(2)/2)*HI178+(1-EXP(-LN(2)/2))/(LN(2)/2)*HC179*HF179*VLOOKUP('Données projet'!$B$18,Paramètres!$A$1:$I$89,3,0)*0.475*44/12</f>
        <v>3.964273730622897E-23</v>
      </c>
      <c r="HJ179" s="22">
        <f t="shared" si="190"/>
        <v>21.763622790584787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267</v>
      </c>
      <c r="O180" s="13">
        <f>N180*VLOOKUP('Données projet'!$B$9,Paramètres!$A$1:$I$89,3,0)*VLOOKUP('Données projet'!$B$9,Paramètres!$A$1:$I$89,5,0)</f>
        <v>241.58159999999998</v>
      </c>
      <c r="P180" s="13">
        <f t="shared" si="141"/>
        <v>58.779689232021951</v>
      </c>
      <c r="Q180" s="20">
        <f t="shared" si="162"/>
        <v>523.12924541243819</v>
      </c>
      <c r="R180" s="59">
        <f t="shared" si="109"/>
        <v>816.46257874577145</v>
      </c>
      <c r="S180" s="59">
        <f ca="1">AVERAGE(OFFSET($R$3,0,0,'Données projet'!$E$9+1,1))-AVERAGE(OFFSET($H$3,0,0,'Données projet'!$E$9+1,1))</f>
        <v>364.3481978218424</v>
      </c>
      <c r="T180" s="59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22.140673754011868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22.140673754011868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636.99999999999977</v>
      </c>
      <c r="AJ180" s="13">
        <f>AI180*VLOOKUP('Données projet'!$B$10,Paramètres!$A$1:$I$89,3,0)*VLOOKUP('Données projet'!$B$10,Paramètres!$A$1:$I$89,5,0)</f>
        <v>356.08299999999991</v>
      </c>
      <c r="AK180" s="13">
        <f t="shared" si="164"/>
        <v>82.813805255716545</v>
      </c>
      <c r="AL180" s="20">
        <f t="shared" si="165"/>
        <v>764.41193582037283</v>
      </c>
      <c r="AM180" s="59">
        <f t="shared" si="113"/>
        <v>1057.7452691537062</v>
      </c>
      <c r="AN180" s="59">
        <f ca="1">AVERAGE(OFFSET($AM$3,0,0,'Données projet'!$E$10+1,1))-AVERAGE(OFFSET($H$3,0,0,'Données projet'!$E$10+1,1))</f>
        <v>443.34220761968419</v>
      </c>
      <c r="AO180" s="59">
        <f t="shared" si="144"/>
        <v>546.58234447298014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9.6323085474407826</v>
      </c>
      <c r="AV180" s="21">
        <f>EXP(-LN(2)/25)*AV179+(1-EXP(-LN(2)/25))/(LN(2)/25)*Calculateur!AQ180*Calculateur!AS180*VLOOKUP('Données projet'!$B$10,Paramètres!$A$1:$I$89,3,0)*0.475*44/12</f>
        <v>0.37250051798078654</v>
      </c>
      <c r="AW180" s="21">
        <f>EXP(-LN(2)/2)*AW179+(1-EXP(-LN(2)/2))/(LN(2)/2)*AQ180*AT180*VLOOKUP('Données projet'!$B$10,Paramètres!$A$1:$I$89,3,0)*0.475*44/12</f>
        <v>4.5233629496345758E-22</v>
      </c>
      <c r="AX180" s="21">
        <f t="shared" si="166"/>
        <v>10.004809065421568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403.99999999999989</v>
      </c>
      <c r="BE180" s="13">
        <f>BD180*VLOOKUP('Données projet'!$B$11,Paramètres!$A$1:$I$89,3,0)*VLOOKUP('Données projet'!$B$11,Paramètres!$A$1:$I$89,5,0)</f>
        <v>346.63199999999995</v>
      </c>
      <c r="BF180" s="13">
        <f t="shared" si="167"/>
        <v>80.868615263336864</v>
      </c>
      <c r="BG180" s="20">
        <f t="shared" si="168"/>
        <v>744.56357158364483</v>
      </c>
      <c r="BH180" s="59">
        <f t="shared" si="116"/>
        <v>1037.8969049169782</v>
      </c>
      <c r="BI180" s="59">
        <f ca="1">AVERAGE(OFFSET($BH$3,0,0,'Données projet'!$E$11+1,1))-AVERAGE(OFFSET($H$3,0,0,'Données projet'!$E$11+1,1))</f>
        <v>447.15627913956871</v>
      </c>
      <c r="BJ180" s="59">
        <f t="shared" si="146"/>
        <v>256.77417912163997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32.32650684636932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32.32650684636932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245.99999999999994</v>
      </c>
      <c r="BZ180" s="13">
        <f>BY180*VLOOKUP('Données projet'!$B$12,Paramètres!$A$1:$I$89,3,0)*VLOOKUP('Données projet'!$B$12,Paramètres!$A$1:$I$89,5,0)</f>
        <v>234.09359999999998</v>
      </c>
      <c r="CA180" s="13">
        <f t="shared" si="170"/>
        <v>57.166902703920208</v>
      </c>
      <c r="CB180" s="20">
        <f t="shared" si="171"/>
        <v>507.27870887599425</v>
      </c>
      <c r="CC180" s="59">
        <f t="shared" si="119"/>
        <v>800.61204220932757</v>
      </c>
      <c r="CD180" s="59">
        <f ca="1">AVERAGE(OFFSET($CC$3,0,0,'Données projet'!$E$12+1,1))-AVERAGE(OFFSET($H$3,0,0,'Données projet'!$E$12+1,1))</f>
        <v>448.94764480536713</v>
      </c>
      <c r="CE180" s="59">
        <f t="shared" si="148"/>
        <v>469.26760321719695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22.841322284163855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22.841322284163855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187.80389738728508</v>
      </c>
      <c r="CZ180" s="59">
        <f t="shared" si="150"/>
        <v>439.28159165815265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6.7200987857339927</v>
      </c>
      <c r="DG180" s="21">
        <f>EXP(-LN(2)/25)*DG179+(1-EXP(-LN(2)/25))/(LN(2)/25)*Calculateur!DB180*Calculateur!DD180*VLOOKUP('Données projet'!$B$13,Paramètres!$A$1:$I$89,3,0)*0.475*44/12</f>
        <v>0.24413005577290151</v>
      </c>
      <c r="DH180" s="21">
        <f>EXP(-LN(2)/2)*DH179+(1-EXP(-LN(2)/2))/(LN(2)/2)*DB180*DE180*VLOOKUP('Données projet'!$B$13,Paramètres!$A$1:$I$89,3,0)*0.475*44/12</f>
        <v>3.3662083888962776E-24</v>
      </c>
      <c r="DI180" s="22">
        <f t="shared" si="175"/>
        <v>6.9642288415068938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255.00000000000006</v>
      </c>
      <c r="DP180" s="17">
        <f>DO180*VLOOKUP('Données projet'!$B$14,Paramètres!$A$1:$I$89,3,0)*VLOOKUP('Données projet'!$B$14,Paramètres!$A$1:$I$89,5,0)</f>
        <v>186.96600000000004</v>
      </c>
      <c r="DQ180" s="13">
        <f t="shared" si="176"/>
        <v>46.868551400324648</v>
      </c>
      <c r="DR180" s="20">
        <f t="shared" si="177"/>
        <v>407.26184368889881</v>
      </c>
      <c r="DS180" s="59">
        <f t="shared" si="125"/>
        <v>700.59517702223206</v>
      </c>
      <c r="DT180" s="59">
        <f ca="1">AVERAGE(OFFSET($DS$3,0,0,'Données projet'!$E$14+1,1))-AVERAGE(OFFSET($H$3,0,0,'Données projet'!$E$14+1,1))</f>
        <v>239.25212250019609</v>
      </c>
      <c r="DU180" s="59">
        <f t="shared" si="152"/>
        <v>213.58492101729695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689</v>
      </c>
      <c r="EK180" s="17">
        <f>EJ180*VLOOKUP('Données projet'!$B$15,Paramètres!$A$1:$I$89,3,0)*VLOOKUP('Données projet'!$B$15,Paramètres!$A$1:$I$89,5,0)</f>
        <v>412.02199999999999</v>
      </c>
      <c r="EL180" s="13">
        <f t="shared" si="179"/>
        <v>94.209724877926391</v>
      </c>
      <c r="EM180" s="20">
        <f t="shared" si="180"/>
        <v>881.686920829055</v>
      </c>
      <c r="EN180" s="59">
        <f t="shared" si="128"/>
        <v>1175.0202541623883</v>
      </c>
      <c r="EO180" s="59">
        <f ca="1">AVERAGE(OFFSET($EN$3,0,0,'Données projet'!$E$15+1,1))-AVERAGE(OFFSET($H$3,0,0,'Données projet'!$E$15+1,1))</f>
        <v>504.81063008331739</v>
      </c>
      <c r="EP180" s="59">
        <f t="shared" si="154"/>
        <v>441.82647565372287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14.33417424411518</v>
      </c>
      <c r="EW180" s="21">
        <f>EXP(-LN(2)/25)*EW179+(1-EXP(-LN(2)/25))/(LN(2)/25)*Calculateur!ER180*Calculateur!ET180*VLOOKUP('Données projet'!$B$15,Paramètres!$A$1:$I$89,3,0)*0.475*44/12</f>
        <v>0.99978309986708058</v>
      </c>
      <c r="EX180" s="21">
        <f>EXP(-LN(2)/2)*EX179+(1-EXP(-LN(2)/2))/(LN(2)/2)*ER180*EU180*VLOOKUP('Données projet'!$B$15,Paramètres!$A$1:$I$89,3,0)*0.475*44/12</f>
        <v>3.9204426942892283E-24</v>
      </c>
      <c r="EY180" s="22">
        <f t="shared" si="181"/>
        <v>15.333957343982261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541.99999999999989</v>
      </c>
      <c r="FF180" s="17">
        <f>FE180*VLOOKUP('Données projet'!$B$16,Paramètres!$A$1:$I$89,3,0)*VLOOKUP('Données projet'!$B$16,Paramètres!$A$1:$I$89,5,0)</f>
        <v>310.02399999999994</v>
      </c>
      <c r="FG180" s="13">
        <f t="shared" si="182"/>
        <v>73.27384230442388</v>
      </c>
      <c r="FH180" s="20">
        <f t="shared" si="183"/>
        <v>667.57707534687154</v>
      </c>
      <c r="FI180" s="59">
        <f t="shared" si="131"/>
        <v>960.91040868020491</v>
      </c>
      <c r="FJ180" s="59">
        <f ca="1">AVERAGE(OFFSET($FI$3,0,0,'Données projet'!$E$16+1,1))-AVERAGE(OFFSET($H$3,0,0,'Données projet'!$E$16+1,1))</f>
        <v>393.41577134252316</v>
      </c>
      <c r="FK180" s="59">
        <f t="shared" si="156"/>
        <v>255.54039659391475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16.784668519982077</v>
      </c>
      <c r="FR180" s="21">
        <f>EXP(-LN(2)/25)*FR179+(1-EXP(-LN(2)/25))/(LN(2)/25)*Calculateur!FM180*Calculateur!FO180*VLOOKUP('Données projet'!$B$16,Paramètres!$A$1:$I$89,3,0)*0.475*44/12</f>
        <v>0.45371789545668922</v>
      </c>
      <c r="FS180" s="21">
        <f>EXP(-LN(2)/2)*FS179+(1-EXP(-LN(2)/2))/(LN(2)/2)*FM180*FP180*VLOOKUP('Données projet'!$B$16,Paramètres!$A$1:$I$89,3,0)*0.475*44/12</f>
        <v>2.7274036255814346E-23</v>
      </c>
      <c r="FT180" s="22">
        <f t="shared" si="184"/>
        <v>17.238386415438764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853.00000000000011</v>
      </c>
      <c r="GA180" s="17">
        <f>FZ180*VLOOKUP('Données projet'!$B$17,Paramètres!$A$1:$I$89,3,0)*VLOOKUP('Données projet'!$B$17,Paramètres!$A$1:$I$89,5,0)</f>
        <v>399.20400000000006</v>
      </c>
      <c r="GB180" s="13">
        <f t="shared" si="185"/>
        <v>91.615269732888521</v>
      </c>
      <c r="GC180" s="20">
        <f t="shared" si="186"/>
        <v>854.8435614514475</v>
      </c>
      <c r="GD180" s="59">
        <f t="shared" si="134"/>
        <v>1148.1768947847809</v>
      </c>
      <c r="GE180" s="59">
        <f ca="1">AVERAGE(OFFSET($GD$3,0,0,'Données projet'!$E$17+1,1))-AVERAGE(OFFSET($H$3,0,0,'Données projet'!$E$17+1,1))</f>
        <v>488.67934252295686</v>
      </c>
      <c r="GF180" s="59">
        <f t="shared" si="158"/>
        <v>424.50324471331095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20.298160963972133</v>
      </c>
      <c r="GM180" s="21">
        <f>EXP(-LN(2)/25)*GM179+(1-EXP(-LN(2)/25))/(LN(2)/25)*Calculateur!GH180*Calculateur!GJ180*VLOOKUP('Données projet'!$B$17,Paramètres!$A$1:$I$89,3,0)*0.475*44/12</f>
        <v>0.83181614167059725</v>
      </c>
      <c r="GN180" s="21">
        <f>EXP(-LN(2)/2)*GN179+(1-EXP(-LN(2)/2))/(LN(2)/2)*GH180*GK180*VLOOKUP('Données projet'!$B$17,Paramètres!$A$1:$I$89,3,0)*0.475*44/12</f>
        <v>6.0746717115222843E-23</v>
      </c>
      <c r="GO180" s="21">
        <f t="shared" si="187"/>
        <v>21.12997710564273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789</v>
      </c>
      <c r="GV180" s="17">
        <f>GU180*VLOOKUP('Données projet'!$B$18,Paramètres!$A$1:$I$89,3,0)*VLOOKUP('Données projet'!$B$18,Paramètres!$A$1:$I$89,5,0)</f>
        <v>379.50900000000001</v>
      </c>
      <c r="GW180" s="13">
        <f t="shared" si="188"/>
        <v>87.609801106074272</v>
      </c>
      <c r="GX180" s="20">
        <f t="shared" si="189"/>
        <v>813.56524525974601</v>
      </c>
      <c r="GY180" s="59">
        <f t="shared" si="137"/>
        <v>1106.8985785930793</v>
      </c>
      <c r="GZ180" s="59">
        <f ca="1">AVERAGE(OFFSET($GY$3,0,0,'Données projet'!$E$18+1,1))-AVERAGE(OFFSET($H$3,0,0,'Données projet'!$E$18+1,1))</f>
        <v>458.80976193248841</v>
      </c>
      <c r="HA180" s="59">
        <f t="shared" si="160"/>
        <v>396.07405370178759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20.553468274443016</v>
      </c>
      <c r="HH180" s="21">
        <f>EXP(-LN(2)/25)*HH179+(1-EXP(-LN(2)/25))/(LN(2)/25)*Calculateur!HC180*Calculateur!HE180*VLOOKUP('Données projet'!$B$18,Paramètres!$A$1:$I$89,3,0)*0.475*44/12</f>
        <v>0.7772019505508112</v>
      </c>
      <c r="HI180" s="21">
        <f>EXP(-LN(2)/2)*HI179+(1-EXP(-LN(2)/2))/(LN(2)/2)*HC180*HF180*VLOOKUP('Données projet'!$B$18,Paramètres!$A$1:$I$89,3,0)*0.475*44/12</f>
        <v>2.8031648374031433E-23</v>
      </c>
      <c r="HJ180" s="22">
        <f t="shared" si="190"/>
        <v>21.330670224993828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267</v>
      </c>
      <c r="O181" s="13">
        <f>N181*VLOOKUP('Données projet'!$B$9,Paramètres!$A$1:$I$89,3,0)*VLOOKUP('Données projet'!$B$9,Paramètres!$A$1:$I$89,5,0)</f>
        <v>241.58159999999998</v>
      </c>
      <c r="P181" s="13">
        <f t="shared" si="141"/>
        <v>58.779689232021951</v>
      </c>
      <c r="Q181" s="20">
        <f t="shared" si="162"/>
        <v>523.12924541243819</v>
      </c>
      <c r="R181" s="59">
        <f t="shared" si="109"/>
        <v>816.46257874577145</v>
      </c>
      <c r="S181" s="59">
        <f ca="1">AVERAGE(OFFSET($R$3,0,0,'Données projet'!$E$9+1,1))-AVERAGE(OFFSET($H$3,0,0,'Données projet'!$E$9+1,1))</f>
        <v>364.3481978218424</v>
      </c>
      <c r="T181" s="59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21.70650864617323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21.70650864617323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636.99999999999977</v>
      </c>
      <c r="AJ181" s="13">
        <f>AI181*VLOOKUP('Données projet'!$B$10,Paramètres!$A$1:$I$89,3,0)*VLOOKUP('Données projet'!$B$10,Paramètres!$A$1:$I$89,5,0)</f>
        <v>356.08299999999991</v>
      </c>
      <c r="AK181" s="13">
        <f t="shared" si="164"/>
        <v>82.813805255716545</v>
      </c>
      <c r="AL181" s="20">
        <f t="shared" si="165"/>
        <v>764.41193582037283</v>
      </c>
      <c r="AM181" s="59">
        <f t="shared" si="113"/>
        <v>1057.7452691537062</v>
      </c>
      <c r="AN181" s="59">
        <f ca="1">AVERAGE(OFFSET($AM$3,0,0,'Données projet'!$E$10+1,1))-AVERAGE(OFFSET($H$3,0,0,'Données projet'!$E$10+1,1))</f>
        <v>443.34220761968419</v>
      </c>
      <c r="AO181" s="59">
        <f t="shared" si="144"/>
        <v>546.58234447298014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9.4434248519535622</v>
      </c>
      <c r="AV181" s="21">
        <f>EXP(-LN(2)/25)*AV180+(1-EXP(-LN(2)/25))/(LN(2)/25)*Calculateur!AQ181*Calculateur!AS181*VLOOKUP('Données projet'!$B$10,Paramètres!$A$1:$I$89,3,0)*0.475*44/12</f>
        <v>0.36231447172765108</v>
      </c>
      <c r="AW181" s="21">
        <f>EXP(-LN(2)/2)*AW180+(1-EXP(-LN(2)/2))/(LN(2)/2)*AQ181*AT181*VLOOKUP('Données projet'!$B$10,Paramètres!$A$1:$I$89,3,0)*0.475*44/12</f>
        <v>3.1985006154545922E-22</v>
      </c>
      <c r="AX181" s="21">
        <f t="shared" si="166"/>
        <v>9.8057393236812125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403.99999999999989</v>
      </c>
      <c r="BE181" s="13">
        <f>BD181*VLOOKUP('Données projet'!$B$11,Paramètres!$A$1:$I$89,3,0)*VLOOKUP('Données projet'!$B$11,Paramètres!$A$1:$I$89,5,0)</f>
        <v>346.63199999999995</v>
      </c>
      <c r="BF181" s="13">
        <f t="shared" si="167"/>
        <v>80.868615263336864</v>
      </c>
      <c r="BG181" s="20">
        <f t="shared" si="168"/>
        <v>744.56357158364483</v>
      </c>
      <c r="BH181" s="59">
        <f t="shared" si="116"/>
        <v>1037.8969049169782</v>
      </c>
      <c r="BI181" s="59">
        <f ca="1">AVERAGE(OFFSET($BH$3,0,0,'Données projet'!$E$11+1,1))-AVERAGE(OFFSET($H$3,0,0,'Données projet'!$E$11+1,1))</f>
        <v>447.15627913956871</v>
      </c>
      <c r="BJ181" s="59">
        <f t="shared" si="146"/>
        <v>256.77417912163997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31.69260376433428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31.69260376433428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245.99999999999994</v>
      </c>
      <c r="BZ181" s="13">
        <f>BY181*VLOOKUP('Données projet'!$B$12,Paramètres!$A$1:$I$89,3,0)*VLOOKUP('Données projet'!$B$12,Paramètres!$A$1:$I$89,5,0)</f>
        <v>234.09359999999998</v>
      </c>
      <c r="CA181" s="13">
        <f t="shared" si="170"/>
        <v>57.166902703920208</v>
      </c>
      <c r="CB181" s="20">
        <f t="shared" si="171"/>
        <v>507.27870887599425</v>
      </c>
      <c r="CC181" s="59">
        <f t="shared" si="119"/>
        <v>800.61204220932757</v>
      </c>
      <c r="CD181" s="59">
        <f ca="1">AVERAGE(OFFSET($CC$3,0,0,'Données projet'!$E$12+1,1))-AVERAGE(OFFSET($H$3,0,0,'Données projet'!$E$12+1,1))</f>
        <v>448.94764480536713</v>
      </c>
      <c r="CE181" s="59">
        <f t="shared" si="148"/>
        <v>469.26760321719695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22.393417886002339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22.393417886002339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187.80389738728508</v>
      </c>
      <c r="CZ181" s="59">
        <f t="shared" si="150"/>
        <v>439.28159165815265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6.5883217474012801</v>
      </c>
      <c r="DG181" s="21">
        <f>EXP(-LN(2)/25)*DG180+(1-EXP(-LN(2)/25))/(LN(2)/25)*Calculateur!DB181*Calculateur!DD181*VLOOKUP('Données projet'!$B$13,Paramètres!$A$1:$I$89,3,0)*0.475*44/12</f>
        <v>0.23745430655954985</v>
      </c>
      <c r="DH181" s="21">
        <f>EXP(-LN(2)/2)*DH180+(1-EXP(-LN(2)/2))/(LN(2)/2)*DB181*DE181*VLOOKUP('Données projet'!$B$13,Paramètres!$A$1:$I$89,3,0)*0.475*44/12</f>
        <v>2.3802687786756008E-24</v>
      </c>
      <c r="DI181" s="22">
        <f t="shared" si="175"/>
        <v>6.8257760539608299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255.00000000000006</v>
      </c>
      <c r="DP181" s="17">
        <f>DO181*VLOOKUP('Données projet'!$B$14,Paramètres!$A$1:$I$89,3,0)*VLOOKUP('Données projet'!$B$14,Paramètres!$A$1:$I$89,5,0)</f>
        <v>186.96600000000004</v>
      </c>
      <c r="DQ181" s="13">
        <f t="shared" si="176"/>
        <v>46.868551400324648</v>
      </c>
      <c r="DR181" s="20">
        <f t="shared" si="177"/>
        <v>407.26184368889881</v>
      </c>
      <c r="DS181" s="59">
        <f t="shared" si="125"/>
        <v>700.59517702223206</v>
      </c>
      <c r="DT181" s="59">
        <f ca="1">AVERAGE(OFFSET($DS$3,0,0,'Données projet'!$E$14+1,1))-AVERAGE(OFFSET($H$3,0,0,'Données projet'!$E$14+1,1))</f>
        <v>239.25212250019609</v>
      </c>
      <c r="DU181" s="59">
        <f t="shared" si="152"/>
        <v>213.58492101729695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689</v>
      </c>
      <c r="EK181" s="17">
        <f>EJ181*VLOOKUP('Données projet'!$B$15,Paramètres!$A$1:$I$89,3,0)*VLOOKUP('Données projet'!$B$15,Paramètres!$A$1:$I$89,5,0)</f>
        <v>412.02199999999999</v>
      </c>
      <c r="EL181" s="13">
        <f t="shared" si="179"/>
        <v>94.209724877926391</v>
      </c>
      <c r="EM181" s="20">
        <f t="shared" si="180"/>
        <v>881.686920829055</v>
      </c>
      <c r="EN181" s="59">
        <f t="shared" si="128"/>
        <v>1175.0202541623883</v>
      </c>
      <c r="EO181" s="59">
        <f ca="1">AVERAGE(OFFSET($EN$3,0,0,'Données projet'!$E$15+1,1))-AVERAGE(OFFSET($H$3,0,0,'Données projet'!$E$15+1,1))</f>
        <v>504.81063008331739</v>
      </c>
      <c r="EP181" s="59">
        <f t="shared" si="154"/>
        <v>441.82647565372287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14.053089830171073</v>
      </c>
      <c r="EW181" s="21">
        <f>EXP(-LN(2)/25)*EW180+(1-EXP(-LN(2)/25))/(LN(2)/25)*Calculateur!ER181*Calculateur!ET181*VLOOKUP('Données projet'!$B$15,Paramètres!$A$1:$I$89,3,0)*0.475*44/12</f>
        <v>0.97244397842490704</v>
      </c>
      <c r="EX181" s="21">
        <f>EXP(-LN(2)/2)*EX180+(1-EXP(-LN(2)/2))/(LN(2)/2)*ER181*EU181*VLOOKUP('Données projet'!$B$15,Paramètres!$A$1:$I$89,3,0)*0.475*44/12</f>
        <v>2.7721716143851722E-24</v>
      </c>
      <c r="EY181" s="22">
        <f t="shared" si="181"/>
        <v>15.025533808595981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541.99999999999989</v>
      </c>
      <c r="FF181" s="17">
        <f>FE181*VLOOKUP('Données projet'!$B$16,Paramètres!$A$1:$I$89,3,0)*VLOOKUP('Données projet'!$B$16,Paramètres!$A$1:$I$89,5,0)</f>
        <v>310.02399999999994</v>
      </c>
      <c r="FG181" s="13">
        <f t="shared" si="182"/>
        <v>73.27384230442388</v>
      </c>
      <c r="FH181" s="20">
        <f t="shared" si="183"/>
        <v>667.57707534687154</v>
      </c>
      <c r="FI181" s="59">
        <f t="shared" si="131"/>
        <v>960.91040868020491</v>
      </c>
      <c r="FJ181" s="59">
        <f ca="1">AVERAGE(OFFSET($FI$3,0,0,'Données projet'!$E$16+1,1))-AVERAGE(OFFSET($H$3,0,0,'Données projet'!$E$16+1,1))</f>
        <v>393.41577134252316</v>
      </c>
      <c r="FK181" s="59">
        <f t="shared" si="156"/>
        <v>255.54039659391475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16.455531407942143</v>
      </c>
      <c r="FR181" s="21">
        <f>EXP(-LN(2)/25)*FR180+(1-EXP(-LN(2)/25))/(LN(2)/25)*Calculateur!FM181*Calculateur!FO181*VLOOKUP('Données projet'!$B$16,Paramètres!$A$1:$I$89,3,0)*0.475*44/12</f>
        <v>0.44131095574543894</v>
      </c>
      <c r="FS181" s="21">
        <f>EXP(-LN(2)/2)*FS180+(1-EXP(-LN(2)/2))/(LN(2)/2)*FM181*FP181*VLOOKUP('Données projet'!$B$16,Paramètres!$A$1:$I$89,3,0)*0.475*44/12</f>
        <v>1.9285655986814079E-23</v>
      </c>
      <c r="FT181" s="22">
        <f t="shared" si="184"/>
        <v>16.896842363687583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853.00000000000011</v>
      </c>
      <c r="GA181" s="17">
        <f>FZ181*VLOOKUP('Données projet'!$B$17,Paramètres!$A$1:$I$89,3,0)*VLOOKUP('Données projet'!$B$17,Paramètres!$A$1:$I$89,5,0)</f>
        <v>399.20400000000006</v>
      </c>
      <c r="GB181" s="13">
        <f t="shared" si="185"/>
        <v>91.615269732888521</v>
      </c>
      <c r="GC181" s="20">
        <f t="shared" si="186"/>
        <v>854.8435614514475</v>
      </c>
      <c r="GD181" s="59">
        <f t="shared" si="134"/>
        <v>1148.1768947847809</v>
      </c>
      <c r="GE181" s="59">
        <f ca="1">AVERAGE(OFFSET($GD$3,0,0,'Données projet'!$E$17+1,1))-AVERAGE(OFFSET($H$3,0,0,'Données projet'!$E$17+1,1))</f>
        <v>488.67934252295686</v>
      </c>
      <c r="GF181" s="59">
        <f t="shared" si="158"/>
        <v>424.50324471331095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19.90012640812434</v>
      </c>
      <c r="GM181" s="21">
        <f>EXP(-LN(2)/25)*GM180+(1-EXP(-LN(2)/25))/(LN(2)/25)*Calculateur!GH181*Calculateur!GJ181*VLOOKUP('Données projet'!$B$17,Paramètres!$A$1:$I$89,3,0)*0.475*44/12</f>
        <v>0.80907008553330506</v>
      </c>
      <c r="GN181" s="21">
        <f>EXP(-LN(2)/2)*GN180+(1-EXP(-LN(2)/2))/(LN(2)/2)*GH181*GK181*VLOOKUP('Données projet'!$B$17,Paramètres!$A$1:$I$89,3,0)*0.475*44/12</f>
        <v>4.2954415606994982E-23</v>
      </c>
      <c r="GO181" s="21">
        <f t="shared" si="187"/>
        <v>20.709196493657643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789</v>
      </c>
      <c r="GV181" s="17">
        <f>GU181*VLOOKUP('Données projet'!$B$18,Paramètres!$A$1:$I$89,3,0)*VLOOKUP('Données projet'!$B$18,Paramètres!$A$1:$I$89,5,0)</f>
        <v>379.50900000000001</v>
      </c>
      <c r="GW181" s="13">
        <f t="shared" si="188"/>
        <v>87.609801106074272</v>
      </c>
      <c r="GX181" s="20">
        <f t="shared" si="189"/>
        <v>813.56524525974601</v>
      </c>
      <c r="GY181" s="59">
        <f t="shared" si="137"/>
        <v>1106.8985785930793</v>
      </c>
      <c r="GZ181" s="59">
        <f ca="1">AVERAGE(OFFSET($GY$3,0,0,'Données projet'!$E$18+1,1))-AVERAGE(OFFSET($H$3,0,0,'Données projet'!$E$18+1,1))</f>
        <v>458.80976193248841</v>
      </c>
      <c r="HA181" s="59">
        <f t="shared" si="160"/>
        <v>396.07405370178759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20.15042729795897</v>
      </c>
      <c r="HH181" s="21">
        <f>EXP(-LN(2)/25)*HH180+(1-EXP(-LN(2)/25))/(LN(2)/25)*Calculateur!HC181*Calculateur!HE181*VLOOKUP('Données projet'!$B$18,Paramètres!$A$1:$I$89,3,0)*0.475*44/12</f>
        <v>0.75594932234172496</v>
      </c>
      <c r="HI181" s="21">
        <f>EXP(-LN(2)/2)*HI180+(1-EXP(-LN(2)/2))/(LN(2)/2)*HC181*HF181*VLOOKUP('Données projet'!$B$18,Paramètres!$A$1:$I$89,3,0)*0.475*44/12</f>
        <v>1.9821368653114485E-23</v>
      </c>
      <c r="HJ181" s="22">
        <f t="shared" si="190"/>
        <v>20.906376620300694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267</v>
      </c>
      <c r="O182" s="13">
        <f>N182*VLOOKUP('Données projet'!$B$9,Paramètres!$A$1:$I$89,3,0)*VLOOKUP('Données projet'!$B$9,Paramètres!$A$1:$I$89,5,0)</f>
        <v>241.58159999999998</v>
      </c>
      <c r="P182" s="13">
        <f t="shared" si="141"/>
        <v>58.779689232021951</v>
      </c>
      <c r="Q182" s="20">
        <f t="shared" si="162"/>
        <v>523.12924541243819</v>
      </c>
      <c r="R182" s="59">
        <f t="shared" si="109"/>
        <v>816.46257874577145</v>
      </c>
      <c r="S182" s="59">
        <f ca="1">AVERAGE(OFFSET($R$3,0,0,'Données projet'!$E$9+1,1))-AVERAGE(OFFSET($H$3,0,0,'Données projet'!$E$9+1,1))</f>
        <v>364.3481978218424</v>
      </c>
      <c r="T182" s="59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21.28085725128474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21.28085725128474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636.99999999999977</v>
      </c>
      <c r="AJ182" s="13">
        <f>AI182*VLOOKUP('Données projet'!$B$10,Paramètres!$A$1:$I$89,3,0)*VLOOKUP('Données projet'!$B$10,Paramètres!$A$1:$I$89,5,0)</f>
        <v>356.08299999999991</v>
      </c>
      <c r="AK182" s="13">
        <f t="shared" si="164"/>
        <v>82.813805255716545</v>
      </c>
      <c r="AL182" s="20">
        <f t="shared" si="165"/>
        <v>764.41193582037283</v>
      </c>
      <c r="AM182" s="59">
        <f t="shared" si="113"/>
        <v>1057.7452691537062</v>
      </c>
      <c r="AN182" s="59">
        <f ca="1">AVERAGE(OFFSET($AM$3,0,0,'Données projet'!$E$10+1,1))-AVERAGE(OFFSET($H$3,0,0,'Données projet'!$E$10+1,1))</f>
        <v>443.34220761968419</v>
      </c>
      <c r="AO182" s="59">
        <f t="shared" si="144"/>
        <v>546.58234447298014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9.258245050527167</v>
      </c>
      <c r="AV182" s="21">
        <f>EXP(-LN(2)/25)*AV181+(1-EXP(-LN(2)/25))/(LN(2)/25)*Calculateur!AQ182*Calculateur!AS182*VLOOKUP('Données projet'!$B$10,Paramètres!$A$1:$I$89,3,0)*0.475*44/12</f>
        <v>0.35240696344496847</v>
      </c>
      <c r="AW182" s="21">
        <f>EXP(-LN(2)/2)*AW181+(1-EXP(-LN(2)/2))/(LN(2)/2)*AQ182*AT182*VLOOKUP('Données projet'!$B$10,Paramètres!$A$1:$I$89,3,0)*0.475*44/12</f>
        <v>2.2616814748172879E-22</v>
      </c>
      <c r="AX182" s="21">
        <f t="shared" si="166"/>
        <v>9.6106520139721354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403.99999999999989</v>
      </c>
      <c r="BE182" s="13">
        <f>BD182*VLOOKUP('Données projet'!$B$11,Paramètres!$A$1:$I$89,3,0)*VLOOKUP('Données projet'!$B$11,Paramètres!$A$1:$I$89,5,0)</f>
        <v>346.63199999999995</v>
      </c>
      <c r="BF182" s="13">
        <f t="shared" si="167"/>
        <v>80.868615263336864</v>
      </c>
      <c r="BG182" s="20">
        <f t="shared" si="168"/>
        <v>744.56357158364483</v>
      </c>
      <c r="BH182" s="59">
        <f t="shared" si="116"/>
        <v>1037.8969049169782</v>
      </c>
      <c r="BI182" s="59">
        <f ca="1">AVERAGE(OFFSET($BH$3,0,0,'Données projet'!$E$11+1,1))-AVERAGE(OFFSET($H$3,0,0,'Données projet'!$E$11+1,1))</f>
        <v>447.15627913956871</v>
      </c>
      <c r="BJ182" s="59">
        <f t="shared" si="146"/>
        <v>256.77417912163997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31.071131135095243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31.071131135095243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245.99999999999994</v>
      </c>
      <c r="BZ182" s="13">
        <f>BY182*VLOOKUP('Données projet'!$B$12,Paramètres!$A$1:$I$89,3,0)*VLOOKUP('Données projet'!$B$12,Paramètres!$A$1:$I$89,5,0)</f>
        <v>234.09359999999998</v>
      </c>
      <c r="CA182" s="13">
        <f t="shared" si="170"/>
        <v>57.166902703920208</v>
      </c>
      <c r="CB182" s="20">
        <f t="shared" si="171"/>
        <v>507.27870887599425</v>
      </c>
      <c r="CC182" s="59">
        <f t="shared" si="119"/>
        <v>800.61204220932757</v>
      </c>
      <c r="CD182" s="59">
        <f ca="1">AVERAGE(OFFSET($CC$3,0,0,'Données projet'!$E$12+1,1))-AVERAGE(OFFSET($H$3,0,0,'Données projet'!$E$12+1,1))</f>
        <v>448.94764480536713</v>
      </c>
      <c r="CE182" s="59">
        <f t="shared" si="148"/>
        <v>469.26760321719695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21.954296619894066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21.954296619894066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187.80389738728508</v>
      </c>
      <c r="CZ182" s="59">
        <f t="shared" si="150"/>
        <v>439.28159165815265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6.4591287764142153</v>
      </c>
      <c r="DG182" s="21">
        <f>EXP(-LN(2)/25)*DG181+(1-EXP(-LN(2)/25))/(LN(2)/25)*Calculateur!DB182*Calculateur!DD182*VLOOKUP('Données projet'!$B$13,Paramètres!$A$1:$I$89,3,0)*0.475*44/12</f>
        <v>0.23096110605949968</v>
      </c>
      <c r="DH182" s="21">
        <f>EXP(-LN(2)/2)*DH181+(1-EXP(-LN(2)/2))/(LN(2)/2)*DB182*DE182*VLOOKUP('Données projet'!$B$13,Paramètres!$A$1:$I$89,3,0)*0.475*44/12</f>
        <v>1.6831041944481388E-24</v>
      </c>
      <c r="DI182" s="22">
        <f t="shared" si="175"/>
        <v>6.6900898824737149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255.00000000000006</v>
      </c>
      <c r="DP182" s="17">
        <f>DO182*VLOOKUP('Données projet'!$B$14,Paramètres!$A$1:$I$89,3,0)*VLOOKUP('Données projet'!$B$14,Paramètres!$A$1:$I$89,5,0)</f>
        <v>186.96600000000004</v>
      </c>
      <c r="DQ182" s="13">
        <f t="shared" si="176"/>
        <v>46.868551400324648</v>
      </c>
      <c r="DR182" s="20">
        <f t="shared" si="177"/>
        <v>407.26184368889881</v>
      </c>
      <c r="DS182" s="59">
        <f t="shared" si="125"/>
        <v>700.59517702223206</v>
      </c>
      <c r="DT182" s="59">
        <f ca="1">AVERAGE(OFFSET($DS$3,0,0,'Données projet'!$E$14+1,1))-AVERAGE(OFFSET($H$3,0,0,'Données projet'!$E$14+1,1))</f>
        <v>239.25212250019609</v>
      </c>
      <c r="DU182" s="59">
        <f t="shared" si="152"/>
        <v>213.58492101729695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689</v>
      </c>
      <c r="EK182" s="17">
        <f>EJ182*VLOOKUP('Données projet'!$B$15,Paramètres!$A$1:$I$89,3,0)*VLOOKUP('Données projet'!$B$15,Paramètres!$A$1:$I$89,5,0)</f>
        <v>412.02199999999999</v>
      </c>
      <c r="EL182" s="13">
        <f t="shared" si="179"/>
        <v>94.209724877926391</v>
      </c>
      <c r="EM182" s="20">
        <f t="shared" si="180"/>
        <v>881.686920829055</v>
      </c>
      <c r="EN182" s="59">
        <f t="shared" si="128"/>
        <v>1175.0202541623883</v>
      </c>
      <c r="EO182" s="59">
        <f ca="1">AVERAGE(OFFSET($EN$3,0,0,'Données projet'!$E$15+1,1))-AVERAGE(OFFSET($H$3,0,0,'Données projet'!$E$15+1,1))</f>
        <v>504.81063008331739</v>
      </c>
      <c r="EP182" s="59">
        <f t="shared" si="154"/>
        <v>441.82647565372287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13.777517310139846</v>
      </c>
      <c r="EW182" s="21">
        <f>EXP(-LN(2)/25)*EW181+(1-EXP(-LN(2)/25))/(LN(2)/25)*Calculateur!ER182*Calculateur!ET182*VLOOKUP('Données projet'!$B$15,Paramètres!$A$1:$I$89,3,0)*0.475*44/12</f>
        <v>0.94585244669627166</v>
      </c>
      <c r="EX182" s="21">
        <f>EXP(-LN(2)/2)*EX181+(1-EXP(-LN(2)/2))/(LN(2)/2)*ER182*EU182*VLOOKUP('Données projet'!$B$15,Paramètres!$A$1:$I$89,3,0)*0.475*44/12</f>
        <v>1.9602213471446141E-24</v>
      </c>
      <c r="EY182" s="22">
        <f t="shared" si="181"/>
        <v>14.723369756836117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541.99999999999989</v>
      </c>
      <c r="FF182" s="17">
        <f>FE182*VLOOKUP('Données projet'!$B$16,Paramètres!$A$1:$I$89,3,0)*VLOOKUP('Données projet'!$B$16,Paramètres!$A$1:$I$89,5,0)</f>
        <v>310.02399999999994</v>
      </c>
      <c r="FG182" s="13">
        <f t="shared" si="182"/>
        <v>73.27384230442388</v>
      </c>
      <c r="FH182" s="20">
        <f t="shared" si="183"/>
        <v>667.57707534687154</v>
      </c>
      <c r="FI182" s="59">
        <f t="shared" si="131"/>
        <v>960.91040868020491</v>
      </c>
      <c r="FJ182" s="59">
        <f ca="1">AVERAGE(OFFSET($FI$3,0,0,'Données projet'!$E$16+1,1))-AVERAGE(OFFSET($H$3,0,0,'Données projet'!$E$16+1,1))</f>
        <v>393.41577134252316</v>
      </c>
      <c r="FK182" s="59">
        <f t="shared" si="156"/>
        <v>255.54039659391475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16.132848473915498</v>
      </c>
      <c r="FR182" s="21">
        <f>EXP(-LN(2)/25)*FR181+(1-EXP(-LN(2)/25))/(LN(2)/25)*Calculateur!FM182*Calculateur!FO182*VLOOKUP('Données projet'!$B$16,Paramètres!$A$1:$I$89,3,0)*0.475*44/12</f>
        <v>0.42924328445304538</v>
      </c>
      <c r="FS182" s="21">
        <f>EXP(-LN(2)/2)*FS181+(1-EXP(-LN(2)/2))/(LN(2)/2)*FM182*FP182*VLOOKUP('Données projet'!$B$16,Paramètres!$A$1:$I$89,3,0)*0.475*44/12</f>
        <v>1.3637018127907173E-23</v>
      </c>
      <c r="FT182" s="22">
        <f t="shared" si="184"/>
        <v>16.562091758368542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853.00000000000011</v>
      </c>
      <c r="GA182" s="17">
        <f>FZ182*VLOOKUP('Données projet'!$B$17,Paramètres!$A$1:$I$89,3,0)*VLOOKUP('Données projet'!$B$17,Paramètres!$A$1:$I$89,5,0)</f>
        <v>399.20400000000006</v>
      </c>
      <c r="GB182" s="13">
        <f t="shared" si="185"/>
        <v>91.615269732888521</v>
      </c>
      <c r="GC182" s="20">
        <f t="shared" si="186"/>
        <v>854.8435614514475</v>
      </c>
      <c r="GD182" s="59">
        <f t="shared" si="134"/>
        <v>1148.1768947847809</v>
      </c>
      <c r="GE182" s="59">
        <f ca="1">AVERAGE(OFFSET($GD$3,0,0,'Données projet'!$E$17+1,1))-AVERAGE(OFFSET($H$3,0,0,'Données projet'!$E$17+1,1))</f>
        <v>488.67934252295686</v>
      </c>
      <c r="GF182" s="59">
        <f t="shared" si="158"/>
        <v>424.50324471331095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19.509897067139615</v>
      </c>
      <c r="GM182" s="21">
        <f>EXP(-LN(2)/25)*GM181+(1-EXP(-LN(2)/25))/(LN(2)/25)*Calculateur!GH182*Calculateur!GJ182*VLOOKUP('Données projet'!$B$17,Paramètres!$A$1:$I$89,3,0)*0.475*44/12</f>
        <v>0.78694602149725024</v>
      </c>
      <c r="GN182" s="21">
        <f>EXP(-LN(2)/2)*GN181+(1-EXP(-LN(2)/2))/(LN(2)/2)*GH182*GK182*VLOOKUP('Données projet'!$B$17,Paramètres!$A$1:$I$89,3,0)*0.475*44/12</f>
        <v>3.0373358557611422E-23</v>
      </c>
      <c r="GO182" s="21">
        <f t="shared" si="187"/>
        <v>20.296843088636866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789</v>
      </c>
      <c r="GV182" s="17">
        <f>GU182*VLOOKUP('Données projet'!$B$18,Paramètres!$A$1:$I$89,3,0)*VLOOKUP('Données projet'!$B$18,Paramètres!$A$1:$I$89,5,0)</f>
        <v>379.50900000000001</v>
      </c>
      <c r="GW182" s="13">
        <f t="shared" si="188"/>
        <v>87.609801106074272</v>
      </c>
      <c r="GX182" s="20">
        <f t="shared" si="189"/>
        <v>813.56524525974601</v>
      </c>
      <c r="GY182" s="59">
        <f t="shared" si="137"/>
        <v>1106.8985785930793</v>
      </c>
      <c r="GZ182" s="59">
        <f ca="1">AVERAGE(OFFSET($GY$3,0,0,'Données projet'!$E$18+1,1))-AVERAGE(OFFSET($H$3,0,0,'Données projet'!$E$18+1,1))</f>
        <v>458.80976193248841</v>
      </c>
      <c r="HA182" s="59">
        <f t="shared" si="160"/>
        <v>396.07405370178759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19.755289709193054</v>
      </c>
      <c r="HH182" s="21">
        <f>EXP(-LN(2)/25)*HH181+(1-EXP(-LN(2)/25))/(LN(2)/25)*Calculateur!HC182*Calculateur!HE182*VLOOKUP('Données projet'!$B$18,Paramètres!$A$1:$I$89,3,0)*0.475*44/12</f>
        <v>0.73527784836864341</v>
      </c>
      <c r="HI182" s="21">
        <f>EXP(-LN(2)/2)*HI181+(1-EXP(-LN(2)/2))/(LN(2)/2)*HC182*HF182*VLOOKUP('Données projet'!$B$18,Paramètres!$A$1:$I$89,3,0)*0.475*44/12</f>
        <v>1.4015824187015716E-23</v>
      </c>
      <c r="HJ182" s="22">
        <f t="shared" si="190"/>
        <v>20.490567557561697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267</v>
      </c>
      <c r="O183" s="13">
        <f>N183*VLOOKUP('Données projet'!$B$9,Paramètres!$A$1:$I$89,3,0)*VLOOKUP('Données projet'!$B$9,Paramètres!$A$1:$I$89,5,0)</f>
        <v>241.58159999999998</v>
      </c>
      <c r="P183" s="13">
        <f t="shared" si="141"/>
        <v>58.779689232021951</v>
      </c>
      <c r="Q183" s="20">
        <f t="shared" si="162"/>
        <v>523.12924541243819</v>
      </c>
      <c r="R183" s="59">
        <f t="shared" si="109"/>
        <v>816.46257874577145</v>
      </c>
      <c r="S183" s="59">
        <f ca="1">AVERAGE(OFFSET($R$3,0,0,'Données projet'!$E$9+1,1))-AVERAGE(OFFSET($H$3,0,0,'Données projet'!$E$9+1,1))</f>
        <v>364.3481978218424</v>
      </c>
      <c r="T183" s="59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20.863552620628298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20.863552620628298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636.99999999999977</v>
      </c>
      <c r="AJ183" s="13">
        <f>AI183*VLOOKUP('Données projet'!$B$10,Paramètres!$A$1:$I$89,3,0)*VLOOKUP('Données projet'!$B$10,Paramètres!$A$1:$I$89,5,0)</f>
        <v>356.08299999999991</v>
      </c>
      <c r="AK183" s="13">
        <f t="shared" si="164"/>
        <v>82.813805255716545</v>
      </c>
      <c r="AL183" s="20">
        <f t="shared" si="165"/>
        <v>764.41193582037283</v>
      </c>
      <c r="AM183" s="59">
        <f t="shared" si="113"/>
        <v>1057.7452691537062</v>
      </c>
      <c r="AN183" s="59">
        <f ca="1">AVERAGE(OFFSET($AM$3,0,0,'Données projet'!$E$10+1,1))-AVERAGE(OFFSET($H$3,0,0,'Données projet'!$E$10+1,1))</f>
        <v>443.34220761968419</v>
      </c>
      <c r="AO183" s="59">
        <f t="shared" si="144"/>
        <v>546.58234447298014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9.0766965120582181</v>
      </c>
      <c r="AV183" s="21">
        <f>EXP(-LN(2)/25)*AV182+(1-EXP(-LN(2)/25))/(LN(2)/25)*Calculateur!AQ183*Calculateur!AS183*VLOOKUP('Données projet'!$B$10,Paramètres!$A$1:$I$89,3,0)*0.475*44/12</f>
        <v>0.34277037649728903</v>
      </c>
      <c r="AW183" s="21">
        <f>EXP(-LN(2)/2)*AW182+(1-EXP(-LN(2)/2))/(LN(2)/2)*AQ183*AT183*VLOOKUP('Données projet'!$B$10,Paramètres!$A$1:$I$89,3,0)*0.475*44/12</f>
        <v>1.5992503077272961E-22</v>
      </c>
      <c r="AX183" s="21">
        <f t="shared" si="166"/>
        <v>9.4194668885555064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403.99999999999989</v>
      </c>
      <c r="BE183" s="13">
        <f>BD183*VLOOKUP('Données projet'!$B$11,Paramètres!$A$1:$I$89,3,0)*VLOOKUP('Données projet'!$B$11,Paramètres!$A$1:$I$89,5,0)</f>
        <v>346.63199999999995</v>
      </c>
      <c r="BF183" s="13">
        <f t="shared" si="167"/>
        <v>80.868615263336864</v>
      </c>
      <c r="BG183" s="20">
        <f t="shared" si="168"/>
        <v>744.56357158364483</v>
      </c>
      <c r="BH183" s="59">
        <f t="shared" si="116"/>
        <v>1037.8969049169782</v>
      </c>
      <c r="BI183" s="59">
        <f ca="1">AVERAGE(OFFSET($BH$3,0,0,'Données projet'!$E$11+1,1))-AVERAGE(OFFSET($H$3,0,0,'Données projet'!$E$11+1,1))</f>
        <v>447.15627913956871</v>
      </c>
      <c r="BJ183" s="59">
        <f t="shared" si="146"/>
        <v>256.77417912163997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30.461845205054711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30.461845205054711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245.99999999999994</v>
      </c>
      <c r="BZ183" s="13">
        <f>BY183*VLOOKUP('Données projet'!$B$12,Paramètres!$A$1:$I$89,3,0)*VLOOKUP('Données projet'!$B$12,Paramètres!$A$1:$I$89,5,0)</f>
        <v>234.09359999999998</v>
      </c>
      <c r="CA183" s="13">
        <f t="shared" si="170"/>
        <v>57.166902703920208</v>
      </c>
      <c r="CB183" s="20">
        <f t="shared" si="171"/>
        <v>507.27870887599425</v>
      </c>
      <c r="CC183" s="59">
        <f t="shared" si="119"/>
        <v>800.61204220932757</v>
      </c>
      <c r="CD183" s="59">
        <f ca="1">AVERAGE(OFFSET($CC$3,0,0,'Données projet'!$E$12+1,1))-AVERAGE(OFFSET($H$3,0,0,'Données projet'!$E$12+1,1))</f>
        <v>448.94764480536713</v>
      </c>
      <c r="CE183" s="59">
        <f t="shared" si="148"/>
        <v>469.26760321719695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21.523786253976649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21.523786253976649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187.80389738728508</v>
      </c>
      <c r="CZ183" s="59">
        <f t="shared" si="150"/>
        <v>439.28159165815265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6.3324692007882755</v>
      </c>
      <c r="DG183" s="21">
        <f>EXP(-LN(2)/25)*DG182+(1-EXP(-LN(2)/25))/(LN(2)/25)*Calculateur!DB183*Calculateur!DD183*VLOOKUP('Données projet'!$B$13,Paramètres!$A$1:$I$89,3,0)*0.475*44/12</f>
        <v>0.22464546246858597</v>
      </c>
      <c r="DH183" s="21">
        <f>EXP(-LN(2)/2)*DH182+(1-EXP(-LN(2)/2))/(LN(2)/2)*DB183*DE183*VLOOKUP('Données projet'!$B$13,Paramètres!$A$1:$I$89,3,0)*0.475*44/12</f>
        <v>1.1901343893378004E-24</v>
      </c>
      <c r="DI183" s="22">
        <f t="shared" si="175"/>
        <v>6.5571146632568613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255.00000000000006</v>
      </c>
      <c r="DP183" s="17">
        <f>DO183*VLOOKUP('Données projet'!$B$14,Paramètres!$A$1:$I$89,3,0)*VLOOKUP('Données projet'!$B$14,Paramètres!$A$1:$I$89,5,0)</f>
        <v>186.96600000000004</v>
      </c>
      <c r="DQ183" s="13">
        <f t="shared" si="176"/>
        <v>46.868551400324648</v>
      </c>
      <c r="DR183" s="20">
        <f t="shared" si="177"/>
        <v>407.26184368889881</v>
      </c>
      <c r="DS183" s="59">
        <f t="shared" si="125"/>
        <v>700.59517702223206</v>
      </c>
      <c r="DT183" s="59">
        <f ca="1">AVERAGE(OFFSET($DS$3,0,0,'Données projet'!$E$14+1,1))-AVERAGE(OFFSET($H$3,0,0,'Données projet'!$E$14+1,1))</f>
        <v>239.25212250019609</v>
      </c>
      <c r="DU183" s="59">
        <f t="shared" si="152"/>
        <v>213.58492101729695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689</v>
      </c>
      <c r="EK183" s="17">
        <f>EJ183*VLOOKUP('Données projet'!$B$15,Paramètres!$A$1:$I$89,3,0)*VLOOKUP('Données projet'!$B$15,Paramètres!$A$1:$I$89,5,0)</f>
        <v>412.02199999999999</v>
      </c>
      <c r="EL183" s="13">
        <f t="shared" si="179"/>
        <v>94.209724877926391</v>
      </c>
      <c r="EM183" s="20">
        <f t="shared" si="180"/>
        <v>881.686920829055</v>
      </c>
      <c r="EN183" s="59">
        <f t="shared" si="128"/>
        <v>1175.0202541623883</v>
      </c>
      <c r="EO183" s="59">
        <f ca="1">AVERAGE(OFFSET($EN$3,0,0,'Données projet'!$E$15+1,1))-AVERAGE(OFFSET($H$3,0,0,'Données projet'!$E$15+1,1))</f>
        <v>504.81063008331739</v>
      </c>
      <c r="EP183" s="59">
        <f t="shared" si="154"/>
        <v>441.82647565372287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13.507348599143791</v>
      </c>
      <c r="EW183" s="21">
        <f>EXP(-LN(2)/25)*EW182+(1-EXP(-LN(2)/25))/(LN(2)/25)*Calculateur!ER183*Calculateur!ET183*VLOOKUP('Données projet'!$B$15,Paramètres!$A$1:$I$89,3,0)*0.475*44/12</f>
        <v>0.91998806180114368</v>
      </c>
      <c r="EX183" s="21">
        <f>EXP(-LN(2)/2)*EX182+(1-EXP(-LN(2)/2))/(LN(2)/2)*ER183*EU183*VLOOKUP('Données projet'!$B$15,Paramètres!$A$1:$I$89,3,0)*0.475*44/12</f>
        <v>1.3860858071925861E-24</v>
      </c>
      <c r="EY183" s="22">
        <f t="shared" si="181"/>
        <v>14.427336660944935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541.99999999999989</v>
      </c>
      <c r="FF183" s="17">
        <f>FE183*VLOOKUP('Données projet'!$B$16,Paramètres!$A$1:$I$89,3,0)*VLOOKUP('Données projet'!$B$16,Paramètres!$A$1:$I$89,5,0)</f>
        <v>310.02399999999994</v>
      </c>
      <c r="FG183" s="13">
        <f t="shared" si="182"/>
        <v>73.27384230442388</v>
      </c>
      <c r="FH183" s="20">
        <f t="shared" si="183"/>
        <v>667.57707534687154</v>
      </c>
      <c r="FI183" s="59">
        <f t="shared" si="131"/>
        <v>960.91040868020491</v>
      </c>
      <c r="FJ183" s="59">
        <f ca="1">AVERAGE(OFFSET($FI$3,0,0,'Données projet'!$E$16+1,1))-AVERAGE(OFFSET($H$3,0,0,'Données projet'!$E$16+1,1))</f>
        <v>393.41577134252316</v>
      </c>
      <c r="FK183" s="59">
        <f t="shared" si="156"/>
        <v>255.54039659391475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15.816493155407958</v>
      </c>
      <c r="FR183" s="21">
        <f>EXP(-LN(2)/25)*FR182+(1-EXP(-LN(2)/25))/(LN(2)/25)*Calculateur!FM183*Calculateur!FO183*VLOOKUP('Données projet'!$B$16,Paramètres!$A$1:$I$89,3,0)*0.475*44/12</f>
        <v>0.41750560426675359</v>
      </c>
      <c r="FS183" s="21">
        <f>EXP(-LN(2)/2)*FS182+(1-EXP(-LN(2)/2))/(LN(2)/2)*FM183*FP183*VLOOKUP('Données projet'!$B$16,Paramètres!$A$1:$I$89,3,0)*0.475*44/12</f>
        <v>9.6428279934070395E-24</v>
      </c>
      <c r="FT183" s="22">
        <f t="shared" si="184"/>
        <v>16.233998759674712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853.00000000000011</v>
      </c>
      <c r="GA183" s="17">
        <f>FZ183*VLOOKUP('Données projet'!$B$17,Paramètres!$A$1:$I$89,3,0)*VLOOKUP('Données projet'!$B$17,Paramètres!$A$1:$I$89,5,0)</f>
        <v>399.20400000000006</v>
      </c>
      <c r="GB183" s="13">
        <f t="shared" si="185"/>
        <v>91.615269732888521</v>
      </c>
      <c r="GC183" s="20">
        <f t="shared" si="186"/>
        <v>854.8435614514475</v>
      </c>
      <c r="GD183" s="59">
        <f t="shared" si="134"/>
        <v>1148.1768947847809</v>
      </c>
      <c r="GE183" s="59">
        <f ca="1">AVERAGE(OFFSET($GD$3,0,0,'Données projet'!$E$17+1,1))-AVERAGE(OFFSET($H$3,0,0,'Données projet'!$E$17+1,1))</f>
        <v>488.67934252295686</v>
      </c>
      <c r="GF183" s="59">
        <f t="shared" si="158"/>
        <v>424.50324471331095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19.127319885515206</v>
      </c>
      <c r="GM183" s="21">
        <f>EXP(-LN(2)/25)*GM182+(1-EXP(-LN(2)/25))/(LN(2)/25)*Calculateur!GH183*Calculateur!GJ183*VLOOKUP('Données projet'!$B$17,Paramètres!$A$1:$I$89,3,0)*0.475*44/12</f>
        <v>0.7654269411557153</v>
      </c>
      <c r="GN183" s="21">
        <f>EXP(-LN(2)/2)*GN182+(1-EXP(-LN(2)/2))/(LN(2)/2)*GH183*GK183*VLOOKUP('Données projet'!$B$17,Paramètres!$A$1:$I$89,3,0)*0.475*44/12</f>
        <v>2.1477207803497491E-23</v>
      </c>
      <c r="GO183" s="21">
        <f t="shared" si="187"/>
        <v>19.892746826670923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789</v>
      </c>
      <c r="GV183" s="17">
        <f>GU183*VLOOKUP('Données projet'!$B$18,Paramètres!$A$1:$I$89,3,0)*VLOOKUP('Données projet'!$B$18,Paramètres!$A$1:$I$89,5,0)</f>
        <v>379.50900000000001</v>
      </c>
      <c r="GW183" s="13">
        <f t="shared" si="188"/>
        <v>87.609801106074272</v>
      </c>
      <c r="GX183" s="20">
        <f t="shared" si="189"/>
        <v>813.56524525974601</v>
      </c>
      <c r="GY183" s="59">
        <f t="shared" si="137"/>
        <v>1106.8985785930793</v>
      </c>
      <c r="GZ183" s="59">
        <f ca="1">AVERAGE(OFFSET($GY$3,0,0,'Données projet'!$E$18+1,1))-AVERAGE(OFFSET($H$3,0,0,'Données projet'!$E$18+1,1))</f>
        <v>458.80976193248841</v>
      </c>
      <c r="HA183" s="59">
        <f t="shared" si="160"/>
        <v>396.07405370178759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19.367900527532708</v>
      </c>
      <c r="HH183" s="21">
        <f>EXP(-LN(2)/25)*HH182+(1-EXP(-LN(2)/25))/(LN(2)/25)*Calculateur!HC183*Calculateur!HE183*VLOOKUP('Données projet'!$B$18,Paramètres!$A$1:$I$89,3,0)*0.475*44/12</f>
        <v>0.71517163693842134</v>
      </c>
      <c r="HI183" s="21">
        <f>EXP(-LN(2)/2)*HI182+(1-EXP(-LN(2)/2))/(LN(2)/2)*HC183*HF183*VLOOKUP('Données projet'!$B$18,Paramètres!$A$1:$I$89,3,0)*0.475*44/12</f>
        <v>9.9106843265572425E-24</v>
      </c>
      <c r="HJ183" s="22">
        <f t="shared" si="190"/>
        <v>20.08307216447113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267</v>
      </c>
      <c r="O184" s="13">
        <f>N184*VLOOKUP('Données projet'!$B$9,Paramètres!$A$1:$I$89,3,0)*VLOOKUP('Données projet'!$B$9,Paramètres!$A$1:$I$89,5,0)</f>
        <v>241.58159999999998</v>
      </c>
      <c r="P184" s="13">
        <f t="shared" si="141"/>
        <v>58.779689232021951</v>
      </c>
      <c r="Q184" s="20">
        <f t="shared" si="162"/>
        <v>523.12924541243819</v>
      </c>
      <c r="R184" s="59">
        <f t="shared" si="109"/>
        <v>816.46257874577145</v>
      </c>
      <c r="S184" s="59">
        <f ca="1">AVERAGE(OFFSET($R$3,0,0,'Données projet'!$E$9+1,1))-AVERAGE(OFFSET($H$3,0,0,'Données projet'!$E$9+1,1))</f>
        <v>364.3481978218424</v>
      </c>
      <c r="T184" s="59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20.454431079248334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20.454431079248334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636.99999999999977</v>
      </c>
      <c r="AJ184" s="13">
        <f>AI184*VLOOKUP('Données projet'!$B$10,Paramètres!$A$1:$I$89,3,0)*VLOOKUP('Données projet'!$B$10,Paramètres!$A$1:$I$89,5,0)</f>
        <v>356.08299999999991</v>
      </c>
      <c r="AK184" s="13">
        <f t="shared" si="164"/>
        <v>82.813805255716545</v>
      </c>
      <c r="AL184" s="20">
        <f t="shared" si="165"/>
        <v>764.41193582037283</v>
      </c>
      <c r="AM184" s="59">
        <f t="shared" si="113"/>
        <v>1057.7452691537062</v>
      </c>
      <c r="AN184" s="59">
        <f ca="1">AVERAGE(OFFSET($AM$3,0,0,'Données projet'!$E$10+1,1))-AVERAGE(OFFSET($H$3,0,0,'Données projet'!$E$10+1,1))</f>
        <v>443.34220761968419</v>
      </c>
      <c r="AO184" s="59">
        <f t="shared" si="144"/>
        <v>546.58234447298014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8.898708029694971</v>
      </c>
      <c r="AV184" s="21">
        <f>EXP(-LN(2)/25)*AV183+(1-EXP(-LN(2)/25))/(LN(2)/25)*Calculateur!AQ184*Calculateur!AS184*VLOOKUP('Données projet'!$B$10,Paramètres!$A$1:$I$89,3,0)*0.475*44/12</f>
        <v>0.33339730252645999</v>
      </c>
      <c r="AW184" s="21">
        <f>EXP(-LN(2)/2)*AW183+(1-EXP(-LN(2)/2))/(LN(2)/2)*AQ184*AT184*VLOOKUP('Données projet'!$B$10,Paramètres!$A$1:$I$89,3,0)*0.475*44/12</f>
        <v>1.1308407374086439E-22</v>
      </c>
      <c r="AX184" s="21">
        <f t="shared" si="166"/>
        <v>9.2321053322214315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403.99999999999989</v>
      </c>
      <c r="BE184" s="13">
        <f>BD184*VLOOKUP('Données projet'!$B$11,Paramètres!$A$1:$I$89,3,0)*VLOOKUP('Données projet'!$B$11,Paramètres!$A$1:$I$89,5,0)</f>
        <v>346.63199999999995</v>
      </c>
      <c r="BF184" s="13">
        <f t="shared" si="167"/>
        <v>80.868615263336864</v>
      </c>
      <c r="BG184" s="20">
        <f t="shared" si="168"/>
        <v>744.56357158364483</v>
      </c>
      <c r="BH184" s="59">
        <f t="shared" si="116"/>
        <v>1037.8969049169782</v>
      </c>
      <c r="BI184" s="59">
        <f ca="1">AVERAGE(OFFSET($BH$3,0,0,'Données projet'!$E$11+1,1))-AVERAGE(OFFSET($H$3,0,0,'Données projet'!$E$11+1,1))</f>
        <v>447.15627913956871</v>
      </c>
      <c r="BJ184" s="59">
        <f t="shared" si="146"/>
        <v>256.77417912163997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29.86450700047455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29.86450700047455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245.99999999999994</v>
      </c>
      <c r="BZ184" s="13">
        <f>BY184*VLOOKUP('Données projet'!$B$12,Paramètres!$A$1:$I$89,3,0)*VLOOKUP('Données projet'!$B$12,Paramètres!$A$1:$I$89,5,0)</f>
        <v>234.09359999999998</v>
      </c>
      <c r="CA184" s="13">
        <f t="shared" si="170"/>
        <v>57.166902703920208</v>
      </c>
      <c r="CB184" s="20">
        <f t="shared" si="171"/>
        <v>507.27870887599425</v>
      </c>
      <c r="CC184" s="59">
        <f t="shared" si="119"/>
        <v>800.61204220932757</v>
      </c>
      <c r="CD184" s="59">
        <f ca="1">AVERAGE(OFFSET($CC$3,0,0,'Données projet'!$E$12+1,1))-AVERAGE(OFFSET($H$3,0,0,'Données projet'!$E$12+1,1))</f>
        <v>448.94764480536713</v>
      </c>
      <c r="CE184" s="59">
        <f t="shared" si="148"/>
        <v>469.26760321719695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21.101717933749477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21.101717933749477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187.80389738728508</v>
      </c>
      <c r="CZ184" s="59">
        <f t="shared" si="150"/>
        <v>439.28159165815265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6.2082933421856472</v>
      </c>
      <c r="DG184" s="21">
        <f>EXP(-LN(2)/25)*DG183+(1-EXP(-LN(2)/25))/(LN(2)/25)*Calculateur!DB184*Calculateur!DD184*VLOOKUP('Données projet'!$B$13,Paramètres!$A$1:$I$89,3,0)*0.475*44/12</f>
        <v>0.21850252048379104</v>
      </c>
      <c r="DH184" s="21">
        <f>EXP(-LN(2)/2)*DH183+(1-EXP(-LN(2)/2))/(LN(2)/2)*DB184*DE184*VLOOKUP('Données projet'!$B$13,Paramètres!$A$1:$I$89,3,0)*0.475*44/12</f>
        <v>8.415520972240694E-25</v>
      </c>
      <c r="DI184" s="22">
        <f t="shared" si="175"/>
        <v>6.4267958626694384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255.00000000000006</v>
      </c>
      <c r="DP184" s="17">
        <f>DO184*VLOOKUP('Données projet'!$B$14,Paramètres!$A$1:$I$89,3,0)*VLOOKUP('Données projet'!$B$14,Paramètres!$A$1:$I$89,5,0)</f>
        <v>186.96600000000004</v>
      </c>
      <c r="DQ184" s="13">
        <f t="shared" si="176"/>
        <v>46.868551400324648</v>
      </c>
      <c r="DR184" s="20">
        <f t="shared" si="177"/>
        <v>407.26184368889881</v>
      </c>
      <c r="DS184" s="59">
        <f t="shared" si="125"/>
        <v>700.59517702223206</v>
      </c>
      <c r="DT184" s="59">
        <f ca="1">AVERAGE(OFFSET($DS$3,0,0,'Données projet'!$E$14+1,1))-AVERAGE(OFFSET($H$3,0,0,'Données projet'!$E$14+1,1))</f>
        <v>239.25212250019609</v>
      </c>
      <c r="DU184" s="59">
        <f t="shared" si="152"/>
        <v>213.58492101729695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689</v>
      </c>
      <c r="EK184" s="17">
        <f>EJ184*VLOOKUP('Données projet'!$B$15,Paramètres!$A$1:$I$89,3,0)*VLOOKUP('Données projet'!$B$15,Paramètres!$A$1:$I$89,5,0)</f>
        <v>412.02199999999999</v>
      </c>
      <c r="EL184" s="13">
        <f t="shared" si="179"/>
        <v>94.209724877926391</v>
      </c>
      <c r="EM184" s="20">
        <f t="shared" si="180"/>
        <v>881.686920829055</v>
      </c>
      <c r="EN184" s="59">
        <f t="shared" si="128"/>
        <v>1175.0202541623883</v>
      </c>
      <c r="EO184" s="59">
        <f ca="1">AVERAGE(OFFSET($EN$3,0,0,'Données projet'!$E$15+1,1))-AVERAGE(OFFSET($H$3,0,0,'Données projet'!$E$15+1,1))</f>
        <v>504.81063008331739</v>
      </c>
      <c r="EP184" s="59">
        <f t="shared" si="154"/>
        <v>441.82647565372287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13.242477731783726</v>
      </c>
      <c r="EW184" s="21">
        <f>EXP(-LN(2)/25)*EW183+(1-EXP(-LN(2)/25))/(LN(2)/25)*Calculateur!ER184*Calculateur!ET184*VLOOKUP('Données projet'!$B$15,Paramètres!$A$1:$I$89,3,0)*0.475*44/12</f>
        <v>0.89483093987112194</v>
      </c>
      <c r="EX184" s="21">
        <f>EXP(-LN(2)/2)*EX183+(1-EXP(-LN(2)/2))/(LN(2)/2)*ER184*EU184*VLOOKUP('Données projet'!$B$15,Paramètres!$A$1:$I$89,3,0)*0.475*44/12</f>
        <v>9.8011067357230706E-25</v>
      </c>
      <c r="EY184" s="22">
        <f t="shared" si="181"/>
        <v>14.137308671654848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541.99999999999989</v>
      </c>
      <c r="FF184" s="17">
        <f>FE184*VLOOKUP('Données projet'!$B$16,Paramètres!$A$1:$I$89,3,0)*VLOOKUP('Données projet'!$B$16,Paramètres!$A$1:$I$89,5,0)</f>
        <v>310.02399999999994</v>
      </c>
      <c r="FG184" s="13">
        <f t="shared" si="182"/>
        <v>73.27384230442388</v>
      </c>
      <c r="FH184" s="20">
        <f t="shared" si="183"/>
        <v>667.57707534687154</v>
      </c>
      <c r="FI184" s="59">
        <f t="shared" si="131"/>
        <v>960.91040868020491</v>
      </c>
      <c r="FJ184" s="59">
        <f ca="1">AVERAGE(OFFSET($FI$3,0,0,'Données projet'!$E$16+1,1))-AVERAGE(OFFSET($H$3,0,0,'Données projet'!$E$16+1,1))</f>
        <v>393.41577134252316</v>
      </c>
      <c r="FK184" s="59">
        <f t="shared" si="156"/>
        <v>255.54039659391475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15.50634137173866</v>
      </c>
      <c r="FR184" s="21">
        <f>EXP(-LN(2)/25)*FR183+(1-EXP(-LN(2)/25))/(LN(2)/25)*Calculateur!FM184*Calculateur!FO184*VLOOKUP('Données projet'!$B$16,Paramètres!$A$1:$I$89,3,0)*0.475*44/12</f>
        <v>0.40608889156241373</v>
      </c>
      <c r="FS184" s="21">
        <f>EXP(-LN(2)/2)*FS183+(1-EXP(-LN(2)/2))/(LN(2)/2)*FM184*FP184*VLOOKUP('Données projet'!$B$16,Paramètres!$A$1:$I$89,3,0)*0.475*44/12</f>
        <v>6.8185090639535865E-24</v>
      </c>
      <c r="FT184" s="22">
        <f t="shared" si="184"/>
        <v>15.912430263301074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853.00000000000011</v>
      </c>
      <c r="GA184" s="17">
        <f>FZ184*VLOOKUP('Données projet'!$B$17,Paramètres!$A$1:$I$89,3,0)*VLOOKUP('Données projet'!$B$17,Paramètres!$A$1:$I$89,5,0)</f>
        <v>399.20400000000006</v>
      </c>
      <c r="GB184" s="13">
        <f t="shared" si="185"/>
        <v>91.615269732888521</v>
      </c>
      <c r="GC184" s="20">
        <f t="shared" si="186"/>
        <v>854.8435614514475</v>
      </c>
      <c r="GD184" s="59">
        <f t="shared" si="134"/>
        <v>1148.1768947847809</v>
      </c>
      <c r="GE184" s="59">
        <f ca="1">AVERAGE(OFFSET($GD$3,0,0,'Données projet'!$E$17+1,1))-AVERAGE(OFFSET($H$3,0,0,'Données projet'!$E$17+1,1))</f>
        <v>488.67934252295686</v>
      </c>
      <c r="GF184" s="59">
        <f t="shared" si="158"/>
        <v>424.50324471331095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18.75224480907341</v>
      </c>
      <c r="GM184" s="21">
        <f>EXP(-LN(2)/25)*GM183+(1-EXP(-LN(2)/25))/(LN(2)/25)*Calculateur!GH184*Calculateur!GJ184*VLOOKUP('Données projet'!$B$17,Paramètres!$A$1:$I$89,3,0)*0.475*44/12</f>
        <v>0.74449630119775889</v>
      </c>
      <c r="GN184" s="21">
        <f>EXP(-LN(2)/2)*GN183+(1-EXP(-LN(2)/2))/(LN(2)/2)*GH184*GK184*VLOOKUP('Données projet'!$B$17,Paramètres!$A$1:$I$89,3,0)*0.475*44/12</f>
        <v>1.5186679278805711E-23</v>
      </c>
      <c r="GO184" s="21">
        <f t="shared" si="187"/>
        <v>19.49674111027117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789</v>
      </c>
      <c r="GV184" s="17">
        <f>GU184*VLOOKUP('Données projet'!$B$18,Paramètres!$A$1:$I$89,3,0)*VLOOKUP('Données projet'!$B$18,Paramètres!$A$1:$I$89,5,0)</f>
        <v>379.50900000000001</v>
      </c>
      <c r="GW184" s="13">
        <f t="shared" si="188"/>
        <v>87.609801106074272</v>
      </c>
      <c r="GX184" s="20">
        <f t="shared" si="189"/>
        <v>813.56524525974601</v>
      </c>
      <c r="GY184" s="59">
        <f t="shared" si="137"/>
        <v>1106.8985785930793</v>
      </c>
      <c r="GZ184" s="59">
        <f ca="1">AVERAGE(OFFSET($GY$3,0,0,'Données projet'!$E$18+1,1))-AVERAGE(OFFSET($H$3,0,0,'Données projet'!$E$18+1,1))</f>
        <v>458.80976193248841</v>
      </c>
      <c r="HA184" s="59">
        <f t="shared" si="160"/>
        <v>396.07405370178759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18.988107811440653</v>
      </c>
      <c r="HH184" s="21">
        <f>EXP(-LN(2)/25)*HH183+(1-EXP(-LN(2)/25))/(LN(2)/25)*Calculateur!HC184*Calculateur!HE184*VLOOKUP('Données projet'!$B$18,Paramètres!$A$1:$I$89,3,0)*0.475*44/12</f>
        <v>0.69561523091709832</v>
      </c>
      <c r="HI184" s="21">
        <f>EXP(-LN(2)/2)*HI183+(1-EXP(-LN(2)/2))/(LN(2)/2)*HC184*HF184*VLOOKUP('Données projet'!$B$18,Paramètres!$A$1:$I$89,3,0)*0.475*44/12</f>
        <v>7.0079120935078581E-24</v>
      </c>
      <c r="HJ184" s="22">
        <f t="shared" si="190"/>
        <v>19.683723042357752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267</v>
      </c>
      <c r="O185" s="13">
        <f>N185*VLOOKUP('Données projet'!$B$9,Paramètres!$A$1:$I$89,3,0)*VLOOKUP('Données projet'!$B$9,Paramètres!$A$1:$I$89,5,0)</f>
        <v>241.58159999999998</v>
      </c>
      <c r="P185" s="13">
        <f t="shared" si="141"/>
        <v>58.779689232021951</v>
      </c>
      <c r="Q185" s="20">
        <f t="shared" si="162"/>
        <v>523.12924541243819</v>
      </c>
      <c r="R185" s="59">
        <f t="shared" si="109"/>
        <v>816.46257874577145</v>
      </c>
      <c r="S185" s="59">
        <f ca="1">AVERAGE(OFFSET($R$3,0,0,'Données projet'!$E$9+1,1))-AVERAGE(OFFSET($H$3,0,0,'Données projet'!$E$9+1,1))</f>
        <v>364.3481978218424</v>
      </c>
      <c r="T185" s="59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20.053332161755332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20.053332161755332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636.99999999999977</v>
      </c>
      <c r="AJ185" s="13">
        <f>AI185*VLOOKUP('Données projet'!$B$10,Paramètres!$A$1:$I$89,3,0)*VLOOKUP('Données projet'!$B$10,Paramètres!$A$1:$I$89,5,0)</f>
        <v>356.08299999999991</v>
      </c>
      <c r="AK185" s="13">
        <f t="shared" si="164"/>
        <v>82.813805255716545</v>
      </c>
      <c r="AL185" s="20">
        <f t="shared" si="165"/>
        <v>764.41193582037283</v>
      </c>
      <c r="AM185" s="59">
        <f t="shared" si="113"/>
        <v>1057.7452691537062</v>
      </c>
      <c r="AN185" s="59">
        <f ca="1">AVERAGE(OFFSET($AM$3,0,0,'Données projet'!$E$10+1,1))-AVERAGE(OFFSET($H$3,0,0,'Données projet'!$E$10+1,1))</f>
        <v>443.34220761968419</v>
      </c>
      <c r="AO185" s="59">
        <f t="shared" si="144"/>
        <v>546.58234447298014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8.7242097929086118</v>
      </c>
      <c r="AV185" s="21">
        <f>EXP(-LN(2)/25)*AV184+(1-EXP(-LN(2)/25))/(LN(2)/25)*Calculateur!AQ185*Calculateur!AS185*VLOOKUP('Données projet'!$B$10,Paramètres!$A$1:$I$89,3,0)*0.475*44/12</f>
        <v>0.3242805357562718</v>
      </c>
      <c r="AW185" s="21">
        <f>EXP(-LN(2)/2)*AW184+(1-EXP(-LN(2)/2))/(LN(2)/2)*AQ185*AT185*VLOOKUP('Données projet'!$B$10,Paramètres!$A$1:$I$89,3,0)*0.475*44/12</f>
        <v>7.9962515386364805E-23</v>
      </c>
      <c r="AX185" s="21">
        <f t="shared" si="166"/>
        <v>9.048490328664883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403.99999999999989</v>
      </c>
      <c r="BE185" s="13">
        <f>BD185*VLOOKUP('Données projet'!$B$11,Paramètres!$A$1:$I$89,3,0)*VLOOKUP('Données projet'!$B$11,Paramètres!$A$1:$I$89,5,0)</f>
        <v>346.63199999999995</v>
      </c>
      <c r="BF185" s="13">
        <f t="shared" si="167"/>
        <v>80.868615263336864</v>
      </c>
      <c r="BG185" s="20">
        <f t="shared" si="168"/>
        <v>744.56357158364483</v>
      </c>
      <c r="BH185" s="59">
        <f t="shared" si="116"/>
        <v>1037.8969049169782</v>
      </c>
      <c r="BI185" s="59">
        <f ca="1">AVERAGE(OFFSET($BH$3,0,0,'Données projet'!$E$11+1,1))-AVERAGE(OFFSET($H$3,0,0,'Données projet'!$E$11+1,1))</f>
        <v>447.15627913956871</v>
      </c>
      <c r="BJ185" s="59">
        <f t="shared" si="146"/>
        <v>256.77417912163997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29.278882233745879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29.278882233745879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245.99999999999994</v>
      </c>
      <c r="BZ185" s="13">
        <f>BY185*VLOOKUP('Données projet'!$B$12,Paramètres!$A$1:$I$89,3,0)*VLOOKUP('Données projet'!$B$12,Paramètres!$A$1:$I$89,5,0)</f>
        <v>234.09359999999998</v>
      </c>
      <c r="CA185" s="13">
        <f t="shared" si="170"/>
        <v>57.166902703920208</v>
      </c>
      <c r="CB185" s="20">
        <f t="shared" si="171"/>
        <v>507.27870887599425</v>
      </c>
      <c r="CC185" s="59">
        <f t="shared" si="119"/>
        <v>800.61204220932757</v>
      </c>
      <c r="CD185" s="59">
        <f ca="1">AVERAGE(OFFSET($CC$3,0,0,'Données projet'!$E$12+1,1))-AVERAGE(OFFSET($H$3,0,0,'Données projet'!$E$12+1,1))</f>
        <v>448.94764480536713</v>
      </c>
      <c r="CE185" s="59">
        <f t="shared" si="148"/>
        <v>469.26760321719695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20.687926115845706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20.687926115845706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187.80389738728508</v>
      </c>
      <c r="CZ185" s="59">
        <f t="shared" si="150"/>
        <v>439.28159165815265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6.0865524964304214</v>
      </c>
      <c r="DG185" s="21">
        <f>EXP(-LN(2)/25)*DG184+(1-EXP(-LN(2)/25))/(LN(2)/25)*Calculateur!DB185*Calculateur!DD185*VLOOKUP('Données projet'!$B$13,Paramètres!$A$1:$I$89,3,0)*0.475*44/12</f>
        <v>0.21252755757061362</v>
      </c>
      <c r="DH185" s="21">
        <f>EXP(-LN(2)/2)*DH184+(1-EXP(-LN(2)/2))/(LN(2)/2)*DB185*DE185*VLOOKUP('Données projet'!$B$13,Paramètres!$A$1:$I$89,3,0)*0.475*44/12</f>
        <v>5.9506719466890021E-25</v>
      </c>
      <c r="DI185" s="22">
        <f t="shared" si="175"/>
        <v>6.2990800540010348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255.00000000000006</v>
      </c>
      <c r="DP185" s="17">
        <f>DO185*VLOOKUP('Données projet'!$B$14,Paramètres!$A$1:$I$89,3,0)*VLOOKUP('Données projet'!$B$14,Paramètres!$A$1:$I$89,5,0)</f>
        <v>186.96600000000004</v>
      </c>
      <c r="DQ185" s="13">
        <f t="shared" si="176"/>
        <v>46.868551400324648</v>
      </c>
      <c r="DR185" s="20">
        <f t="shared" si="177"/>
        <v>407.26184368889881</v>
      </c>
      <c r="DS185" s="59">
        <f t="shared" si="125"/>
        <v>700.59517702223206</v>
      </c>
      <c r="DT185" s="59">
        <f ca="1">AVERAGE(OFFSET($DS$3,0,0,'Données projet'!$E$14+1,1))-AVERAGE(OFFSET($H$3,0,0,'Données projet'!$E$14+1,1))</f>
        <v>239.25212250019609</v>
      </c>
      <c r="DU185" s="59">
        <f t="shared" si="152"/>
        <v>213.58492101729695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689</v>
      </c>
      <c r="EK185" s="17">
        <f>EJ185*VLOOKUP('Données projet'!$B$15,Paramètres!$A$1:$I$89,3,0)*VLOOKUP('Données projet'!$B$15,Paramètres!$A$1:$I$89,5,0)</f>
        <v>412.02199999999999</v>
      </c>
      <c r="EL185" s="13">
        <f t="shared" si="179"/>
        <v>94.209724877926391</v>
      </c>
      <c r="EM185" s="20">
        <f t="shared" si="180"/>
        <v>881.686920829055</v>
      </c>
      <c r="EN185" s="59">
        <f t="shared" si="128"/>
        <v>1175.0202541623883</v>
      </c>
      <c r="EO185" s="59">
        <f ca="1">AVERAGE(OFFSET($EN$3,0,0,'Données projet'!$E$15+1,1))-AVERAGE(OFFSET($H$3,0,0,'Données projet'!$E$15+1,1))</f>
        <v>504.81063008331739</v>
      </c>
      <c r="EP185" s="59">
        <f t="shared" si="154"/>
        <v>441.82647565372287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12.982800820577316</v>
      </c>
      <c r="EW185" s="21">
        <f>EXP(-LN(2)/25)*EW184+(1-EXP(-LN(2)/25))/(LN(2)/25)*Calculateur!ER185*Calculateur!ET185*VLOOKUP('Données projet'!$B$15,Paramètres!$A$1:$I$89,3,0)*0.475*44/12</f>
        <v>0.87036174076323214</v>
      </c>
      <c r="EX185" s="21">
        <f>EXP(-LN(2)/2)*EX184+(1-EXP(-LN(2)/2))/(LN(2)/2)*ER185*EU185*VLOOKUP('Données projet'!$B$15,Paramètres!$A$1:$I$89,3,0)*0.475*44/12</f>
        <v>6.9304290359629305E-25</v>
      </c>
      <c r="EY185" s="22">
        <f t="shared" si="181"/>
        <v>13.853162561340548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541.99999999999989</v>
      </c>
      <c r="FF185" s="17">
        <f>FE185*VLOOKUP('Données projet'!$B$16,Paramètres!$A$1:$I$89,3,0)*VLOOKUP('Données projet'!$B$16,Paramètres!$A$1:$I$89,5,0)</f>
        <v>310.02399999999994</v>
      </c>
      <c r="FG185" s="13">
        <f t="shared" si="182"/>
        <v>73.27384230442388</v>
      </c>
      <c r="FH185" s="20">
        <f t="shared" si="183"/>
        <v>667.57707534687154</v>
      </c>
      <c r="FI185" s="59">
        <f t="shared" si="131"/>
        <v>960.91040868020491</v>
      </c>
      <c r="FJ185" s="59">
        <f ca="1">AVERAGE(OFFSET($FI$3,0,0,'Données projet'!$E$16+1,1))-AVERAGE(OFFSET($H$3,0,0,'Données projet'!$E$16+1,1))</f>
        <v>393.41577134252316</v>
      </c>
      <c r="FK185" s="59">
        <f t="shared" si="156"/>
        <v>255.54039659391475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15.202271475373209</v>
      </c>
      <c r="FR185" s="21">
        <f>EXP(-LN(2)/25)*FR184+(1-EXP(-LN(2)/25))/(LN(2)/25)*Calculateur!FM185*Calculateur!FO185*VLOOKUP('Données projet'!$B$16,Paramètres!$A$1:$I$89,3,0)*0.475*44/12</f>
        <v>0.39498436946735282</v>
      </c>
      <c r="FS185" s="21">
        <f>EXP(-LN(2)/2)*FS184+(1-EXP(-LN(2)/2))/(LN(2)/2)*FM185*FP185*VLOOKUP('Données projet'!$B$16,Paramètres!$A$1:$I$89,3,0)*0.475*44/12</f>
        <v>4.8214139967035198E-24</v>
      </c>
      <c r="FT185" s="22">
        <f t="shared" si="184"/>
        <v>15.597255844840562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853.00000000000011</v>
      </c>
      <c r="GA185" s="17">
        <f>FZ185*VLOOKUP('Données projet'!$B$17,Paramètres!$A$1:$I$89,3,0)*VLOOKUP('Données projet'!$B$17,Paramètres!$A$1:$I$89,5,0)</f>
        <v>399.20400000000006</v>
      </c>
      <c r="GB185" s="13">
        <f t="shared" si="185"/>
        <v>91.615269732888521</v>
      </c>
      <c r="GC185" s="20">
        <f t="shared" si="186"/>
        <v>854.8435614514475</v>
      </c>
      <c r="GD185" s="59">
        <f t="shared" si="134"/>
        <v>1148.1768947847809</v>
      </c>
      <c r="GE185" s="59">
        <f ca="1">AVERAGE(OFFSET($GD$3,0,0,'Données projet'!$E$17+1,1))-AVERAGE(OFFSET($H$3,0,0,'Données projet'!$E$17+1,1))</f>
        <v>488.67934252295686</v>
      </c>
      <c r="GF185" s="59">
        <f t="shared" si="158"/>
        <v>424.50324471331095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18.384524726107433</v>
      </c>
      <c r="GM185" s="21">
        <f>EXP(-LN(2)/25)*GM184+(1-EXP(-LN(2)/25))/(LN(2)/25)*Calculateur!GH185*Calculateur!GJ185*VLOOKUP('Données projet'!$B$17,Paramètres!$A$1:$I$89,3,0)*0.475*44/12</f>
        <v>0.72413801069014727</v>
      </c>
      <c r="GN185" s="21">
        <f>EXP(-LN(2)/2)*GN184+(1-EXP(-LN(2)/2))/(LN(2)/2)*GH185*GK185*VLOOKUP('Données projet'!$B$17,Paramètres!$A$1:$I$89,3,0)*0.475*44/12</f>
        <v>1.0738603901748745E-23</v>
      </c>
      <c r="GO185" s="21">
        <f t="shared" si="187"/>
        <v>19.10866273679758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789</v>
      </c>
      <c r="GV185" s="17">
        <f>GU185*VLOOKUP('Données projet'!$B$18,Paramètres!$A$1:$I$89,3,0)*VLOOKUP('Données projet'!$B$18,Paramètres!$A$1:$I$89,5,0)</f>
        <v>379.50900000000001</v>
      </c>
      <c r="GW185" s="13">
        <f t="shared" si="188"/>
        <v>87.609801106074272</v>
      </c>
      <c r="GX185" s="20">
        <f t="shared" si="189"/>
        <v>813.56524525974601</v>
      </c>
      <c r="GY185" s="59">
        <f t="shared" si="137"/>
        <v>1106.8985785930793</v>
      </c>
      <c r="GZ185" s="59">
        <f ca="1">AVERAGE(OFFSET($GY$3,0,0,'Données projet'!$E$18+1,1))-AVERAGE(OFFSET($H$3,0,0,'Données projet'!$E$18+1,1))</f>
        <v>458.80976193248841</v>
      </c>
      <c r="HA185" s="59">
        <f t="shared" si="160"/>
        <v>396.07405370178759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18.615762598860478</v>
      </c>
      <c r="HH185" s="21">
        <f>EXP(-LN(2)/25)*HH184+(1-EXP(-LN(2)/25))/(LN(2)/25)*Calculateur!HC185*Calculateur!HE185*VLOOKUP('Données projet'!$B$18,Paramètres!$A$1:$I$89,3,0)*0.475*44/12</f>
        <v>0.67659359584685508</v>
      </c>
      <c r="HI185" s="21">
        <f>EXP(-LN(2)/2)*HI184+(1-EXP(-LN(2)/2))/(LN(2)/2)*HC185*HF185*VLOOKUP('Données projet'!$B$18,Paramètres!$A$1:$I$89,3,0)*0.475*44/12</f>
        <v>4.9553421632786212E-24</v>
      </c>
      <c r="HJ185" s="22">
        <f t="shared" si="190"/>
        <v>19.292356194707335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267</v>
      </c>
      <c r="O186" s="13">
        <f>N186*VLOOKUP('Données projet'!$B$9,Paramètres!$A$1:$I$89,3,0)*VLOOKUP('Données projet'!$B$9,Paramètres!$A$1:$I$89,5,0)</f>
        <v>241.58159999999998</v>
      </c>
      <c r="P186" s="13">
        <f t="shared" si="141"/>
        <v>58.779689232021951</v>
      </c>
      <c r="Q186" s="20">
        <f t="shared" si="162"/>
        <v>523.12924541243819</v>
      </c>
      <c r="R186" s="59">
        <f t="shared" si="109"/>
        <v>816.46257874577145</v>
      </c>
      <c r="S186" s="59">
        <f ca="1">AVERAGE(OFFSET($R$3,0,0,'Données projet'!$E$9+1,1))-AVERAGE(OFFSET($H$3,0,0,'Données projet'!$E$9+1,1))</f>
        <v>364.3481978218424</v>
      </c>
      <c r="T186" s="59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19.660098549388184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19.660098549388184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636.99999999999977</v>
      </c>
      <c r="AJ186" s="13">
        <f>AI186*VLOOKUP('Données projet'!$B$10,Paramètres!$A$1:$I$89,3,0)*VLOOKUP('Données projet'!$B$10,Paramètres!$A$1:$I$89,5,0)</f>
        <v>356.08299999999991</v>
      </c>
      <c r="AK186" s="13">
        <f t="shared" si="164"/>
        <v>82.813805255716545</v>
      </c>
      <c r="AL186" s="20">
        <f t="shared" si="165"/>
        <v>764.41193582037283</v>
      </c>
      <c r="AM186" s="59">
        <f t="shared" si="113"/>
        <v>1057.7452691537062</v>
      </c>
      <c r="AN186" s="59">
        <f ca="1">AVERAGE(OFFSET($AM$3,0,0,'Données projet'!$E$10+1,1))-AVERAGE(OFFSET($H$3,0,0,'Données projet'!$E$10+1,1))</f>
        <v>443.34220761968419</v>
      </c>
      <c r="AO186" s="59">
        <f t="shared" si="144"/>
        <v>546.58234447298014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8.5531333601122181</v>
      </c>
      <c r="AV186" s="21">
        <f>EXP(-LN(2)/25)*AV185+(1-EXP(-LN(2)/25))/(LN(2)/25)*Calculateur!AQ186*Calculateur!AS186*VLOOKUP('Données projet'!$B$10,Paramètres!$A$1:$I$89,3,0)*0.475*44/12</f>
        <v>0.31541306745284431</v>
      </c>
      <c r="AW186" s="21">
        <f>EXP(-LN(2)/2)*AW185+(1-EXP(-LN(2)/2))/(LN(2)/2)*AQ186*AT186*VLOOKUP('Données projet'!$B$10,Paramètres!$A$1:$I$89,3,0)*0.475*44/12</f>
        <v>5.6542036870432197E-23</v>
      </c>
      <c r="AX186" s="21">
        <f t="shared" si="166"/>
        <v>8.8685464275650627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403.99999999999989</v>
      </c>
      <c r="BE186" s="13">
        <f>BD186*VLOOKUP('Données projet'!$B$11,Paramètres!$A$1:$I$89,3,0)*VLOOKUP('Données projet'!$B$11,Paramètres!$A$1:$I$89,5,0)</f>
        <v>346.63199999999995</v>
      </c>
      <c r="BF186" s="13">
        <f t="shared" si="167"/>
        <v>80.868615263336864</v>
      </c>
      <c r="BG186" s="20">
        <f t="shared" si="168"/>
        <v>744.56357158364483</v>
      </c>
      <c r="BH186" s="59">
        <f t="shared" si="116"/>
        <v>1037.8969049169782</v>
      </c>
      <c r="BI186" s="59">
        <f ca="1">AVERAGE(OFFSET($BH$3,0,0,'Données projet'!$E$11+1,1))-AVERAGE(OFFSET($H$3,0,0,'Données projet'!$E$11+1,1))</f>
        <v>447.15627913956871</v>
      </c>
      <c r="BJ186" s="59">
        <f t="shared" si="146"/>
        <v>256.77417912163997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28.70474121149692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28.70474121149692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245.99999999999994</v>
      </c>
      <c r="BZ186" s="13">
        <f>BY186*VLOOKUP('Données projet'!$B$12,Paramètres!$A$1:$I$89,3,0)*VLOOKUP('Données projet'!$B$12,Paramètres!$A$1:$I$89,5,0)</f>
        <v>234.09359999999998</v>
      </c>
      <c r="CA186" s="13">
        <f t="shared" si="170"/>
        <v>57.166902703920208</v>
      </c>
      <c r="CB186" s="20">
        <f t="shared" si="171"/>
        <v>507.27870887599425</v>
      </c>
      <c r="CC186" s="59">
        <f t="shared" si="119"/>
        <v>800.61204220932757</v>
      </c>
      <c r="CD186" s="59">
        <f ca="1">AVERAGE(OFFSET($CC$3,0,0,'Données projet'!$E$12+1,1))-AVERAGE(OFFSET($H$3,0,0,'Données projet'!$E$12+1,1))</f>
        <v>448.94764480536713</v>
      </c>
      <c r="CE186" s="59">
        <f t="shared" si="148"/>
        <v>469.26760321719695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20.282248503102938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20.282248503102938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187.80389738728508</v>
      </c>
      <c r="CZ186" s="59">
        <f t="shared" si="150"/>
        <v>439.28159165815265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5.9671989144058717</v>
      </c>
      <c r="DG186" s="21">
        <f>EXP(-LN(2)/25)*DG185+(1-EXP(-LN(2)/25))/(LN(2)/25)*Calculateur!DB186*Calculateur!DD186*VLOOKUP('Données projet'!$B$13,Paramètres!$A$1:$I$89,3,0)*0.475*44/12</f>
        <v>0.20671598033250668</v>
      </c>
      <c r="DH186" s="21">
        <f>EXP(-LN(2)/2)*DH185+(1-EXP(-LN(2)/2))/(LN(2)/2)*DB186*DE186*VLOOKUP('Données projet'!$B$13,Paramètres!$A$1:$I$89,3,0)*0.475*44/12</f>
        <v>4.207760486120347E-25</v>
      </c>
      <c r="DI186" s="22">
        <f t="shared" si="175"/>
        <v>6.1739148947383784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255.00000000000006</v>
      </c>
      <c r="DP186" s="17">
        <f>DO186*VLOOKUP('Données projet'!$B$14,Paramètres!$A$1:$I$89,3,0)*VLOOKUP('Données projet'!$B$14,Paramètres!$A$1:$I$89,5,0)</f>
        <v>186.96600000000004</v>
      </c>
      <c r="DQ186" s="13">
        <f t="shared" si="176"/>
        <v>46.868551400324648</v>
      </c>
      <c r="DR186" s="20">
        <f t="shared" si="177"/>
        <v>407.26184368889881</v>
      </c>
      <c r="DS186" s="59">
        <f t="shared" si="125"/>
        <v>700.59517702223206</v>
      </c>
      <c r="DT186" s="59">
        <f ca="1">AVERAGE(OFFSET($DS$3,0,0,'Données projet'!$E$14+1,1))-AVERAGE(OFFSET($H$3,0,0,'Données projet'!$E$14+1,1))</f>
        <v>239.25212250019609</v>
      </c>
      <c r="DU186" s="59">
        <f t="shared" si="152"/>
        <v>213.58492101729695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689</v>
      </c>
      <c r="EK186" s="17">
        <f>EJ186*VLOOKUP('Données projet'!$B$15,Paramètres!$A$1:$I$89,3,0)*VLOOKUP('Données projet'!$B$15,Paramètres!$A$1:$I$89,5,0)</f>
        <v>412.02199999999999</v>
      </c>
      <c r="EL186" s="13">
        <f t="shared" si="179"/>
        <v>94.209724877926391</v>
      </c>
      <c r="EM186" s="20">
        <f t="shared" si="180"/>
        <v>881.686920829055</v>
      </c>
      <c r="EN186" s="59">
        <f t="shared" si="128"/>
        <v>1175.0202541623883</v>
      </c>
      <c r="EO186" s="59">
        <f ca="1">AVERAGE(OFFSET($EN$3,0,0,'Données projet'!$E$15+1,1))-AVERAGE(OFFSET($H$3,0,0,'Données projet'!$E$15+1,1))</f>
        <v>504.81063008331739</v>
      </c>
      <c r="EP186" s="59">
        <f t="shared" si="154"/>
        <v>441.82647565372287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12.728216015212386</v>
      </c>
      <c r="EW186" s="21">
        <f>EXP(-LN(2)/25)*EW185+(1-EXP(-LN(2)/25))/(LN(2)/25)*Calculateur!ER186*Calculateur!ET186*VLOOKUP('Données projet'!$B$15,Paramètres!$A$1:$I$89,3,0)*0.475*44/12</f>
        <v>0.84656165319172683</v>
      </c>
      <c r="EX186" s="21">
        <f>EXP(-LN(2)/2)*EX185+(1-EXP(-LN(2)/2))/(LN(2)/2)*ER186*EU186*VLOOKUP('Données projet'!$B$15,Paramètres!$A$1:$I$89,3,0)*0.475*44/12</f>
        <v>4.9005533678615353E-25</v>
      </c>
      <c r="EY186" s="22">
        <f t="shared" si="181"/>
        <v>13.574777668404113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541.99999999999989</v>
      </c>
      <c r="FF186" s="17">
        <f>FE186*VLOOKUP('Données projet'!$B$16,Paramètres!$A$1:$I$89,3,0)*VLOOKUP('Données projet'!$B$16,Paramètres!$A$1:$I$89,5,0)</f>
        <v>310.02399999999994</v>
      </c>
      <c r="FG186" s="13">
        <f t="shared" si="182"/>
        <v>73.27384230442388</v>
      </c>
      <c r="FH186" s="20">
        <f t="shared" si="183"/>
        <v>667.57707534687154</v>
      </c>
      <c r="FI186" s="59">
        <f t="shared" si="131"/>
        <v>960.91040868020491</v>
      </c>
      <c r="FJ186" s="59">
        <f ca="1">AVERAGE(OFFSET($FI$3,0,0,'Données projet'!$E$16+1,1))-AVERAGE(OFFSET($H$3,0,0,'Données projet'!$E$16+1,1))</f>
        <v>393.41577134252316</v>
      </c>
      <c r="FK186" s="59">
        <f t="shared" si="156"/>
        <v>255.54039659391475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14.90416420421116</v>
      </c>
      <c r="FR186" s="21">
        <f>EXP(-LN(2)/25)*FR185+(1-EXP(-LN(2)/25))/(LN(2)/25)*Calculateur!FM186*Calculateur!FO186*VLOOKUP('Données projet'!$B$16,Paramètres!$A$1:$I$89,3,0)*0.475*44/12</f>
        <v>0.3841835011129428</v>
      </c>
      <c r="FS186" s="21">
        <f>EXP(-LN(2)/2)*FS185+(1-EXP(-LN(2)/2))/(LN(2)/2)*FM186*FP186*VLOOKUP('Données projet'!$B$16,Paramètres!$A$1:$I$89,3,0)*0.475*44/12</f>
        <v>3.4092545319767933E-24</v>
      </c>
      <c r="FT186" s="22">
        <f t="shared" si="184"/>
        <v>15.288347705324103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853.00000000000011</v>
      </c>
      <c r="GA186" s="17">
        <f>FZ186*VLOOKUP('Données projet'!$B$17,Paramètres!$A$1:$I$89,3,0)*VLOOKUP('Données projet'!$B$17,Paramètres!$A$1:$I$89,5,0)</f>
        <v>399.20400000000006</v>
      </c>
      <c r="GB186" s="13">
        <f t="shared" si="185"/>
        <v>91.615269732888521</v>
      </c>
      <c r="GC186" s="20">
        <f t="shared" si="186"/>
        <v>854.8435614514475</v>
      </c>
      <c r="GD186" s="59">
        <f t="shared" si="134"/>
        <v>1148.1768947847809</v>
      </c>
      <c r="GE186" s="59">
        <f ca="1">AVERAGE(OFFSET($GD$3,0,0,'Données projet'!$E$17+1,1))-AVERAGE(OFFSET($H$3,0,0,'Données projet'!$E$17+1,1))</f>
        <v>488.67934252295686</v>
      </c>
      <c r="GF186" s="59">
        <f t="shared" si="158"/>
        <v>424.50324471331095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18.024015409681311</v>
      </c>
      <c r="GM186" s="21">
        <f>EXP(-LN(2)/25)*GM185+(1-EXP(-LN(2)/25))/(LN(2)/25)*Calculateur!GH186*Calculateur!GJ186*VLOOKUP('Données projet'!$B$17,Paramètres!$A$1:$I$89,3,0)*0.475*44/12</f>
        <v>0.70433641870706221</v>
      </c>
      <c r="GN186" s="21">
        <f>EXP(-LN(2)/2)*GN185+(1-EXP(-LN(2)/2))/(LN(2)/2)*GH186*GK186*VLOOKUP('Données projet'!$B$17,Paramètres!$A$1:$I$89,3,0)*0.475*44/12</f>
        <v>7.5933396394028554E-24</v>
      </c>
      <c r="GO186" s="21">
        <f t="shared" si="187"/>
        <v>18.728351828388373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789</v>
      </c>
      <c r="GV186" s="17">
        <f>GU186*VLOOKUP('Données projet'!$B$18,Paramètres!$A$1:$I$89,3,0)*VLOOKUP('Données projet'!$B$18,Paramètres!$A$1:$I$89,5,0)</f>
        <v>379.50900000000001</v>
      </c>
      <c r="GW186" s="13">
        <f t="shared" si="188"/>
        <v>87.609801106074272</v>
      </c>
      <c r="GX186" s="20">
        <f t="shared" si="189"/>
        <v>813.56524525974601</v>
      </c>
      <c r="GY186" s="59">
        <f t="shared" si="137"/>
        <v>1106.8985785930793</v>
      </c>
      <c r="GZ186" s="59">
        <f ca="1">AVERAGE(OFFSET($GY$3,0,0,'Données projet'!$E$18+1,1))-AVERAGE(OFFSET($H$3,0,0,'Données projet'!$E$18+1,1))</f>
        <v>458.80976193248841</v>
      </c>
      <c r="HA186" s="59">
        <f t="shared" si="160"/>
        <v>396.07405370178759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18.250718848790846</v>
      </c>
      <c r="HH186" s="21">
        <f>EXP(-LN(2)/25)*HH185+(1-EXP(-LN(2)/25))/(LN(2)/25)*Calculateur!HC186*Calculateur!HE186*VLOOKUP('Données projet'!$B$18,Paramètres!$A$1:$I$89,3,0)*0.475*44/12</f>
        <v>0.65809210838791199</v>
      </c>
      <c r="HI186" s="21">
        <f>EXP(-LN(2)/2)*HI185+(1-EXP(-LN(2)/2))/(LN(2)/2)*HC186*HF186*VLOOKUP('Données projet'!$B$18,Paramètres!$A$1:$I$89,3,0)*0.475*44/12</f>
        <v>3.5039560467539291E-24</v>
      </c>
      <c r="HJ186" s="22">
        <f t="shared" si="190"/>
        <v>18.908810957178758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267</v>
      </c>
      <c r="O187" s="13">
        <f>N187*VLOOKUP('Données projet'!$B$9,Paramètres!$A$1:$I$89,3,0)*VLOOKUP('Données projet'!$B$9,Paramètres!$A$1:$I$89,5,0)</f>
        <v>241.58159999999998</v>
      </c>
      <c r="P187" s="13">
        <f t="shared" si="141"/>
        <v>58.779689232021951</v>
      </c>
      <c r="Q187" s="20">
        <f t="shared" si="162"/>
        <v>523.12924541243819</v>
      </c>
      <c r="R187" s="59">
        <f t="shared" si="109"/>
        <v>816.46257874577145</v>
      </c>
      <c r="S187" s="59">
        <f ca="1">AVERAGE(OFFSET($R$3,0,0,'Données projet'!$E$9+1,1))-AVERAGE(OFFSET($H$3,0,0,'Données projet'!$E$9+1,1))</f>
        <v>364.3481978218424</v>
      </c>
      <c r="T187" s="59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19.274576008310738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19.274576008310738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636.99999999999977</v>
      </c>
      <c r="AJ187" s="13">
        <f>AI187*VLOOKUP('Données projet'!$B$10,Paramètres!$A$1:$I$89,3,0)*VLOOKUP('Données projet'!$B$10,Paramètres!$A$1:$I$89,5,0)</f>
        <v>356.08299999999991</v>
      </c>
      <c r="AK187" s="13">
        <f t="shared" si="164"/>
        <v>82.813805255716545</v>
      </c>
      <c r="AL187" s="20">
        <f t="shared" si="165"/>
        <v>764.41193582037283</v>
      </c>
      <c r="AM187" s="59">
        <f t="shared" si="113"/>
        <v>1057.7452691537062</v>
      </c>
      <c r="AN187" s="59">
        <f ca="1">AVERAGE(OFFSET($AM$3,0,0,'Données projet'!$E$10+1,1))-AVERAGE(OFFSET($H$3,0,0,'Données projet'!$E$10+1,1))</f>
        <v>443.34220761968419</v>
      </c>
      <c r="AO187" s="59">
        <f t="shared" si="144"/>
        <v>546.58234447298014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8.3854116318166412</v>
      </c>
      <c r="AV187" s="21">
        <f>EXP(-LN(2)/25)*AV186+(1-EXP(-LN(2)/25))/(LN(2)/25)*Calculateur!AQ187*Calculateur!AS187*VLOOKUP('Données projet'!$B$10,Paramètres!$A$1:$I$89,3,0)*0.475*44/12</f>
        <v>0.30678808053649392</v>
      </c>
      <c r="AW187" s="21">
        <f>EXP(-LN(2)/2)*AW186+(1-EXP(-LN(2)/2))/(LN(2)/2)*AQ187*AT187*VLOOKUP('Données projet'!$B$10,Paramètres!$A$1:$I$89,3,0)*0.475*44/12</f>
        <v>3.9981257693182402E-23</v>
      </c>
      <c r="AX187" s="21">
        <f t="shared" si="166"/>
        <v>8.6921997123531352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403.99999999999989</v>
      </c>
      <c r="BE187" s="13">
        <f>BD187*VLOOKUP('Données projet'!$B$11,Paramètres!$A$1:$I$89,3,0)*VLOOKUP('Données projet'!$B$11,Paramètres!$A$1:$I$89,5,0)</f>
        <v>346.63199999999995</v>
      </c>
      <c r="BF187" s="13">
        <f t="shared" si="167"/>
        <v>80.868615263336864</v>
      </c>
      <c r="BG187" s="20">
        <f t="shared" si="168"/>
        <v>744.56357158364483</v>
      </c>
      <c r="BH187" s="59">
        <f t="shared" si="116"/>
        <v>1037.8969049169782</v>
      </c>
      <c r="BI187" s="59">
        <f ca="1">AVERAGE(OFFSET($BH$3,0,0,'Données projet'!$E$11+1,1))-AVERAGE(OFFSET($H$3,0,0,'Données projet'!$E$11+1,1))</f>
        <v>447.15627913956871</v>
      </c>
      <c r="BJ187" s="59">
        <f t="shared" si="146"/>
        <v>256.77417912163997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28.141858744502816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28.141858744502816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245.99999999999994</v>
      </c>
      <c r="BZ187" s="13">
        <f>BY187*VLOOKUP('Données projet'!$B$12,Paramètres!$A$1:$I$89,3,0)*VLOOKUP('Données projet'!$B$12,Paramètres!$A$1:$I$89,5,0)</f>
        <v>234.09359999999998</v>
      </c>
      <c r="CA187" s="13">
        <f t="shared" si="170"/>
        <v>57.166902703920208</v>
      </c>
      <c r="CB187" s="20">
        <f t="shared" si="171"/>
        <v>507.27870887599425</v>
      </c>
      <c r="CC187" s="59">
        <f t="shared" si="119"/>
        <v>800.61204220932757</v>
      </c>
      <c r="CD187" s="59">
        <f ca="1">AVERAGE(OFFSET($CC$3,0,0,'Données projet'!$E$12+1,1))-AVERAGE(OFFSET($H$3,0,0,'Données projet'!$E$12+1,1))</f>
        <v>448.94764480536713</v>
      </c>
      <c r="CE187" s="59">
        <f t="shared" si="148"/>
        <v>469.26760321719695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19.884525980907146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19.884525980907146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187.80389738728508</v>
      </c>
      <c r="CZ187" s="59">
        <f t="shared" si="150"/>
        <v>439.28159165815265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5.8501857833263262</v>
      </c>
      <c r="DG187" s="21">
        <f>EXP(-LN(2)/25)*DG186+(1-EXP(-LN(2)/25))/(LN(2)/25)*Calculateur!DB187*Calculateur!DD187*VLOOKUP('Données projet'!$B$13,Paramètres!$A$1:$I$89,3,0)*0.475*44/12</f>
        <v>0.20106332097959334</v>
      </c>
      <c r="DH187" s="21">
        <f>EXP(-LN(2)/2)*DH186+(1-EXP(-LN(2)/2))/(LN(2)/2)*DB187*DE187*VLOOKUP('Données projet'!$B$13,Paramètres!$A$1:$I$89,3,0)*0.475*44/12</f>
        <v>2.9753359733445011E-25</v>
      </c>
      <c r="DI187" s="22">
        <f t="shared" si="175"/>
        <v>6.0512491043059198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255.00000000000006</v>
      </c>
      <c r="DP187" s="17">
        <f>DO187*VLOOKUP('Données projet'!$B$14,Paramètres!$A$1:$I$89,3,0)*VLOOKUP('Données projet'!$B$14,Paramètres!$A$1:$I$89,5,0)</f>
        <v>186.96600000000004</v>
      </c>
      <c r="DQ187" s="13">
        <f t="shared" si="176"/>
        <v>46.868551400324648</v>
      </c>
      <c r="DR187" s="20">
        <f t="shared" si="177"/>
        <v>407.26184368889881</v>
      </c>
      <c r="DS187" s="59">
        <f t="shared" si="125"/>
        <v>700.59517702223206</v>
      </c>
      <c r="DT187" s="59">
        <f ca="1">AVERAGE(OFFSET($DS$3,0,0,'Données projet'!$E$14+1,1))-AVERAGE(OFFSET($H$3,0,0,'Données projet'!$E$14+1,1))</f>
        <v>239.25212250019609</v>
      </c>
      <c r="DU187" s="59">
        <f t="shared" si="152"/>
        <v>213.58492101729695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689</v>
      </c>
      <c r="EK187" s="17">
        <f>EJ187*VLOOKUP('Données projet'!$B$15,Paramètres!$A$1:$I$89,3,0)*VLOOKUP('Données projet'!$B$15,Paramètres!$A$1:$I$89,5,0)</f>
        <v>412.02199999999999</v>
      </c>
      <c r="EL187" s="13">
        <f t="shared" si="179"/>
        <v>94.209724877926391</v>
      </c>
      <c r="EM187" s="20">
        <f t="shared" si="180"/>
        <v>881.686920829055</v>
      </c>
      <c r="EN187" s="59">
        <f t="shared" si="128"/>
        <v>1175.0202541623883</v>
      </c>
      <c r="EO187" s="59">
        <f ca="1">AVERAGE(OFFSET($EN$3,0,0,'Données projet'!$E$15+1,1))-AVERAGE(OFFSET($H$3,0,0,'Données projet'!$E$15+1,1))</f>
        <v>504.81063008331739</v>
      </c>
      <c r="EP187" s="59">
        <f t="shared" si="154"/>
        <v>441.82647565372287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12.478623462599264</v>
      </c>
      <c r="EW187" s="21">
        <f>EXP(-LN(2)/25)*EW186+(1-EXP(-LN(2)/25))/(LN(2)/25)*Calculateur!ER187*Calculateur!ET187*VLOOKUP('Données projet'!$B$15,Paramètres!$A$1:$I$89,3,0)*0.475*44/12</f>
        <v>0.82341238026645658</v>
      </c>
      <c r="EX187" s="21">
        <f>EXP(-LN(2)/2)*EX186+(1-EXP(-LN(2)/2))/(LN(2)/2)*ER187*EU187*VLOOKUP('Données projet'!$B$15,Paramètres!$A$1:$I$89,3,0)*0.475*44/12</f>
        <v>3.4652145179814653E-25</v>
      </c>
      <c r="EY187" s="22">
        <f t="shared" si="181"/>
        <v>13.30203584286572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541.99999999999989</v>
      </c>
      <c r="FF187" s="17">
        <f>FE187*VLOOKUP('Données projet'!$B$16,Paramètres!$A$1:$I$89,3,0)*VLOOKUP('Données projet'!$B$16,Paramètres!$A$1:$I$89,5,0)</f>
        <v>310.02399999999994</v>
      </c>
      <c r="FG187" s="13">
        <f t="shared" si="182"/>
        <v>73.27384230442388</v>
      </c>
      <c r="FH187" s="20">
        <f t="shared" si="183"/>
        <v>667.57707534687154</v>
      </c>
      <c r="FI187" s="59">
        <f t="shared" si="131"/>
        <v>960.91040868020491</v>
      </c>
      <c r="FJ187" s="59">
        <f ca="1">AVERAGE(OFFSET($FI$3,0,0,'Données projet'!$E$16+1,1))-AVERAGE(OFFSET($H$3,0,0,'Données projet'!$E$16+1,1))</f>
        <v>393.41577134252316</v>
      </c>
      <c r="FK187" s="59">
        <f t="shared" si="156"/>
        <v>255.54039659391475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14.611902634809118</v>
      </c>
      <c r="FR187" s="21">
        <f>EXP(-LN(2)/25)*FR186+(1-EXP(-LN(2)/25))/(LN(2)/25)*Calculateur!FM187*Calculateur!FO187*VLOOKUP('Données projet'!$B$16,Paramètres!$A$1:$I$89,3,0)*0.475*44/12</f>
        <v>0.3736779830716771</v>
      </c>
      <c r="FS187" s="21">
        <f>EXP(-LN(2)/2)*FS186+(1-EXP(-LN(2)/2))/(LN(2)/2)*FM187*FP187*VLOOKUP('Données projet'!$B$16,Paramètres!$A$1:$I$89,3,0)*0.475*44/12</f>
        <v>2.4107069983517599E-24</v>
      </c>
      <c r="FT187" s="22">
        <f t="shared" si="184"/>
        <v>14.985580617880794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853.00000000000011</v>
      </c>
      <c r="GA187" s="17">
        <f>FZ187*VLOOKUP('Données projet'!$B$17,Paramètres!$A$1:$I$89,3,0)*VLOOKUP('Données projet'!$B$17,Paramètres!$A$1:$I$89,5,0)</f>
        <v>399.20400000000006</v>
      </c>
      <c r="GB187" s="13">
        <f t="shared" si="185"/>
        <v>91.615269732888521</v>
      </c>
      <c r="GC187" s="20">
        <f t="shared" si="186"/>
        <v>854.8435614514475</v>
      </c>
      <c r="GD187" s="59">
        <f t="shared" si="134"/>
        <v>1148.1768947847809</v>
      </c>
      <c r="GE187" s="59">
        <f ca="1">AVERAGE(OFFSET($GD$3,0,0,'Données projet'!$E$17+1,1))-AVERAGE(OFFSET($H$3,0,0,'Données projet'!$E$17+1,1))</f>
        <v>488.67934252295686</v>
      </c>
      <c r="GF187" s="59">
        <f t="shared" si="158"/>
        <v>424.50324471331095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17.670575461061336</v>
      </c>
      <c r="GM187" s="21">
        <f>EXP(-LN(2)/25)*GM186+(1-EXP(-LN(2)/25))/(LN(2)/25)*Calculateur!GH187*Calculateur!GJ187*VLOOKUP('Données projet'!$B$17,Paramètres!$A$1:$I$89,3,0)*0.475*44/12</f>
        <v>0.68507630229807515</v>
      </c>
      <c r="GN187" s="21">
        <f>EXP(-LN(2)/2)*GN186+(1-EXP(-LN(2)/2))/(LN(2)/2)*GH187*GK187*VLOOKUP('Données projet'!$B$17,Paramètres!$A$1:$I$89,3,0)*0.475*44/12</f>
        <v>5.3693019508743727E-24</v>
      </c>
      <c r="GO187" s="21">
        <f t="shared" si="187"/>
        <v>18.355651763359411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789</v>
      </c>
      <c r="GV187" s="17">
        <f>GU187*VLOOKUP('Données projet'!$B$18,Paramètres!$A$1:$I$89,3,0)*VLOOKUP('Données projet'!$B$18,Paramètres!$A$1:$I$89,5,0)</f>
        <v>379.50900000000001</v>
      </c>
      <c r="GW187" s="13">
        <f t="shared" si="188"/>
        <v>87.609801106074272</v>
      </c>
      <c r="GX187" s="20">
        <f t="shared" si="189"/>
        <v>813.56524525974601</v>
      </c>
      <c r="GY187" s="59">
        <f t="shared" si="137"/>
        <v>1106.8985785930793</v>
      </c>
      <c r="GZ187" s="59">
        <f ca="1">AVERAGE(OFFSET($GY$3,0,0,'Données projet'!$E$18+1,1))-AVERAGE(OFFSET($H$3,0,0,'Données projet'!$E$18+1,1))</f>
        <v>458.80976193248841</v>
      </c>
      <c r="HA187" s="59">
        <f t="shared" si="160"/>
        <v>396.07405370178759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17.892833384005378</v>
      </c>
      <c r="HH187" s="21">
        <f>EXP(-LN(2)/25)*HH186+(1-EXP(-LN(2)/25))/(LN(2)/25)*Calculateur!HC187*Calculateur!HE187*VLOOKUP('Données projet'!$B$18,Paramètres!$A$1:$I$89,3,0)*0.475*44/12</f>
        <v>0.64009654507648461</v>
      </c>
      <c r="HI187" s="21">
        <f>EXP(-LN(2)/2)*HI186+(1-EXP(-LN(2)/2))/(LN(2)/2)*HC187*HF187*VLOOKUP('Données projet'!$B$18,Paramètres!$A$1:$I$89,3,0)*0.475*44/12</f>
        <v>2.4776710816393106E-24</v>
      </c>
      <c r="HJ187" s="22">
        <f t="shared" si="190"/>
        <v>18.532929929081863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267</v>
      </c>
      <c r="O188" s="13">
        <f>N188*VLOOKUP('Données projet'!$B$9,Paramètres!$A$1:$I$89,3,0)*VLOOKUP('Données projet'!$B$9,Paramètres!$A$1:$I$89,5,0)</f>
        <v>241.58159999999998</v>
      </c>
      <c r="P188" s="13">
        <f t="shared" si="141"/>
        <v>58.779689232021951</v>
      </c>
      <c r="Q188" s="20">
        <f t="shared" si="162"/>
        <v>523.12924541243819</v>
      </c>
      <c r="R188" s="59">
        <f t="shared" si="109"/>
        <v>816.46257874577145</v>
      </c>
      <c r="S188" s="59">
        <f ca="1">AVERAGE(OFFSET($R$3,0,0,'Données projet'!$E$9+1,1))-AVERAGE(OFFSET($H$3,0,0,'Données projet'!$E$9+1,1))</f>
        <v>364.3481978218424</v>
      </c>
      <c r="T188" s="59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18.896613329118289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18.896613329118289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636.99999999999977</v>
      </c>
      <c r="AJ188" s="13">
        <f>AI188*VLOOKUP('Données projet'!$B$10,Paramètres!$A$1:$I$89,3,0)*VLOOKUP('Données projet'!$B$10,Paramètres!$A$1:$I$89,5,0)</f>
        <v>356.08299999999991</v>
      </c>
      <c r="AK188" s="13">
        <f t="shared" si="164"/>
        <v>82.813805255716545</v>
      </c>
      <c r="AL188" s="20">
        <f t="shared" si="165"/>
        <v>764.41193582037283</v>
      </c>
      <c r="AM188" s="59">
        <f t="shared" si="113"/>
        <v>1057.7452691537062</v>
      </c>
      <c r="AN188" s="59">
        <f ca="1">AVERAGE(OFFSET($AM$3,0,0,'Données projet'!$E$10+1,1))-AVERAGE(OFFSET($H$3,0,0,'Données projet'!$E$10+1,1))</f>
        <v>443.34220761968419</v>
      </c>
      <c r="AO188" s="59">
        <f t="shared" si="144"/>
        <v>546.58234447298014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8.2209788243127875</v>
      </c>
      <c r="AV188" s="21">
        <f>EXP(-LN(2)/25)*AV187+(1-EXP(-LN(2)/25))/(LN(2)/25)*Calculateur!AQ188*Calculateur!AS188*VLOOKUP('Données projet'!$B$10,Paramètres!$A$1:$I$89,3,0)*0.475*44/12</f>
        <v>0.2983989443409395</v>
      </c>
      <c r="AW188" s="21">
        <f>EXP(-LN(2)/2)*AW187+(1-EXP(-LN(2)/2))/(LN(2)/2)*AQ188*AT188*VLOOKUP('Données projet'!$B$10,Paramètres!$A$1:$I$89,3,0)*0.475*44/12</f>
        <v>2.8271018435216099E-23</v>
      </c>
      <c r="AX188" s="21">
        <f t="shared" si="166"/>
        <v>8.5193777686537278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403.99999999999989</v>
      </c>
      <c r="BE188" s="13">
        <f>BD188*VLOOKUP('Données projet'!$B$11,Paramètres!$A$1:$I$89,3,0)*VLOOKUP('Données projet'!$B$11,Paramètres!$A$1:$I$89,5,0)</f>
        <v>346.63199999999995</v>
      </c>
      <c r="BF188" s="13">
        <f t="shared" si="167"/>
        <v>80.868615263336864</v>
      </c>
      <c r="BG188" s="20">
        <f t="shared" si="168"/>
        <v>744.56357158364483</v>
      </c>
      <c r="BH188" s="59">
        <f t="shared" si="116"/>
        <v>1037.8969049169782</v>
      </c>
      <c r="BI188" s="59">
        <f ca="1">AVERAGE(OFFSET($BH$3,0,0,'Données projet'!$E$11+1,1))-AVERAGE(OFFSET($H$3,0,0,'Données projet'!$E$11+1,1))</f>
        <v>447.15627913956871</v>
      </c>
      <c r="BJ188" s="59">
        <f t="shared" si="146"/>
        <v>256.77417912163997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27.590014059362062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27.590014059362062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245.99999999999994</v>
      </c>
      <c r="BZ188" s="13">
        <f>BY188*VLOOKUP('Données projet'!$B$12,Paramètres!$A$1:$I$89,3,0)*VLOOKUP('Données projet'!$B$12,Paramètres!$A$1:$I$89,5,0)</f>
        <v>234.09359999999998</v>
      </c>
      <c r="CA188" s="13">
        <f t="shared" si="170"/>
        <v>57.166902703920208</v>
      </c>
      <c r="CB188" s="20">
        <f t="shared" si="171"/>
        <v>507.27870887599425</v>
      </c>
      <c r="CC188" s="59">
        <f t="shared" si="119"/>
        <v>800.61204220932757</v>
      </c>
      <c r="CD188" s="59">
        <f ca="1">AVERAGE(OFFSET($CC$3,0,0,'Données projet'!$E$12+1,1))-AVERAGE(OFFSET($H$3,0,0,'Données projet'!$E$12+1,1))</f>
        <v>448.94764480536713</v>
      </c>
      <c r="CE188" s="59">
        <f t="shared" si="148"/>
        <v>469.26760321719695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19.49460255478483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19.49460255478483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187.80389738728508</v>
      </c>
      <c r="CZ188" s="59">
        <f t="shared" si="150"/>
        <v>439.28159165815265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5.7354672083762885</v>
      </c>
      <c r="DG188" s="21">
        <f>EXP(-LN(2)/25)*DG187+(1-EXP(-LN(2)/25))/(LN(2)/25)*Calculateur!DB188*Calculateur!DD188*VLOOKUP('Données projet'!$B$13,Paramètres!$A$1:$I$89,3,0)*0.475*44/12</f>
        <v>0.19556523389394584</v>
      </c>
      <c r="DH188" s="21">
        <f>EXP(-LN(2)/2)*DH187+(1-EXP(-LN(2)/2))/(LN(2)/2)*DB188*DE188*VLOOKUP('Données projet'!$B$13,Paramètres!$A$1:$I$89,3,0)*0.475*44/12</f>
        <v>2.1038802430601735E-25</v>
      </c>
      <c r="DI188" s="22">
        <f t="shared" si="175"/>
        <v>5.9310324422702347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255.00000000000006</v>
      </c>
      <c r="DP188" s="17">
        <f>DO188*VLOOKUP('Données projet'!$B$14,Paramètres!$A$1:$I$89,3,0)*VLOOKUP('Données projet'!$B$14,Paramètres!$A$1:$I$89,5,0)</f>
        <v>186.96600000000004</v>
      </c>
      <c r="DQ188" s="13">
        <f t="shared" si="176"/>
        <v>46.868551400324648</v>
      </c>
      <c r="DR188" s="20">
        <f t="shared" si="177"/>
        <v>407.26184368889881</v>
      </c>
      <c r="DS188" s="59">
        <f t="shared" si="125"/>
        <v>700.59517702223206</v>
      </c>
      <c r="DT188" s="59">
        <f ca="1">AVERAGE(OFFSET($DS$3,0,0,'Données projet'!$E$14+1,1))-AVERAGE(OFFSET($H$3,0,0,'Données projet'!$E$14+1,1))</f>
        <v>239.25212250019609</v>
      </c>
      <c r="DU188" s="59">
        <f t="shared" si="152"/>
        <v>213.58492101729695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689</v>
      </c>
      <c r="EK188" s="17">
        <f>EJ188*VLOOKUP('Données projet'!$B$15,Paramètres!$A$1:$I$89,3,0)*VLOOKUP('Données projet'!$B$15,Paramètres!$A$1:$I$89,5,0)</f>
        <v>412.02199999999999</v>
      </c>
      <c r="EL188" s="13">
        <f t="shared" si="179"/>
        <v>94.209724877926391</v>
      </c>
      <c r="EM188" s="20">
        <f t="shared" si="180"/>
        <v>881.686920829055</v>
      </c>
      <c r="EN188" s="59">
        <f t="shared" si="128"/>
        <v>1175.0202541623883</v>
      </c>
      <c r="EO188" s="59">
        <f ca="1">AVERAGE(OFFSET($EN$3,0,0,'Données projet'!$E$15+1,1))-AVERAGE(OFFSET($H$3,0,0,'Données projet'!$E$15+1,1))</f>
        <v>504.81063008331739</v>
      </c>
      <c r="EP188" s="59">
        <f t="shared" si="154"/>
        <v>441.82647565372287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12.233925267706461</v>
      </c>
      <c r="EW188" s="21">
        <f>EXP(-LN(2)/25)*EW187+(1-EXP(-LN(2)/25))/(LN(2)/25)*Calculateur!ER188*Calculateur!ET188*VLOOKUP('Données projet'!$B$15,Paramètres!$A$1:$I$89,3,0)*0.475*44/12</f>
        <v>0.80089612542669519</v>
      </c>
      <c r="EX188" s="21">
        <f>EXP(-LN(2)/2)*EX187+(1-EXP(-LN(2)/2))/(LN(2)/2)*ER188*EU188*VLOOKUP('Données projet'!$B$15,Paramètres!$A$1:$I$89,3,0)*0.475*44/12</f>
        <v>2.4502766839307677E-25</v>
      </c>
      <c r="EY188" s="22">
        <f t="shared" si="181"/>
        <v>13.034821393133155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541.99999999999989</v>
      </c>
      <c r="FF188" s="17">
        <f>FE188*VLOOKUP('Données projet'!$B$16,Paramètres!$A$1:$I$89,3,0)*VLOOKUP('Données projet'!$B$16,Paramètres!$A$1:$I$89,5,0)</f>
        <v>310.02399999999994</v>
      </c>
      <c r="FG188" s="13">
        <f t="shared" si="182"/>
        <v>73.27384230442388</v>
      </c>
      <c r="FH188" s="20">
        <f t="shared" si="183"/>
        <v>667.57707534687154</v>
      </c>
      <c r="FI188" s="59">
        <f t="shared" si="131"/>
        <v>960.91040868020491</v>
      </c>
      <c r="FJ188" s="59">
        <f ca="1">AVERAGE(OFFSET($FI$3,0,0,'Données projet'!$E$16+1,1))-AVERAGE(OFFSET($H$3,0,0,'Données projet'!$E$16+1,1))</f>
        <v>393.41577134252316</v>
      </c>
      <c r="FK188" s="59">
        <f t="shared" si="156"/>
        <v>255.54039659391475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14.325372136521095</v>
      </c>
      <c r="FR188" s="21">
        <f>EXP(-LN(2)/25)*FR187+(1-EXP(-LN(2)/25))/(LN(2)/25)*Calculateur!FM188*Calculateur!FO188*VLOOKUP('Données projet'!$B$16,Paramètres!$A$1:$I$89,3,0)*0.475*44/12</f>
        <v>0.36345973897371103</v>
      </c>
      <c r="FS188" s="21">
        <f>EXP(-LN(2)/2)*FS187+(1-EXP(-LN(2)/2))/(LN(2)/2)*FM188*FP188*VLOOKUP('Données projet'!$B$16,Paramètres!$A$1:$I$89,3,0)*0.475*44/12</f>
        <v>1.7046272659883966E-24</v>
      </c>
      <c r="FT188" s="22">
        <f t="shared" si="184"/>
        <v>14.688831875494806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853.00000000000011</v>
      </c>
      <c r="GA188" s="17">
        <f>FZ188*VLOOKUP('Données projet'!$B$17,Paramètres!$A$1:$I$89,3,0)*VLOOKUP('Données projet'!$B$17,Paramètres!$A$1:$I$89,5,0)</f>
        <v>399.20400000000006</v>
      </c>
      <c r="GB188" s="13">
        <f t="shared" si="185"/>
        <v>91.615269732888521</v>
      </c>
      <c r="GC188" s="20">
        <f t="shared" si="186"/>
        <v>854.8435614514475</v>
      </c>
      <c r="GD188" s="59">
        <f t="shared" si="134"/>
        <v>1148.1768947847809</v>
      </c>
      <c r="GE188" s="59">
        <f ca="1">AVERAGE(OFFSET($GD$3,0,0,'Données projet'!$E$17+1,1))-AVERAGE(OFFSET($H$3,0,0,'Données projet'!$E$17+1,1))</f>
        <v>488.67934252295686</v>
      </c>
      <c r="GF188" s="59">
        <f t="shared" si="158"/>
        <v>424.50324471331095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17.324066254256717</v>
      </c>
      <c r="GM188" s="21">
        <f>EXP(-LN(2)/25)*GM187+(1-EXP(-LN(2)/25))/(LN(2)/25)*Calculateur!GH188*Calculateur!GJ188*VLOOKUP('Données projet'!$B$17,Paramètres!$A$1:$I$89,3,0)*0.475*44/12</f>
        <v>0.66634285478513733</v>
      </c>
      <c r="GN188" s="21">
        <f>EXP(-LN(2)/2)*GN187+(1-EXP(-LN(2)/2))/(LN(2)/2)*GH188*GK188*VLOOKUP('Données projet'!$B$17,Paramètres!$A$1:$I$89,3,0)*0.475*44/12</f>
        <v>3.7966698197014277E-24</v>
      </c>
      <c r="GO188" s="21">
        <f t="shared" si="187"/>
        <v>17.990409109041856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789</v>
      </c>
      <c r="GV188" s="17">
        <f>GU188*VLOOKUP('Données projet'!$B$18,Paramètres!$A$1:$I$89,3,0)*VLOOKUP('Données projet'!$B$18,Paramètres!$A$1:$I$89,5,0)</f>
        <v>379.50900000000001</v>
      </c>
      <c r="GW188" s="13">
        <f t="shared" si="188"/>
        <v>87.609801106074272</v>
      </c>
      <c r="GX188" s="20">
        <f t="shared" si="189"/>
        <v>813.56524525974601</v>
      </c>
      <c r="GY188" s="59">
        <f t="shared" si="137"/>
        <v>1106.8985785930793</v>
      </c>
      <c r="GZ188" s="59">
        <f ca="1">AVERAGE(OFFSET($GY$3,0,0,'Données projet'!$E$18+1,1))-AVERAGE(OFFSET($H$3,0,0,'Données projet'!$E$18+1,1))</f>
        <v>458.80976193248841</v>
      </c>
      <c r="HA188" s="59">
        <f t="shared" si="160"/>
        <v>396.07405370178759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17.541965834895773</v>
      </c>
      <c r="HH188" s="21">
        <f>EXP(-LN(2)/25)*HH187+(1-EXP(-LN(2)/25))/(LN(2)/25)*Calculateur!HC188*Calculateur!HE188*VLOOKUP('Données projet'!$B$18,Paramètres!$A$1:$I$89,3,0)*0.475*44/12</f>
        <v>0.62259307139015385</v>
      </c>
      <c r="HI188" s="21">
        <f>EXP(-LN(2)/2)*HI187+(1-EXP(-LN(2)/2))/(LN(2)/2)*HC188*HF188*VLOOKUP('Données projet'!$B$18,Paramètres!$A$1:$I$89,3,0)*0.475*44/12</f>
        <v>1.7519780233769645E-24</v>
      </c>
      <c r="HJ188" s="22">
        <f t="shared" si="190"/>
        <v>18.164558906285926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267</v>
      </c>
      <c r="O189" s="13">
        <f>N189*VLOOKUP('Données projet'!$B$9,Paramètres!$A$1:$I$89,3,0)*VLOOKUP('Données projet'!$B$9,Paramètres!$A$1:$I$89,5,0)</f>
        <v>241.58159999999998</v>
      </c>
      <c r="P189" s="13">
        <f t="shared" si="141"/>
        <v>58.779689232021951</v>
      </c>
      <c r="Q189" s="20">
        <f t="shared" si="162"/>
        <v>523.12924541243819</v>
      </c>
      <c r="R189" s="59">
        <f t="shared" si="109"/>
        <v>816.46257874577145</v>
      </c>
      <c r="S189" s="59">
        <f ca="1">AVERAGE(OFFSET($R$3,0,0,'Données projet'!$E$9+1,1))-AVERAGE(OFFSET($H$3,0,0,'Données projet'!$E$9+1,1))</f>
        <v>364.3481978218424</v>
      </c>
      <c r="T189" s="59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18.526062267530332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18.526062267530332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636.99999999999977</v>
      </c>
      <c r="AJ189" s="13">
        <f>AI189*VLOOKUP('Données projet'!$B$10,Paramètres!$A$1:$I$89,3,0)*VLOOKUP('Données projet'!$B$10,Paramètres!$A$1:$I$89,5,0)</f>
        <v>356.08299999999991</v>
      </c>
      <c r="AK189" s="13">
        <f t="shared" si="164"/>
        <v>82.813805255716545</v>
      </c>
      <c r="AL189" s="20">
        <f t="shared" si="165"/>
        <v>764.41193582037283</v>
      </c>
      <c r="AM189" s="59">
        <f t="shared" si="113"/>
        <v>1057.7452691537062</v>
      </c>
      <c r="AN189" s="59">
        <f ca="1">AVERAGE(OFFSET($AM$3,0,0,'Données projet'!$E$10+1,1))-AVERAGE(OFFSET($H$3,0,0,'Données projet'!$E$10+1,1))</f>
        <v>443.34220761968419</v>
      </c>
      <c r="AO189" s="59">
        <f t="shared" si="144"/>
        <v>546.58234447298014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8.0597704438699758</v>
      </c>
      <c r="AV189" s="21">
        <f>EXP(-LN(2)/25)*AV188+(1-EXP(-LN(2)/25))/(LN(2)/25)*Calculateur!AQ189*Calculateur!AS189*VLOOKUP('Données projet'!$B$10,Paramètres!$A$1:$I$89,3,0)*0.475*44/12</f>
        <v>0.290239209515818</v>
      </c>
      <c r="AW189" s="21">
        <f>EXP(-LN(2)/2)*AW188+(1-EXP(-LN(2)/2))/(LN(2)/2)*AQ189*AT189*VLOOKUP('Données projet'!$B$10,Paramètres!$A$1:$I$89,3,0)*0.475*44/12</f>
        <v>1.9990628846591201E-23</v>
      </c>
      <c r="AX189" s="21">
        <f t="shared" si="166"/>
        <v>8.3500096533857935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403.99999999999989</v>
      </c>
      <c r="BE189" s="13">
        <f>BD189*VLOOKUP('Données projet'!$B$11,Paramètres!$A$1:$I$89,3,0)*VLOOKUP('Données projet'!$B$11,Paramètres!$A$1:$I$89,5,0)</f>
        <v>346.63199999999995</v>
      </c>
      <c r="BF189" s="13">
        <f t="shared" si="167"/>
        <v>80.868615263336864</v>
      </c>
      <c r="BG189" s="20">
        <f t="shared" si="168"/>
        <v>744.56357158364483</v>
      </c>
      <c r="BH189" s="59">
        <f t="shared" si="116"/>
        <v>1037.8969049169782</v>
      </c>
      <c r="BI189" s="59">
        <f ca="1">AVERAGE(OFFSET($BH$3,0,0,'Données projet'!$E$11+1,1))-AVERAGE(OFFSET($H$3,0,0,'Données projet'!$E$11+1,1))</f>
        <v>447.15627913956871</v>
      </c>
      <c r="BJ189" s="59">
        <f t="shared" si="146"/>
        <v>256.77417912163997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27.048990711904896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27.048990711904896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245.99999999999994</v>
      </c>
      <c r="BZ189" s="13">
        <f>BY189*VLOOKUP('Données projet'!$B$12,Paramètres!$A$1:$I$89,3,0)*VLOOKUP('Données projet'!$B$12,Paramètres!$A$1:$I$89,5,0)</f>
        <v>234.09359999999998</v>
      </c>
      <c r="CA189" s="13">
        <f t="shared" si="170"/>
        <v>57.166902703920208</v>
      </c>
      <c r="CB189" s="20">
        <f t="shared" si="171"/>
        <v>507.27870887599425</v>
      </c>
      <c r="CC189" s="59">
        <f t="shared" si="119"/>
        <v>800.61204220932757</v>
      </c>
      <c r="CD189" s="59">
        <f ca="1">AVERAGE(OFFSET($CC$3,0,0,'Données projet'!$E$12+1,1))-AVERAGE(OFFSET($H$3,0,0,'Données projet'!$E$12+1,1))</f>
        <v>448.94764480536713</v>
      </c>
      <c r="CE189" s="59">
        <f t="shared" si="148"/>
        <v>469.26760321719695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19.112325289218965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19.112325289218965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187.80389738728508</v>
      </c>
      <c r="CZ189" s="59">
        <f t="shared" si="150"/>
        <v>439.28159165815265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5.6229981947095995</v>
      </c>
      <c r="DG189" s="21">
        <f>EXP(-LN(2)/25)*DG188+(1-EXP(-LN(2)/25))/(LN(2)/25)*Calculateur!DB189*Calculateur!DD189*VLOOKUP('Données projet'!$B$13,Paramètres!$A$1:$I$89,3,0)*0.475*44/12</f>
        <v>0.1902174922887872</v>
      </c>
      <c r="DH189" s="21">
        <f>EXP(-LN(2)/2)*DH188+(1-EXP(-LN(2)/2))/(LN(2)/2)*DB189*DE189*VLOOKUP('Données projet'!$B$13,Paramètres!$A$1:$I$89,3,0)*0.475*44/12</f>
        <v>1.4876679866722505E-25</v>
      </c>
      <c r="DI189" s="22">
        <f t="shared" si="175"/>
        <v>5.8132156869983866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255.00000000000006</v>
      </c>
      <c r="DP189" s="17">
        <f>DO189*VLOOKUP('Données projet'!$B$14,Paramètres!$A$1:$I$89,3,0)*VLOOKUP('Données projet'!$B$14,Paramètres!$A$1:$I$89,5,0)</f>
        <v>186.96600000000004</v>
      </c>
      <c r="DQ189" s="13">
        <f t="shared" si="176"/>
        <v>46.868551400324648</v>
      </c>
      <c r="DR189" s="20">
        <f t="shared" si="177"/>
        <v>407.26184368889881</v>
      </c>
      <c r="DS189" s="59">
        <f t="shared" si="125"/>
        <v>700.59517702223206</v>
      </c>
      <c r="DT189" s="59">
        <f ca="1">AVERAGE(OFFSET($DS$3,0,0,'Données projet'!$E$14+1,1))-AVERAGE(OFFSET($H$3,0,0,'Données projet'!$E$14+1,1))</f>
        <v>239.25212250019609</v>
      </c>
      <c r="DU189" s="59">
        <f t="shared" si="152"/>
        <v>213.58492101729695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689</v>
      </c>
      <c r="EK189" s="17">
        <f>EJ189*VLOOKUP('Données projet'!$B$15,Paramètres!$A$1:$I$89,3,0)*VLOOKUP('Données projet'!$B$15,Paramètres!$A$1:$I$89,5,0)</f>
        <v>412.02199999999999</v>
      </c>
      <c r="EL189" s="13">
        <f t="shared" si="179"/>
        <v>94.209724877926391</v>
      </c>
      <c r="EM189" s="20">
        <f t="shared" si="180"/>
        <v>881.686920829055</v>
      </c>
      <c r="EN189" s="59">
        <f t="shared" si="128"/>
        <v>1175.0202541623883</v>
      </c>
      <c r="EO189" s="59">
        <f ca="1">AVERAGE(OFFSET($EN$3,0,0,'Données projet'!$E$15+1,1))-AVERAGE(OFFSET($H$3,0,0,'Données projet'!$E$15+1,1))</f>
        <v>504.81063008331739</v>
      </c>
      <c r="EP189" s="59">
        <f t="shared" si="154"/>
        <v>441.82647565372287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11.994025455164342</v>
      </c>
      <c r="EW189" s="21">
        <f>EXP(-LN(2)/25)*EW188+(1-EXP(-LN(2)/25))/(LN(2)/25)*Calculateur!ER189*Calculateur!ET189*VLOOKUP('Données projet'!$B$15,Paramètres!$A$1:$I$89,3,0)*0.475*44/12</f>
        <v>0.77899557875960546</v>
      </c>
      <c r="EX189" s="21">
        <f>EXP(-LN(2)/2)*EX188+(1-EXP(-LN(2)/2))/(LN(2)/2)*ER189*EU189*VLOOKUP('Données projet'!$B$15,Paramètres!$A$1:$I$89,3,0)*0.475*44/12</f>
        <v>1.7326072589907326E-25</v>
      </c>
      <c r="EY189" s="22">
        <f t="shared" si="181"/>
        <v>12.773021033923948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541.99999999999989</v>
      </c>
      <c r="FF189" s="17">
        <f>FE189*VLOOKUP('Données projet'!$B$16,Paramètres!$A$1:$I$89,3,0)*VLOOKUP('Données projet'!$B$16,Paramètres!$A$1:$I$89,5,0)</f>
        <v>310.02399999999994</v>
      </c>
      <c r="FG189" s="13">
        <f t="shared" si="182"/>
        <v>73.27384230442388</v>
      </c>
      <c r="FH189" s="20">
        <f t="shared" si="183"/>
        <v>667.57707534687154</v>
      </c>
      <c r="FI189" s="59">
        <f t="shared" si="131"/>
        <v>960.91040868020491</v>
      </c>
      <c r="FJ189" s="59">
        <f ca="1">AVERAGE(OFFSET($FI$3,0,0,'Données projet'!$E$16+1,1))-AVERAGE(OFFSET($H$3,0,0,'Données projet'!$E$16+1,1))</f>
        <v>393.41577134252316</v>
      </c>
      <c r="FK189" s="59">
        <f t="shared" si="156"/>
        <v>255.54039659391475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14.044460326538152</v>
      </c>
      <c r="FR189" s="21">
        <f>EXP(-LN(2)/25)*FR188+(1-EXP(-LN(2)/25))/(LN(2)/25)*Calculateur!FM189*Calculateur!FO189*VLOOKUP('Données projet'!$B$16,Paramètres!$A$1:$I$89,3,0)*0.475*44/12</f>
        <v>0.35352091329795793</v>
      </c>
      <c r="FS189" s="21">
        <f>EXP(-LN(2)/2)*FS188+(1-EXP(-LN(2)/2))/(LN(2)/2)*FM189*FP189*VLOOKUP('Données projet'!$B$16,Paramètres!$A$1:$I$89,3,0)*0.475*44/12</f>
        <v>1.2053534991758799E-24</v>
      </c>
      <c r="FT189" s="22">
        <f t="shared" si="184"/>
        <v>14.39798123983611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853.00000000000011</v>
      </c>
      <c r="GA189" s="17">
        <f>FZ189*VLOOKUP('Données projet'!$B$17,Paramètres!$A$1:$I$89,3,0)*VLOOKUP('Données projet'!$B$17,Paramètres!$A$1:$I$89,5,0)</f>
        <v>399.20400000000006</v>
      </c>
      <c r="GB189" s="13">
        <f t="shared" si="185"/>
        <v>91.615269732888521</v>
      </c>
      <c r="GC189" s="20">
        <f t="shared" si="186"/>
        <v>854.8435614514475</v>
      </c>
      <c r="GD189" s="59">
        <f t="shared" si="134"/>
        <v>1148.1768947847809</v>
      </c>
      <c r="GE189" s="59">
        <f ca="1">AVERAGE(OFFSET($GD$3,0,0,'Données projet'!$E$17+1,1))-AVERAGE(OFFSET($H$3,0,0,'Données projet'!$E$17+1,1))</f>
        <v>488.67934252295686</v>
      </c>
      <c r="GF189" s="59">
        <f t="shared" si="158"/>
        <v>424.50324471331095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16.98435188164779</v>
      </c>
      <c r="GM189" s="21">
        <f>EXP(-LN(2)/25)*GM188+(1-EXP(-LN(2)/25))/(LN(2)/25)*Calculateur!GH189*Calculateur!GJ189*VLOOKUP('Données projet'!$B$17,Paramètres!$A$1:$I$89,3,0)*0.475*44/12</f>
        <v>0.64812167437959001</v>
      </c>
      <c r="GN189" s="21">
        <f>EXP(-LN(2)/2)*GN188+(1-EXP(-LN(2)/2))/(LN(2)/2)*GH189*GK189*VLOOKUP('Données projet'!$B$17,Paramètres!$A$1:$I$89,3,0)*0.475*44/12</f>
        <v>2.6846509754371864E-24</v>
      </c>
      <c r="GO189" s="21">
        <f t="shared" si="187"/>
        <v>17.632473556027378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789</v>
      </c>
      <c r="GV189" s="17">
        <f>GU189*VLOOKUP('Données projet'!$B$18,Paramètres!$A$1:$I$89,3,0)*VLOOKUP('Données projet'!$B$18,Paramètres!$A$1:$I$89,5,0)</f>
        <v>379.50900000000001</v>
      </c>
      <c r="GW189" s="13">
        <f t="shared" si="188"/>
        <v>87.609801106074272</v>
      </c>
      <c r="GX189" s="20">
        <f t="shared" si="189"/>
        <v>813.56524525974601</v>
      </c>
      <c r="GY189" s="59">
        <f t="shared" si="137"/>
        <v>1106.8985785930793</v>
      </c>
      <c r="GZ189" s="59">
        <f ca="1">AVERAGE(OFFSET($GY$3,0,0,'Données projet'!$E$18+1,1))-AVERAGE(OFFSET($H$3,0,0,'Données projet'!$E$18+1,1))</f>
        <v>458.80976193248841</v>
      </c>
      <c r="HA189" s="59">
        <f t="shared" si="160"/>
        <v>396.07405370178759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17.197978584416134</v>
      </c>
      <c r="HH189" s="21">
        <f>EXP(-LN(2)/25)*HH188+(1-EXP(-LN(2)/25))/(LN(2)/25)*Calculateur!HC189*Calculateur!HE189*VLOOKUP('Données projet'!$B$18,Paramètres!$A$1:$I$89,3,0)*0.475*44/12</f>
        <v>0.60556823111224345</v>
      </c>
      <c r="HI189" s="21">
        <f>EXP(-LN(2)/2)*HI188+(1-EXP(-LN(2)/2))/(LN(2)/2)*HC189*HF189*VLOOKUP('Données projet'!$B$18,Paramètres!$A$1:$I$89,3,0)*0.475*44/12</f>
        <v>1.2388355408196553E-24</v>
      </c>
      <c r="HJ189" s="22">
        <f t="shared" si="190"/>
        <v>17.803546815528378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267</v>
      </c>
      <c r="O190" s="13">
        <f>N190*VLOOKUP('Données projet'!$B$9,Paramètres!$A$1:$I$89,3,0)*VLOOKUP('Données projet'!$B$9,Paramètres!$A$1:$I$89,5,0)</f>
        <v>241.58159999999998</v>
      </c>
      <c r="P190" s="13">
        <f t="shared" si="141"/>
        <v>58.779689232021951</v>
      </c>
      <c r="Q190" s="20">
        <f t="shared" si="162"/>
        <v>523.12924541243819</v>
      </c>
      <c r="R190" s="59">
        <f t="shared" si="109"/>
        <v>816.46257874577145</v>
      </c>
      <c r="S190" s="59">
        <f ca="1">AVERAGE(OFFSET($R$3,0,0,'Données projet'!$E$9+1,1))-AVERAGE(OFFSET($H$3,0,0,'Données projet'!$E$9+1,1))</f>
        <v>364.3481978218424</v>
      </c>
      <c r="T190" s="59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18.162777486246284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18.162777486246284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636.99999999999977</v>
      </c>
      <c r="AJ190" s="13">
        <f>AI190*VLOOKUP('Données projet'!$B$10,Paramètres!$A$1:$I$89,3,0)*VLOOKUP('Données projet'!$B$10,Paramètres!$A$1:$I$89,5,0)</f>
        <v>356.08299999999991</v>
      </c>
      <c r="AK190" s="13">
        <f t="shared" si="164"/>
        <v>82.813805255716545</v>
      </c>
      <c r="AL190" s="20">
        <f t="shared" si="165"/>
        <v>764.41193582037283</v>
      </c>
      <c r="AM190" s="59">
        <f t="shared" si="113"/>
        <v>1057.7452691537062</v>
      </c>
      <c r="AN190" s="59">
        <f ca="1">AVERAGE(OFFSET($AM$3,0,0,'Données projet'!$E$10+1,1))-AVERAGE(OFFSET($H$3,0,0,'Données projet'!$E$10+1,1))</f>
        <v>443.34220761968419</v>
      </c>
      <c r="AO190" s="59">
        <f t="shared" si="144"/>
        <v>546.58234447298014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7.9017232614402442</v>
      </c>
      <c r="AV190" s="21">
        <f>EXP(-LN(2)/25)*AV189+(1-EXP(-LN(2)/25))/(LN(2)/25)*Calculateur!AQ190*Calculateur!AS190*VLOOKUP('Données projet'!$B$10,Paramètres!$A$1:$I$89,3,0)*0.475*44/12</f>
        <v>0.28230260306859128</v>
      </c>
      <c r="AW190" s="21">
        <f>EXP(-LN(2)/2)*AW189+(1-EXP(-LN(2)/2))/(LN(2)/2)*AQ190*AT190*VLOOKUP('Données projet'!$B$10,Paramètres!$A$1:$I$89,3,0)*0.475*44/12</f>
        <v>1.4135509217608049E-23</v>
      </c>
      <c r="AX190" s="21">
        <f t="shared" si="166"/>
        <v>8.1840258645088362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403.99999999999989</v>
      </c>
      <c r="BE190" s="13">
        <f>BD190*VLOOKUP('Données projet'!$B$11,Paramètres!$A$1:$I$89,3,0)*VLOOKUP('Données projet'!$B$11,Paramètres!$A$1:$I$89,5,0)</f>
        <v>346.63199999999995</v>
      </c>
      <c r="BF190" s="13">
        <f t="shared" si="167"/>
        <v>80.868615263336864</v>
      </c>
      <c r="BG190" s="20">
        <f t="shared" si="168"/>
        <v>744.56357158364483</v>
      </c>
      <c r="BH190" s="59">
        <f t="shared" si="116"/>
        <v>1037.8969049169782</v>
      </c>
      <c r="BI190" s="59">
        <f ca="1">AVERAGE(OFFSET($BH$3,0,0,'Données projet'!$E$11+1,1))-AVERAGE(OFFSET($H$3,0,0,'Données projet'!$E$11+1,1))</f>
        <v>447.15627913956871</v>
      </c>
      <c r="BJ190" s="59">
        <f t="shared" si="146"/>
        <v>256.77417912163997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26.518576502299709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26.518576502299709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245.99999999999994</v>
      </c>
      <c r="BZ190" s="13">
        <f>BY190*VLOOKUP('Données projet'!$B$12,Paramètres!$A$1:$I$89,3,0)*VLOOKUP('Données projet'!$B$12,Paramètres!$A$1:$I$89,5,0)</f>
        <v>234.09359999999998</v>
      </c>
      <c r="CA190" s="13">
        <f t="shared" si="170"/>
        <v>57.166902703920208</v>
      </c>
      <c r="CB190" s="20">
        <f t="shared" si="171"/>
        <v>507.27870887599425</v>
      </c>
      <c r="CC190" s="59">
        <f t="shared" si="119"/>
        <v>800.61204220932757</v>
      </c>
      <c r="CD190" s="59">
        <f ca="1">AVERAGE(OFFSET($CC$3,0,0,'Données projet'!$E$12+1,1))-AVERAGE(OFFSET($H$3,0,0,'Données projet'!$E$12+1,1))</f>
        <v>448.94764480536713</v>
      </c>
      <c r="CE190" s="59">
        <f t="shared" si="148"/>
        <v>469.26760321719695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18.73754424766474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18.73754424766474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187.80389738728508</v>
      </c>
      <c r="CZ190" s="59">
        <f t="shared" si="150"/>
        <v>439.28159165815265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5.5127346298015896</v>
      </c>
      <c r="DG190" s="21">
        <f>EXP(-LN(2)/25)*DG189+(1-EXP(-LN(2)/25))/(LN(2)/25)*Calculateur!DB190*Calculateur!DD190*VLOOKUP('Données projet'!$B$13,Paramètres!$A$1:$I$89,3,0)*0.475*44/12</f>
        <v>0.18501598495904714</v>
      </c>
      <c r="DH190" s="21">
        <f>EXP(-LN(2)/2)*DH189+(1-EXP(-LN(2)/2))/(LN(2)/2)*DB190*DE190*VLOOKUP('Données projet'!$B$13,Paramètres!$A$1:$I$89,3,0)*0.475*44/12</f>
        <v>1.0519401215300867E-25</v>
      </c>
      <c r="DI190" s="22">
        <f t="shared" si="175"/>
        <v>5.6977506147606363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255.00000000000006</v>
      </c>
      <c r="DP190" s="17">
        <f>DO190*VLOOKUP('Données projet'!$B$14,Paramètres!$A$1:$I$89,3,0)*VLOOKUP('Données projet'!$B$14,Paramètres!$A$1:$I$89,5,0)</f>
        <v>186.96600000000004</v>
      </c>
      <c r="DQ190" s="13">
        <f t="shared" si="176"/>
        <v>46.868551400324648</v>
      </c>
      <c r="DR190" s="20">
        <f t="shared" si="177"/>
        <v>407.26184368889881</v>
      </c>
      <c r="DS190" s="59">
        <f t="shared" si="125"/>
        <v>700.59517702223206</v>
      </c>
      <c r="DT190" s="59">
        <f ca="1">AVERAGE(OFFSET($DS$3,0,0,'Données projet'!$E$14+1,1))-AVERAGE(OFFSET($H$3,0,0,'Données projet'!$E$14+1,1))</f>
        <v>239.25212250019609</v>
      </c>
      <c r="DU190" s="59">
        <f t="shared" si="152"/>
        <v>213.58492101729695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689</v>
      </c>
      <c r="EK190" s="17">
        <f>EJ190*VLOOKUP('Données projet'!$B$15,Paramètres!$A$1:$I$89,3,0)*VLOOKUP('Données projet'!$B$15,Paramètres!$A$1:$I$89,5,0)</f>
        <v>412.02199999999999</v>
      </c>
      <c r="EL190" s="13">
        <f t="shared" si="179"/>
        <v>94.209724877926391</v>
      </c>
      <c r="EM190" s="20">
        <f t="shared" si="180"/>
        <v>881.686920829055</v>
      </c>
      <c r="EN190" s="59">
        <f t="shared" si="128"/>
        <v>1175.0202541623883</v>
      </c>
      <c r="EO190" s="59">
        <f ca="1">AVERAGE(OFFSET($EN$3,0,0,'Données projet'!$E$15+1,1))-AVERAGE(OFFSET($H$3,0,0,'Données projet'!$E$15+1,1))</f>
        <v>504.81063008331739</v>
      </c>
      <c r="EP190" s="59">
        <f t="shared" si="154"/>
        <v>441.82647565372287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11.758829931621738</v>
      </c>
      <c r="EW190" s="21">
        <f>EXP(-LN(2)/25)*EW189+(1-EXP(-LN(2)/25))/(LN(2)/25)*Calculateur!ER190*Calculateur!ET190*VLOOKUP('Données projet'!$B$15,Paramètres!$A$1:$I$89,3,0)*0.475*44/12</f>
        <v>0.75769390369282696</v>
      </c>
      <c r="EX190" s="21">
        <f>EXP(-LN(2)/2)*EX189+(1-EXP(-LN(2)/2))/(LN(2)/2)*ER190*EU190*VLOOKUP('Données projet'!$B$15,Paramètres!$A$1:$I$89,3,0)*0.475*44/12</f>
        <v>1.2251383419653838E-25</v>
      </c>
      <c r="EY190" s="22">
        <f t="shared" si="181"/>
        <v>12.516523835314565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541.99999999999989</v>
      </c>
      <c r="FF190" s="17">
        <f>FE190*VLOOKUP('Données projet'!$B$16,Paramètres!$A$1:$I$89,3,0)*VLOOKUP('Données projet'!$B$16,Paramètres!$A$1:$I$89,5,0)</f>
        <v>310.02399999999994</v>
      </c>
      <c r="FG190" s="13">
        <f t="shared" si="182"/>
        <v>73.27384230442388</v>
      </c>
      <c r="FH190" s="20">
        <f t="shared" si="183"/>
        <v>667.57707534687154</v>
      </c>
      <c r="FI190" s="59">
        <f t="shared" si="131"/>
        <v>960.91040868020491</v>
      </c>
      <c r="FJ190" s="59">
        <f ca="1">AVERAGE(OFFSET($FI$3,0,0,'Données projet'!$E$16+1,1))-AVERAGE(OFFSET($H$3,0,0,'Données projet'!$E$16+1,1))</f>
        <v>393.41577134252316</v>
      </c>
      <c r="FK190" s="59">
        <f t="shared" si="156"/>
        <v>255.54039659391475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13.769057025809689</v>
      </c>
      <c r="FR190" s="21">
        <f>EXP(-LN(2)/25)*FR189+(1-EXP(-LN(2)/25))/(LN(2)/25)*Calculateur!FM190*Calculateur!FO190*VLOOKUP('Données projet'!$B$16,Paramètres!$A$1:$I$89,3,0)*0.475*44/12</f>
        <v>0.34385386533296841</v>
      </c>
      <c r="FS190" s="21">
        <f>EXP(-LN(2)/2)*FS189+(1-EXP(-LN(2)/2))/(LN(2)/2)*FM190*FP190*VLOOKUP('Données projet'!$B$16,Paramètres!$A$1:$I$89,3,0)*0.475*44/12</f>
        <v>8.5231363299419832E-25</v>
      </c>
      <c r="FT190" s="22">
        <f t="shared" si="184"/>
        <v>14.112910891142658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853.00000000000011</v>
      </c>
      <c r="GA190" s="17">
        <f>FZ190*VLOOKUP('Données projet'!$B$17,Paramètres!$A$1:$I$89,3,0)*VLOOKUP('Données projet'!$B$17,Paramètres!$A$1:$I$89,5,0)</f>
        <v>399.20400000000006</v>
      </c>
      <c r="GB190" s="13">
        <f t="shared" si="185"/>
        <v>91.615269732888521</v>
      </c>
      <c r="GC190" s="20">
        <f t="shared" si="186"/>
        <v>854.8435614514475</v>
      </c>
      <c r="GD190" s="59">
        <f t="shared" si="134"/>
        <v>1148.1768947847809</v>
      </c>
      <c r="GE190" s="59">
        <f ca="1">AVERAGE(OFFSET($GD$3,0,0,'Données projet'!$E$17+1,1))-AVERAGE(OFFSET($H$3,0,0,'Données projet'!$E$17+1,1))</f>
        <v>488.67934252295686</v>
      </c>
      <c r="GF190" s="59">
        <f t="shared" si="158"/>
        <v>424.50324471331095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16.651299100680415</v>
      </c>
      <c r="GM190" s="21">
        <f>EXP(-LN(2)/25)*GM189+(1-EXP(-LN(2)/25))/(LN(2)/25)*Calculateur!GH190*Calculateur!GJ190*VLOOKUP('Données projet'!$B$17,Paramètres!$A$1:$I$89,3,0)*0.475*44/12</f>
        <v>0.63039875311044258</v>
      </c>
      <c r="GN190" s="21">
        <f>EXP(-LN(2)/2)*GN189+(1-EXP(-LN(2)/2))/(LN(2)/2)*GH190*GK190*VLOOKUP('Données projet'!$B$17,Paramètres!$A$1:$I$89,3,0)*0.475*44/12</f>
        <v>1.8983349098507138E-24</v>
      </c>
      <c r="GO190" s="21">
        <f t="shared" si="187"/>
        <v>17.281697853790856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789</v>
      </c>
      <c r="GV190" s="17">
        <f>GU190*VLOOKUP('Données projet'!$B$18,Paramètres!$A$1:$I$89,3,0)*VLOOKUP('Données projet'!$B$18,Paramètres!$A$1:$I$89,5,0)</f>
        <v>379.50900000000001</v>
      </c>
      <c r="GW190" s="13">
        <f t="shared" si="188"/>
        <v>87.609801106074272</v>
      </c>
      <c r="GX190" s="20">
        <f t="shared" si="189"/>
        <v>813.56524525974601</v>
      </c>
      <c r="GY190" s="59">
        <f t="shared" si="137"/>
        <v>1106.8985785930793</v>
      </c>
      <c r="GZ190" s="59">
        <f ca="1">AVERAGE(OFFSET($GY$3,0,0,'Données projet'!$E$18+1,1))-AVERAGE(OFFSET($H$3,0,0,'Données projet'!$E$18+1,1))</f>
        <v>458.80976193248841</v>
      </c>
      <c r="HA190" s="59">
        <f t="shared" si="160"/>
        <v>396.07405370178759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16.860736714106896</v>
      </c>
      <c r="HH190" s="21">
        <f>EXP(-LN(2)/25)*HH189+(1-EXP(-LN(2)/25))/(LN(2)/25)*Calculateur!HC190*Calculateur!HE190*VLOOKUP('Données projet'!$B$18,Paramètres!$A$1:$I$89,3,0)*0.475*44/12</f>
        <v>0.58900893598702997</v>
      </c>
      <c r="HI190" s="21">
        <f>EXP(-LN(2)/2)*HI189+(1-EXP(-LN(2)/2))/(LN(2)/2)*HC190*HF190*VLOOKUP('Données projet'!$B$18,Paramètres!$A$1:$I$89,3,0)*0.475*44/12</f>
        <v>8.7598901168848227E-25</v>
      </c>
      <c r="HJ190" s="22">
        <f t="shared" si="190"/>
        <v>17.449745650093927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267</v>
      </c>
      <c r="O191" s="13">
        <f>N191*VLOOKUP('Données projet'!$B$9,Paramètres!$A$1:$I$89,3,0)*VLOOKUP('Données projet'!$B$9,Paramètres!$A$1:$I$89,5,0)</f>
        <v>241.58159999999998</v>
      </c>
      <c r="P191" s="13">
        <f t="shared" si="141"/>
        <v>58.779689232021951</v>
      </c>
      <c r="Q191" s="20">
        <f t="shared" si="162"/>
        <v>523.12924541243819</v>
      </c>
      <c r="R191" s="59">
        <f t="shared" si="109"/>
        <v>816.46257874577145</v>
      </c>
      <c r="S191" s="59">
        <f ca="1">AVERAGE(OFFSET($R$3,0,0,'Données projet'!$E$9+1,1))-AVERAGE(OFFSET($H$3,0,0,'Données projet'!$E$9+1,1))</f>
        <v>364.3481978218424</v>
      </c>
      <c r="T191" s="59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17.806616497941381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17.806616497941381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636.99999999999977</v>
      </c>
      <c r="AJ191" s="13">
        <f>AI191*VLOOKUP('Données projet'!$B$10,Paramètres!$A$1:$I$89,3,0)*VLOOKUP('Données projet'!$B$10,Paramètres!$A$1:$I$89,5,0)</f>
        <v>356.08299999999991</v>
      </c>
      <c r="AK191" s="13">
        <f t="shared" si="164"/>
        <v>82.813805255716545</v>
      </c>
      <c r="AL191" s="20">
        <f t="shared" si="165"/>
        <v>764.41193582037283</v>
      </c>
      <c r="AM191" s="59">
        <f t="shared" si="113"/>
        <v>1057.7452691537062</v>
      </c>
      <c r="AN191" s="59">
        <f ca="1">AVERAGE(OFFSET($AM$3,0,0,'Données projet'!$E$10+1,1))-AVERAGE(OFFSET($H$3,0,0,'Données projet'!$E$10+1,1))</f>
        <v>443.34220761968419</v>
      </c>
      <c r="AO191" s="59">
        <f t="shared" si="144"/>
        <v>546.58234447298014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7.7467752878586973</v>
      </c>
      <c r="AV191" s="21">
        <f>EXP(-LN(2)/25)*AV190+(1-EXP(-LN(2)/25))/(LN(2)/25)*Calculateur!AQ191*Calculateur!AS191*VLOOKUP('Données projet'!$B$10,Paramètres!$A$1:$I$89,3,0)*0.475*44/12</f>
        <v>0.27458302354203196</v>
      </c>
      <c r="AW191" s="21">
        <f>EXP(-LN(2)/2)*AW190+(1-EXP(-LN(2)/2))/(LN(2)/2)*AQ191*AT191*VLOOKUP('Données projet'!$B$10,Paramètres!$A$1:$I$89,3,0)*0.475*44/12</f>
        <v>9.9953144232956006E-24</v>
      </c>
      <c r="AX191" s="21">
        <f t="shared" si="166"/>
        <v>8.0213583114007285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403.99999999999989</v>
      </c>
      <c r="BE191" s="13">
        <f>BD191*VLOOKUP('Données projet'!$B$11,Paramètres!$A$1:$I$89,3,0)*VLOOKUP('Données projet'!$B$11,Paramètres!$A$1:$I$89,5,0)</f>
        <v>346.63199999999995</v>
      </c>
      <c r="BF191" s="13">
        <f t="shared" si="167"/>
        <v>80.868615263336864</v>
      </c>
      <c r="BG191" s="20">
        <f t="shared" si="168"/>
        <v>744.56357158364483</v>
      </c>
      <c r="BH191" s="59">
        <f t="shared" si="116"/>
        <v>1037.8969049169782</v>
      </c>
      <c r="BI191" s="59">
        <f ca="1">AVERAGE(OFFSET($BH$3,0,0,'Données projet'!$E$11+1,1))-AVERAGE(OFFSET($H$3,0,0,'Données projet'!$E$11+1,1))</f>
        <v>447.15627913956871</v>
      </c>
      <c r="BJ191" s="59">
        <f t="shared" si="146"/>
        <v>256.77417912163997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25.998563391824156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25.998563391824156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245.99999999999994</v>
      </c>
      <c r="BZ191" s="13">
        <f>BY191*VLOOKUP('Données projet'!$B$12,Paramètres!$A$1:$I$89,3,0)*VLOOKUP('Données projet'!$B$12,Paramètres!$A$1:$I$89,5,0)</f>
        <v>234.09359999999998</v>
      </c>
      <c r="CA191" s="13">
        <f t="shared" si="170"/>
        <v>57.166902703920208</v>
      </c>
      <c r="CB191" s="20">
        <f t="shared" si="171"/>
        <v>507.27870887599425</v>
      </c>
      <c r="CC191" s="59">
        <f t="shared" si="119"/>
        <v>800.61204220932757</v>
      </c>
      <c r="CD191" s="59">
        <f ca="1">AVERAGE(OFFSET($CC$3,0,0,'Données projet'!$E$12+1,1))-AVERAGE(OFFSET($H$3,0,0,'Données projet'!$E$12+1,1))</f>
        <v>448.94764480536713</v>
      </c>
      <c r="CE191" s="59">
        <f t="shared" si="148"/>
        <v>469.26760321719695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18.370112433741529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18.370112433741529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187.80389738728508</v>
      </c>
      <c r="CZ191" s="59">
        <f t="shared" si="150"/>
        <v>439.28159165815265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5.4046332661472913</v>
      </c>
      <c r="DG191" s="21">
        <f>EXP(-LN(2)/25)*DG190+(1-EXP(-LN(2)/25))/(LN(2)/25)*Calculateur!DB191*Calculateur!DD191*VLOOKUP('Données projet'!$B$13,Paramètres!$A$1:$I$89,3,0)*0.475*44/12</f>
        <v>0.17995671312077421</v>
      </c>
      <c r="DH191" s="21">
        <f>EXP(-LN(2)/2)*DH190+(1-EXP(-LN(2)/2))/(LN(2)/2)*DB191*DE191*VLOOKUP('Données projet'!$B$13,Paramètres!$A$1:$I$89,3,0)*0.475*44/12</f>
        <v>7.4383399333612527E-26</v>
      </c>
      <c r="DI191" s="22">
        <f t="shared" si="175"/>
        <v>5.5845899792680651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255.00000000000006</v>
      </c>
      <c r="DP191" s="17">
        <f>DO191*VLOOKUP('Données projet'!$B$14,Paramètres!$A$1:$I$89,3,0)*VLOOKUP('Données projet'!$B$14,Paramètres!$A$1:$I$89,5,0)</f>
        <v>186.96600000000004</v>
      </c>
      <c r="DQ191" s="13">
        <f t="shared" si="176"/>
        <v>46.868551400324648</v>
      </c>
      <c r="DR191" s="20">
        <f t="shared" si="177"/>
        <v>407.26184368889881</v>
      </c>
      <c r="DS191" s="59">
        <f t="shared" si="125"/>
        <v>700.59517702223206</v>
      </c>
      <c r="DT191" s="59">
        <f ca="1">AVERAGE(OFFSET($DS$3,0,0,'Données projet'!$E$14+1,1))-AVERAGE(OFFSET($H$3,0,0,'Données projet'!$E$14+1,1))</f>
        <v>239.25212250019609</v>
      </c>
      <c r="DU191" s="59">
        <f t="shared" si="152"/>
        <v>213.58492101729695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689</v>
      </c>
      <c r="EK191" s="17">
        <f>EJ191*VLOOKUP('Données projet'!$B$15,Paramètres!$A$1:$I$89,3,0)*VLOOKUP('Données projet'!$B$15,Paramètres!$A$1:$I$89,5,0)</f>
        <v>412.02199999999999</v>
      </c>
      <c r="EL191" s="13">
        <f t="shared" si="179"/>
        <v>94.209724877926391</v>
      </c>
      <c r="EM191" s="20">
        <f t="shared" si="180"/>
        <v>881.686920829055</v>
      </c>
      <c r="EN191" s="59">
        <f t="shared" si="128"/>
        <v>1175.0202541623883</v>
      </c>
      <c r="EO191" s="59">
        <f ca="1">AVERAGE(OFFSET($EN$3,0,0,'Données projet'!$E$15+1,1))-AVERAGE(OFFSET($H$3,0,0,'Données projet'!$E$15+1,1))</f>
        <v>504.81063008331739</v>
      </c>
      <c r="EP191" s="59">
        <f t="shared" si="154"/>
        <v>441.82647565372287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11.528246448840701</v>
      </c>
      <c r="EW191" s="21">
        <f>EXP(-LN(2)/25)*EW190+(1-EXP(-LN(2)/25))/(LN(2)/25)*Calculateur!ER191*Calculateur!ET191*VLOOKUP('Données projet'!$B$15,Paramètres!$A$1:$I$89,3,0)*0.475*44/12</f>
        <v>0.73697472405095599</v>
      </c>
      <c r="EX191" s="21">
        <f>EXP(-LN(2)/2)*EX190+(1-EXP(-LN(2)/2))/(LN(2)/2)*ER191*EU191*VLOOKUP('Données projet'!$B$15,Paramètres!$A$1:$I$89,3,0)*0.475*44/12</f>
        <v>8.6630362949536631E-26</v>
      </c>
      <c r="EY191" s="22">
        <f t="shared" si="181"/>
        <v>12.265221172891657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541.99999999999989</v>
      </c>
      <c r="FF191" s="17">
        <f>FE191*VLOOKUP('Données projet'!$B$16,Paramètres!$A$1:$I$89,3,0)*VLOOKUP('Données projet'!$B$16,Paramètres!$A$1:$I$89,5,0)</f>
        <v>310.02399999999994</v>
      </c>
      <c r="FG191" s="13">
        <f t="shared" si="182"/>
        <v>73.27384230442388</v>
      </c>
      <c r="FH191" s="20">
        <f t="shared" si="183"/>
        <v>667.57707534687154</v>
      </c>
      <c r="FI191" s="59">
        <f t="shared" si="131"/>
        <v>960.91040868020491</v>
      </c>
      <c r="FJ191" s="59">
        <f ca="1">AVERAGE(OFFSET($FI$3,0,0,'Données projet'!$E$16+1,1))-AVERAGE(OFFSET($H$3,0,0,'Données projet'!$E$16+1,1))</f>
        <v>393.41577134252316</v>
      </c>
      <c r="FK191" s="59">
        <f t="shared" si="156"/>
        <v>255.54039659391475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13.499054215829084</v>
      </c>
      <c r="FR191" s="21">
        <f>EXP(-LN(2)/25)*FR190+(1-EXP(-LN(2)/25))/(LN(2)/25)*Calculateur!FM191*Calculateur!FO191*VLOOKUP('Données projet'!$B$16,Paramètres!$A$1:$I$89,3,0)*0.475*44/12</f>
        <v>0.33445116330294949</v>
      </c>
      <c r="FS191" s="21">
        <f>EXP(-LN(2)/2)*FS190+(1-EXP(-LN(2)/2))/(LN(2)/2)*FM191*FP191*VLOOKUP('Données projet'!$B$16,Paramètres!$A$1:$I$89,3,0)*0.475*44/12</f>
        <v>6.0267674958793997E-25</v>
      </c>
      <c r="FT191" s="22">
        <f t="shared" si="184"/>
        <v>13.833505379132033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853.00000000000011</v>
      </c>
      <c r="GA191" s="17">
        <f>FZ191*VLOOKUP('Données projet'!$B$17,Paramètres!$A$1:$I$89,3,0)*VLOOKUP('Données projet'!$B$17,Paramètres!$A$1:$I$89,5,0)</f>
        <v>399.20400000000006</v>
      </c>
      <c r="GB191" s="13">
        <f t="shared" si="185"/>
        <v>91.615269732888521</v>
      </c>
      <c r="GC191" s="20">
        <f t="shared" si="186"/>
        <v>854.8435614514475</v>
      </c>
      <c r="GD191" s="59">
        <f t="shared" si="134"/>
        <v>1148.1768947847809</v>
      </c>
      <c r="GE191" s="59">
        <f ca="1">AVERAGE(OFFSET($GD$3,0,0,'Données projet'!$E$17+1,1))-AVERAGE(OFFSET($H$3,0,0,'Données projet'!$E$17+1,1))</f>
        <v>488.67934252295686</v>
      </c>
      <c r="GF191" s="59">
        <f t="shared" si="158"/>
        <v>424.50324471331095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16.324777281605673</v>
      </c>
      <c r="GM191" s="21">
        <f>EXP(-LN(2)/25)*GM190+(1-EXP(-LN(2)/25))/(LN(2)/25)*Calculateur!GH191*Calculateur!GJ191*VLOOKUP('Données projet'!$B$17,Paramètres!$A$1:$I$89,3,0)*0.475*44/12</f>
        <v>0.61316046605540786</v>
      </c>
      <c r="GN191" s="21">
        <f>EXP(-LN(2)/2)*GN190+(1-EXP(-LN(2)/2))/(LN(2)/2)*GH191*GK191*VLOOKUP('Données projet'!$B$17,Paramètres!$A$1:$I$89,3,0)*0.475*44/12</f>
        <v>1.3423254877185932E-24</v>
      </c>
      <c r="GO191" s="21">
        <f t="shared" si="187"/>
        <v>16.937937747661081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789</v>
      </c>
      <c r="GV191" s="17">
        <f>GU191*VLOOKUP('Données projet'!$B$18,Paramètres!$A$1:$I$89,3,0)*VLOOKUP('Données projet'!$B$18,Paramètres!$A$1:$I$89,5,0)</f>
        <v>379.50900000000001</v>
      </c>
      <c r="GW191" s="13">
        <f t="shared" si="188"/>
        <v>87.609801106074272</v>
      </c>
      <c r="GX191" s="20">
        <f t="shared" si="189"/>
        <v>813.56524525974601</v>
      </c>
      <c r="GY191" s="59">
        <f t="shared" si="137"/>
        <v>1106.8985785930793</v>
      </c>
      <c r="GZ191" s="59">
        <f ca="1">AVERAGE(OFFSET($GY$3,0,0,'Données projet'!$E$18+1,1))-AVERAGE(OFFSET($H$3,0,0,'Données projet'!$E$18+1,1))</f>
        <v>458.80976193248841</v>
      </c>
      <c r="HA191" s="59">
        <f t="shared" si="160"/>
        <v>396.07405370178759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16.53010795117719</v>
      </c>
      <c r="HH191" s="21">
        <f>EXP(-LN(2)/25)*HH190+(1-EXP(-LN(2)/25))/(LN(2)/25)*Calculateur!HC191*Calculateur!HE191*VLOOKUP('Données projet'!$B$18,Paramètres!$A$1:$I$89,3,0)*0.475*44/12</f>
        <v>0.57290245565783093</v>
      </c>
      <c r="HI191" s="21">
        <f>EXP(-LN(2)/2)*HI190+(1-EXP(-LN(2)/2))/(LN(2)/2)*HC191*HF191*VLOOKUP('Données projet'!$B$18,Paramètres!$A$1:$I$89,3,0)*0.475*44/12</f>
        <v>6.1941777040982765E-25</v>
      </c>
      <c r="HJ191" s="22">
        <f t="shared" si="190"/>
        <v>17.103010406835022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267</v>
      </c>
      <c r="O192" s="13">
        <f>N192*VLOOKUP('Données projet'!$B$9,Paramètres!$A$1:$I$89,3,0)*VLOOKUP('Données projet'!$B$9,Paramètres!$A$1:$I$89,5,0)</f>
        <v>241.58159999999998</v>
      </c>
      <c r="P192" s="13">
        <f t="shared" si="141"/>
        <v>58.779689232021951</v>
      </c>
      <c r="Q192" s="20">
        <f t="shared" si="162"/>
        <v>523.12924541243819</v>
      </c>
      <c r="R192" s="59">
        <f t="shared" si="109"/>
        <v>816.46257874577145</v>
      </c>
      <c r="S192" s="59">
        <f ca="1">AVERAGE(OFFSET($R$3,0,0,'Données projet'!$E$9+1,1))-AVERAGE(OFFSET($H$3,0,0,'Données projet'!$E$9+1,1))</f>
        <v>364.3481978218424</v>
      </c>
      <c r="T192" s="59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17.457439609380383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17.457439609380383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636.99999999999977</v>
      </c>
      <c r="AJ192" s="13">
        <f>AI192*VLOOKUP('Données projet'!$B$10,Paramètres!$A$1:$I$89,3,0)*VLOOKUP('Données projet'!$B$10,Paramètres!$A$1:$I$89,5,0)</f>
        <v>356.08299999999991</v>
      </c>
      <c r="AK192" s="13">
        <f t="shared" si="164"/>
        <v>82.813805255716545</v>
      </c>
      <c r="AL192" s="20">
        <f t="shared" si="165"/>
        <v>764.41193582037283</v>
      </c>
      <c r="AM192" s="59">
        <f t="shared" si="113"/>
        <v>1057.7452691537062</v>
      </c>
      <c r="AN192" s="59">
        <f ca="1">AVERAGE(OFFSET($AM$3,0,0,'Données projet'!$E$10+1,1))-AVERAGE(OFFSET($H$3,0,0,'Données projet'!$E$10+1,1))</f>
        <v>443.34220761968419</v>
      </c>
      <c r="AO192" s="59">
        <f t="shared" si="144"/>
        <v>546.58234447298014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7.5948657495301521</v>
      </c>
      <c r="AV192" s="21">
        <f>EXP(-LN(2)/25)*AV191+(1-EXP(-LN(2)/25))/(LN(2)/25)*Calculateur!AQ192*Calculateur!AS192*VLOOKUP('Données projet'!$B$10,Paramètres!$A$1:$I$89,3,0)*0.475*44/12</f>
        <v>0.26707453632358147</v>
      </c>
      <c r="AW192" s="21">
        <f>EXP(-LN(2)/2)*AW191+(1-EXP(-LN(2)/2))/(LN(2)/2)*AQ192*AT192*VLOOKUP('Données projet'!$B$10,Paramètres!$A$1:$I$89,3,0)*0.475*44/12</f>
        <v>7.0677546088040246E-24</v>
      </c>
      <c r="AX192" s="21">
        <f t="shared" si="166"/>
        <v>7.8619402858537333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403.99999999999989</v>
      </c>
      <c r="BE192" s="13">
        <f>BD192*VLOOKUP('Données projet'!$B$11,Paramètres!$A$1:$I$89,3,0)*VLOOKUP('Données projet'!$B$11,Paramètres!$A$1:$I$89,5,0)</f>
        <v>346.63199999999995</v>
      </c>
      <c r="BF192" s="13">
        <f t="shared" si="167"/>
        <v>80.868615263336864</v>
      </c>
      <c r="BG192" s="20">
        <f t="shared" si="168"/>
        <v>744.56357158364483</v>
      </c>
      <c r="BH192" s="59">
        <f t="shared" si="116"/>
        <v>1037.8969049169782</v>
      </c>
      <c r="BI192" s="59">
        <f ca="1">AVERAGE(OFFSET($BH$3,0,0,'Données projet'!$E$11+1,1))-AVERAGE(OFFSET($H$3,0,0,'Données projet'!$E$11+1,1))</f>
        <v>447.15627913956871</v>
      </c>
      <c r="BJ192" s="59">
        <f t="shared" si="146"/>
        <v>256.77417912163997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25.48874742126835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25.48874742126835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245.99999999999994</v>
      </c>
      <c r="BZ192" s="13">
        <f>BY192*VLOOKUP('Données projet'!$B$12,Paramètres!$A$1:$I$89,3,0)*VLOOKUP('Données projet'!$B$12,Paramètres!$A$1:$I$89,5,0)</f>
        <v>234.09359999999998</v>
      </c>
      <c r="CA192" s="13">
        <f t="shared" si="170"/>
        <v>57.166902703920208</v>
      </c>
      <c r="CB192" s="20">
        <f t="shared" si="171"/>
        <v>507.27870887599425</v>
      </c>
      <c r="CC192" s="59">
        <f t="shared" si="119"/>
        <v>800.61204220932757</v>
      </c>
      <c r="CD192" s="59">
        <f ca="1">AVERAGE(OFFSET($CC$3,0,0,'Données projet'!$E$12+1,1))-AVERAGE(OFFSET($H$3,0,0,'Données projet'!$E$12+1,1))</f>
        <v>448.94764480536713</v>
      </c>
      <c r="CE192" s="59">
        <f t="shared" si="148"/>
        <v>469.26760321719695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18.009885733578074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18.009885733578074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187.80389738728508</v>
      </c>
      <c r="CZ192" s="59">
        <f t="shared" si="150"/>
        <v>439.28159165815265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5.2986517042989325</v>
      </c>
      <c r="DG192" s="21">
        <f>EXP(-LN(2)/25)*DG191+(1-EXP(-LN(2)/25))/(LN(2)/25)*Calculateur!DB192*Calculateur!DD192*VLOOKUP('Données projet'!$B$13,Paramètres!$A$1:$I$89,3,0)*0.475*44/12</f>
        <v>0.17503578733697439</v>
      </c>
      <c r="DH192" s="21">
        <f>EXP(-LN(2)/2)*DH191+(1-EXP(-LN(2)/2))/(LN(2)/2)*DB192*DE192*VLOOKUP('Données projet'!$B$13,Paramètres!$A$1:$I$89,3,0)*0.475*44/12</f>
        <v>5.2597006076504337E-26</v>
      </c>
      <c r="DI192" s="22">
        <f t="shared" si="175"/>
        <v>5.4736874916359071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255.00000000000006</v>
      </c>
      <c r="DP192" s="17">
        <f>DO192*VLOOKUP('Données projet'!$B$14,Paramètres!$A$1:$I$89,3,0)*VLOOKUP('Données projet'!$B$14,Paramètres!$A$1:$I$89,5,0)</f>
        <v>186.96600000000004</v>
      </c>
      <c r="DQ192" s="13">
        <f t="shared" si="176"/>
        <v>46.868551400324648</v>
      </c>
      <c r="DR192" s="20">
        <f t="shared" si="177"/>
        <v>407.26184368889881</v>
      </c>
      <c r="DS192" s="59">
        <f t="shared" si="125"/>
        <v>700.59517702223206</v>
      </c>
      <c r="DT192" s="59">
        <f ca="1">AVERAGE(OFFSET($DS$3,0,0,'Données projet'!$E$14+1,1))-AVERAGE(OFFSET($H$3,0,0,'Données projet'!$E$14+1,1))</f>
        <v>239.25212250019609</v>
      </c>
      <c r="DU192" s="59">
        <f t="shared" si="152"/>
        <v>213.58492101729695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689</v>
      </c>
      <c r="EK192" s="17">
        <f>EJ192*VLOOKUP('Données projet'!$B$15,Paramètres!$A$1:$I$89,3,0)*VLOOKUP('Données projet'!$B$15,Paramètres!$A$1:$I$89,5,0)</f>
        <v>412.02199999999999</v>
      </c>
      <c r="EL192" s="13">
        <f t="shared" si="179"/>
        <v>94.209724877926391</v>
      </c>
      <c r="EM192" s="20">
        <f t="shared" si="180"/>
        <v>881.686920829055</v>
      </c>
      <c r="EN192" s="59">
        <f t="shared" si="128"/>
        <v>1175.0202541623883</v>
      </c>
      <c r="EO192" s="59">
        <f ca="1">AVERAGE(OFFSET($EN$3,0,0,'Données projet'!$E$15+1,1))-AVERAGE(OFFSET($H$3,0,0,'Données projet'!$E$15+1,1))</f>
        <v>504.81063008331739</v>
      </c>
      <c r="EP192" s="59">
        <f t="shared" si="154"/>
        <v>441.82647565372287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11.302184567514962</v>
      </c>
      <c r="EW192" s="21">
        <f>EXP(-LN(2)/25)*EW191+(1-EXP(-LN(2)/25))/(LN(2)/25)*Calculateur!ER192*Calculateur!ET192*VLOOKUP('Données projet'!$B$15,Paramètres!$A$1:$I$89,3,0)*0.475*44/12</f>
        <v>0.71682211146596619</v>
      </c>
      <c r="EX192" s="21">
        <f>EXP(-LN(2)/2)*EX191+(1-EXP(-LN(2)/2))/(LN(2)/2)*ER192*EU192*VLOOKUP('Données projet'!$B$15,Paramètres!$A$1:$I$89,3,0)*0.475*44/12</f>
        <v>6.1256917098269191E-26</v>
      </c>
      <c r="EY192" s="22">
        <f t="shared" si="181"/>
        <v>12.019006678980928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541.99999999999989</v>
      </c>
      <c r="FF192" s="17">
        <f>FE192*VLOOKUP('Données projet'!$B$16,Paramètres!$A$1:$I$89,3,0)*VLOOKUP('Données projet'!$B$16,Paramètres!$A$1:$I$89,5,0)</f>
        <v>310.02399999999994</v>
      </c>
      <c r="FG192" s="13">
        <f t="shared" si="182"/>
        <v>73.27384230442388</v>
      </c>
      <c r="FH192" s="20">
        <f t="shared" si="183"/>
        <v>667.57707534687154</v>
      </c>
      <c r="FI192" s="59">
        <f t="shared" si="131"/>
        <v>960.91040868020491</v>
      </c>
      <c r="FJ192" s="59">
        <f ca="1">AVERAGE(OFFSET($FI$3,0,0,'Données projet'!$E$16+1,1))-AVERAGE(OFFSET($H$3,0,0,'Données projet'!$E$16+1,1))</f>
        <v>393.41577134252316</v>
      </c>
      <c r="FK192" s="59">
        <f t="shared" si="156"/>
        <v>255.54039659391475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13.234345996266745</v>
      </c>
      <c r="FR192" s="21">
        <f>EXP(-LN(2)/25)*FR191+(1-EXP(-LN(2)/25))/(LN(2)/25)*Calculateur!FM192*Calculateur!FO192*VLOOKUP('Données projet'!$B$16,Paramètres!$A$1:$I$89,3,0)*0.475*44/12</f>
        <v>0.32530557865440807</v>
      </c>
      <c r="FS192" s="21">
        <f>EXP(-LN(2)/2)*FS191+(1-EXP(-LN(2)/2))/(LN(2)/2)*FM192*FP192*VLOOKUP('Données projet'!$B$16,Paramètres!$A$1:$I$89,3,0)*0.475*44/12</f>
        <v>4.2615681649709916E-25</v>
      </c>
      <c r="FT192" s="22">
        <f t="shared" si="184"/>
        <v>13.559651574921153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853.00000000000011</v>
      </c>
      <c r="GA192" s="17">
        <f>FZ192*VLOOKUP('Données projet'!$B$17,Paramètres!$A$1:$I$89,3,0)*VLOOKUP('Données projet'!$B$17,Paramètres!$A$1:$I$89,5,0)</f>
        <v>399.20400000000006</v>
      </c>
      <c r="GB192" s="13">
        <f t="shared" si="185"/>
        <v>91.615269732888521</v>
      </c>
      <c r="GC192" s="20">
        <f t="shared" si="186"/>
        <v>854.8435614514475</v>
      </c>
      <c r="GD192" s="59">
        <f t="shared" si="134"/>
        <v>1148.1768947847809</v>
      </c>
      <c r="GE192" s="59">
        <f ca="1">AVERAGE(OFFSET($GD$3,0,0,'Données projet'!$E$17+1,1))-AVERAGE(OFFSET($H$3,0,0,'Données projet'!$E$17+1,1))</f>
        <v>488.67934252295686</v>
      </c>
      <c r="GF192" s="59">
        <f t="shared" si="158"/>
        <v>424.50324471331095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16.004658356244342</v>
      </c>
      <c r="GM192" s="21">
        <f>EXP(-LN(2)/25)*GM191+(1-EXP(-LN(2)/25))/(LN(2)/25)*Calculateur!GH192*Calculateur!GJ192*VLOOKUP('Données projet'!$B$17,Paramètres!$A$1:$I$89,3,0)*0.475*44/12</f>
        <v>0.59639356086641526</v>
      </c>
      <c r="GN192" s="21">
        <f>EXP(-LN(2)/2)*GN191+(1-EXP(-LN(2)/2))/(LN(2)/2)*GH192*GK192*VLOOKUP('Données projet'!$B$17,Paramètres!$A$1:$I$89,3,0)*0.475*44/12</f>
        <v>9.4916745492535692E-25</v>
      </c>
      <c r="GO192" s="21">
        <f t="shared" si="187"/>
        <v>16.601051917110755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789</v>
      </c>
      <c r="GV192" s="17">
        <f>GU192*VLOOKUP('Données projet'!$B$18,Paramètres!$A$1:$I$89,3,0)*VLOOKUP('Données projet'!$B$18,Paramètres!$A$1:$I$89,5,0)</f>
        <v>379.50900000000001</v>
      </c>
      <c r="GW192" s="13">
        <f t="shared" si="188"/>
        <v>87.609801106074272</v>
      </c>
      <c r="GX192" s="20">
        <f t="shared" si="189"/>
        <v>813.56524525974601</v>
      </c>
      <c r="GY192" s="59">
        <f t="shared" si="137"/>
        <v>1106.8985785930793</v>
      </c>
      <c r="GZ192" s="59">
        <f ca="1">AVERAGE(OFFSET($GY$3,0,0,'Données projet'!$E$18+1,1))-AVERAGE(OFFSET($H$3,0,0,'Données projet'!$E$18+1,1))</f>
        <v>458.80976193248841</v>
      </c>
      <c r="HA192" s="59">
        <f t="shared" si="160"/>
        <v>396.07405370178759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16.205962616624905</v>
      </c>
      <c r="HH192" s="21">
        <f>EXP(-LN(2)/25)*HH191+(1-EXP(-LN(2)/25))/(LN(2)/25)*Calculateur!HC192*Calculateur!HE192*VLOOKUP('Données projet'!$B$18,Paramètres!$A$1:$I$89,3,0)*0.475*44/12</f>
        <v>0.55723640788023676</v>
      </c>
      <c r="HI192" s="21">
        <f>EXP(-LN(2)/2)*HI191+(1-EXP(-LN(2)/2))/(LN(2)/2)*HC192*HF192*VLOOKUP('Données projet'!$B$18,Paramètres!$A$1:$I$89,3,0)*0.475*44/12</f>
        <v>4.3799450584424113E-25</v>
      </c>
      <c r="HJ192" s="22">
        <f t="shared" si="190"/>
        <v>16.763199024505141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267</v>
      </c>
      <c r="O193" s="13">
        <f>N193*VLOOKUP('Données projet'!$B$9,Paramètres!$A$1:$I$89,3,0)*VLOOKUP('Données projet'!$B$9,Paramètres!$A$1:$I$89,5,0)</f>
        <v>241.58159999999998</v>
      </c>
      <c r="P193" s="13">
        <f t="shared" si="141"/>
        <v>58.779689232021951</v>
      </c>
      <c r="Q193" s="20">
        <f t="shared" si="162"/>
        <v>523.12924541243819</v>
      </c>
      <c r="R193" s="59">
        <f t="shared" si="109"/>
        <v>816.46257874577145</v>
      </c>
      <c r="S193" s="59">
        <f ca="1">AVERAGE(OFFSET($R$3,0,0,'Données projet'!$E$9+1,1))-AVERAGE(OFFSET($H$3,0,0,'Données projet'!$E$9+1,1))</f>
        <v>364.3481978218424</v>
      </c>
      <c r="T193" s="59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17.115109866627193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17.115109866627193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636.99999999999977</v>
      </c>
      <c r="AJ193" s="13">
        <f>AI193*VLOOKUP('Données projet'!$B$10,Paramètres!$A$1:$I$89,3,0)*VLOOKUP('Données projet'!$B$10,Paramètres!$A$1:$I$89,5,0)</f>
        <v>356.08299999999991</v>
      </c>
      <c r="AK193" s="13">
        <f t="shared" si="164"/>
        <v>82.813805255716545</v>
      </c>
      <c r="AL193" s="20">
        <f t="shared" si="165"/>
        <v>764.41193582037283</v>
      </c>
      <c r="AM193" s="59">
        <f t="shared" si="113"/>
        <v>1057.7452691537062</v>
      </c>
      <c r="AN193" s="59">
        <f ca="1">AVERAGE(OFFSET($AM$3,0,0,'Données projet'!$E$10+1,1))-AVERAGE(OFFSET($H$3,0,0,'Données projet'!$E$10+1,1))</f>
        <v>443.34220761968419</v>
      </c>
      <c r="AO193" s="59">
        <f t="shared" si="144"/>
        <v>546.58234447298014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7.4459350645925602</v>
      </c>
      <c r="AV193" s="21">
        <f>EXP(-LN(2)/25)*AV192+(1-EXP(-LN(2)/25))/(LN(2)/25)*Calculateur!AQ193*Calculateur!AS193*VLOOKUP('Données projet'!$B$10,Paramètres!$A$1:$I$89,3,0)*0.475*44/12</f>
        <v>0.25977136908297366</v>
      </c>
      <c r="AW193" s="21">
        <f>EXP(-LN(2)/2)*AW192+(1-EXP(-LN(2)/2))/(LN(2)/2)*AQ193*AT193*VLOOKUP('Données projet'!$B$10,Paramètres!$A$1:$I$89,3,0)*0.475*44/12</f>
        <v>4.9976572116478003E-24</v>
      </c>
      <c r="AX193" s="21">
        <f t="shared" si="166"/>
        <v>7.7057064336755339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403.99999999999989</v>
      </c>
      <c r="BE193" s="13">
        <f>BD193*VLOOKUP('Données projet'!$B$11,Paramètres!$A$1:$I$89,3,0)*VLOOKUP('Données projet'!$B$11,Paramètres!$A$1:$I$89,5,0)</f>
        <v>346.63199999999995</v>
      </c>
      <c r="BF193" s="13">
        <f t="shared" si="167"/>
        <v>80.868615263336864</v>
      </c>
      <c r="BG193" s="20">
        <f t="shared" si="168"/>
        <v>744.56357158364483</v>
      </c>
      <c r="BH193" s="59">
        <f t="shared" si="116"/>
        <v>1037.8969049169782</v>
      </c>
      <c r="BI193" s="59">
        <f ca="1">AVERAGE(OFFSET($BH$3,0,0,'Données projet'!$E$11+1,1))-AVERAGE(OFFSET($H$3,0,0,'Données projet'!$E$11+1,1))</f>
        <v>447.15627913956871</v>
      </c>
      <c r="BJ193" s="59">
        <f t="shared" si="146"/>
        <v>256.77417912163997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24.988928630938105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24.988928630938105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245.99999999999994</v>
      </c>
      <c r="BZ193" s="13">
        <f>BY193*VLOOKUP('Données projet'!$B$12,Paramètres!$A$1:$I$89,3,0)*VLOOKUP('Données projet'!$B$12,Paramètres!$A$1:$I$89,5,0)</f>
        <v>234.09359999999998</v>
      </c>
      <c r="CA193" s="13">
        <f t="shared" si="170"/>
        <v>57.166902703920208</v>
      </c>
      <c r="CB193" s="20">
        <f t="shared" si="171"/>
        <v>507.27870887599425</v>
      </c>
      <c r="CC193" s="59">
        <f t="shared" si="119"/>
        <v>800.61204220932757</v>
      </c>
      <c r="CD193" s="59">
        <f ca="1">AVERAGE(OFFSET($CC$3,0,0,'Données projet'!$E$12+1,1))-AVERAGE(OFFSET($H$3,0,0,'Données projet'!$E$12+1,1))</f>
        <v>448.94764480536713</v>
      </c>
      <c r="CE193" s="59">
        <f t="shared" si="148"/>
        <v>469.26760321719695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17.65672285928823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17.65672285928823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187.80389738728508</v>
      </c>
      <c r="CZ193" s="59">
        <f t="shared" si="150"/>
        <v>439.28159165815265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5.1947483762360509</v>
      </c>
      <c r="DG193" s="21">
        <f>EXP(-LN(2)/25)*DG192+(1-EXP(-LN(2)/25))/(LN(2)/25)*Calculateur!DB193*Calculateur!DD193*VLOOKUP('Données projet'!$B$13,Paramètres!$A$1:$I$89,3,0)*0.475*44/12</f>
        <v>0.17024942452751282</v>
      </c>
      <c r="DH193" s="21">
        <f>EXP(-LN(2)/2)*DH192+(1-EXP(-LN(2)/2))/(LN(2)/2)*DB193*DE193*VLOOKUP('Données projet'!$B$13,Paramètres!$A$1:$I$89,3,0)*0.475*44/12</f>
        <v>3.7191699666806263E-26</v>
      </c>
      <c r="DI193" s="22">
        <f t="shared" si="175"/>
        <v>5.3649978007635637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255.00000000000006</v>
      </c>
      <c r="DP193" s="17">
        <f>DO193*VLOOKUP('Données projet'!$B$14,Paramètres!$A$1:$I$89,3,0)*VLOOKUP('Données projet'!$B$14,Paramètres!$A$1:$I$89,5,0)</f>
        <v>186.96600000000004</v>
      </c>
      <c r="DQ193" s="13">
        <f t="shared" si="176"/>
        <v>46.868551400324648</v>
      </c>
      <c r="DR193" s="20">
        <f t="shared" si="177"/>
        <v>407.26184368889881</v>
      </c>
      <c r="DS193" s="59">
        <f t="shared" si="125"/>
        <v>700.59517702223206</v>
      </c>
      <c r="DT193" s="59">
        <f ca="1">AVERAGE(OFFSET($DS$3,0,0,'Données projet'!$E$14+1,1))-AVERAGE(OFFSET($H$3,0,0,'Données projet'!$E$14+1,1))</f>
        <v>239.25212250019609</v>
      </c>
      <c r="DU193" s="59">
        <f t="shared" si="152"/>
        <v>213.58492101729695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689</v>
      </c>
      <c r="EK193" s="17">
        <f>EJ193*VLOOKUP('Données projet'!$B$15,Paramètres!$A$1:$I$89,3,0)*VLOOKUP('Données projet'!$B$15,Paramètres!$A$1:$I$89,5,0)</f>
        <v>412.02199999999999</v>
      </c>
      <c r="EL193" s="13">
        <f t="shared" si="179"/>
        <v>94.209724877926391</v>
      </c>
      <c r="EM193" s="20">
        <f t="shared" si="180"/>
        <v>881.686920829055</v>
      </c>
      <c r="EN193" s="59">
        <f t="shared" si="128"/>
        <v>1175.0202541623883</v>
      </c>
      <c r="EO193" s="59">
        <f ca="1">AVERAGE(OFFSET($EN$3,0,0,'Données projet'!$E$15+1,1))-AVERAGE(OFFSET($H$3,0,0,'Données projet'!$E$15+1,1))</f>
        <v>504.81063008331739</v>
      </c>
      <c r="EP193" s="59">
        <f t="shared" si="154"/>
        <v>441.82647565372287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11.080555621797888</v>
      </c>
      <c r="EW193" s="21">
        <f>EXP(-LN(2)/25)*EW192+(1-EXP(-LN(2)/25))/(LN(2)/25)*Calculateur!ER193*Calculateur!ET193*VLOOKUP('Données projet'!$B$15,Paramètres!$A$1:$I$89,3,0)*0.475*44/12</f>
        <v>0.69722057313189278</v>
      </c>
      <c r="EX193" s="21">
        <f>EXP(-LN(2)/2)*EX192+(1-EXP(-LN(2)/2))/(LN(2)/2)*ER193*EU193*VLOOKUP('Données projet'!$B$15,Paramètres!$A$1:$I$89,3,0)*0.475*44/12</f>
        <v>4.3315181474768316E-26</v>
      </c>
      <c r="EY193" s="22">
        <f t="shared" si="181"/>
        <v>11.777776194929782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541.99999999999989</v>
      </c>
      <c r="FF193" s="17">
        <f>FE193*VLOOKUP('Données projet'!$B$16,Paramètres!$A$1:$I$89,3,0)*VLOOKUP('Données projet'!$B$16,Paramètres!$A$1:$I$89,5,0)</f>
        <v>310.02399999999994</v>
      </c>
      <c r="FG193" s="13">
        <f t="shared" si="182"/>
        <v>73.27384230442388</v>
      </c>
      <c r="FH193" s="20">
        <f t="shared" si="183"/>
        <v>667.57707534687154</v>
      </c>
      <c r="FI193" s="59">
        <f t="shared" si="131"/>
        <v>960.91040868020491</v>
      </c>
      <c r="FJ193" s="59">
        <f ca="1">AVERAGE(OFFSET($FI$3,0,0,'Données projet'!$E$16+1,1))-AVERAGE(OFFSET($H$3,0,0,'Données projet'!$E$16+1,1))</f>
        <v>393.41577134252316</v>
      </c>
      <c r="FK193" s="59">
        <f t="shared" si="156"/>
        <v>255.54039659391475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12.974828543433953</v>
      </c>
      <c r="FR193" s="21">
        <f>EXP(-LN(2)/25)*FR192+(1-EXP(-LN(2)/25))/(LN(2)/25)*Calculateur!FM193*Calculateur!FO193*VLOOKUP('Données projet'!$B$16,Paramètres!$A$1:$I$89,3,0)*0.475*44/12</f>
        <v>0.31641008049902641</v>
      </c>
      <c r="FS193" s="21">
        <f>EXP(-LN(2)/2)*FS192+(1-EXP(-LN(2)/2))/(LN(2)/2)*FM193*FP193*VLOOKUP('Données projet'!$B$16,Paramètres!$A$1:$I$89,3,0)*0.475*44/12</f>
        <v>3.0133837479396998E-25</v>
      </c>
      <c r="FT193" s="22">
        <f t="shared" si="184"/>
        <v>13.29123862393298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853.00000000000011</v>
      </c>
      <c r="GA193" s="17">
        <f>FZ193*VLOOKUP('Données projet'!$B$17,Paramètres!$A$1:$I$89,3,0)*VLOOKUP('Données projet'!$B$17,Paramètres!$A$1:$I$89,5,0)</f>
        <v>399.20400000000006</v>
      </c>
      <c r="GB193" s="13">
        <f t="shared" si="185"/>
        <v>91.615269732888521</v>
      </c>
      <c r="GC193" s="20">
        <f t="shared" si="186"/>
        <v>854.8435614514475</v>
      </c>
      <c r="GD193" s="59">
        <f t="shared" si="134"/>
        <v>1148.1768947847809</v>
      </c>
      <c r="GE193" s="59">
        <f ca="1">AVERAGE(OFFSET($GD$3,0,0,'Données projet'!$E$17+1,1))-AVERAGE(OFFSET($H$3,0,0,'Données projet'!$E$17+1,1))</f>
        <v>488.67934252295686</v>
      </c>
      <c r="GF193" s="59">
        <f t="shared" si="158"/>
        <v>424.50324471331095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15.690816767756083</v>
      </c>
      <c r="GM193" s="21">
        <f>EXP(-LN(2)/25)*GM192+(1-EXP(-LN(2)/25))/(LN(2)/25)*Calculateur!GH193*Calculateur!GJ193*VLOOKUP('Données projet'!$B$17,Paramètres!$A$1:$I$89,3,0)*0.475*44/12</f>
        <v>0.58008514758154883</v>
      </c>
      <c r="GN193" s="21">
        <f>EXP(-LN(2)/2)*GN192+(1-EXP(-LN(2)/2))/(LN(2)/2)*GH193*GK193*VLOOKUP('Données projet'!$B$17,Paramètres!$A$1:$I$89,3,0)*0.475*44/12</f>
        <v>6.7116274385929659E-25</v>
      </c>
      <c r="GO193" s="21">
        <f t="shared" si="187"/>
        <v>16.270901915337632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789</v>
      </c>
      <c r="GV193" s="17">
        <f>GU193*VLOOKUP('Données projet'!$B$18,Paramètres!$A$1:$I$89,3,0)*VLOOKUP('Données projet'!$B$18,Paramètres!$A$1:$I$89,5,0)</f>
        <v>379.50900000000001</v>
      </c>
      <c r="GW193" s="13">
        <f t="shared" si="188"/>
        <v>87.609801106074272</v>
      </c>
      <c r="GX193" s="20">
        <f t="shared" si="189"/>
        <v>813.56524525974601</v>
      </c>
      <c r="GY193" s="59">
        <f t="shared" si="137"/>
        <v>1106.8985785930793</v>
      </c>
      <c r="GZ193" s="59">
        <f ca="1">AVERAGE(OFFSET($GY$3,0,0,'Données projet'!$E$18+1,1))-AVERAGE(OFFSET($H$3,0,0,'Données projet'!$E$18+1,1))</f>
        <v>458.80976193248841</v>
      </c>
      <c r="HA193" s="59">
        <f t="shared" si="160"/>
        <v>396.07405370178759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15.888173574374058</v>
      </c>
      <c r="HH193" s="21">
        <f>EXP(-LN(2)/25)*HH192+(1-EXP(-LN(2)/25))/(LN(2)/25)*Calculateur!HC193*Calculateur!HE193*VLOOKUP('Données projet'!$B$18,Paramètres!$A$1:$I$89,3,0)*0.475*44/12</f>
        <v>0.54199874900296263</v>
      </c>
      <c r="HI193" s="21">
        <f>EXP(-LN(2)/2)*HI192+(1-EXP(-LN(2)/2))/(LN(2)/2)*HC193*HF193*VLOOKUP('Données projet'!$B$18,Paramètres!$A$1:$I$89,3,0)*0.475*44/12</f>
        <v>3.0970888520491383E-25</v>
      </c>
      <c r="HJ193" s="22">
        <f t="shared" si="190"/>
        <v>16.430172323377022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267</v>
      </c>
      <c r="O194" s="13">
        <f>N194*VLOOKUP('Données projet'!$B$9,Paramètres!$A$1:$I$89,3,0)*VLOOKUP('Données projet'!$B$9,Paramètres!$A$1:$I$89,5,0)</f>
        <v>241.58159999999998</v>
      </c>
      <c r="P194" s="13">
        <f t="shared" si="141"/>
        <v>58.779689232021951</v>
      </c>
      <c r="Q194" s="20">
        <f t="shared" si="162"/>
        <v>523.12924541243819</v>
      </c>
      <c r="R194" s="59">
        <f t="shared" si="109"/>
        <v>816.46257874577145</v>
      </c>
      <c r="S194" s="59">
        <f ca="1">AVERAGE(OFFSET($R$3,0,0,'Données projet'!$E$9+1,1))-AVERAGE(OFFSET($H$3,0,0,'Données projet'!$E$9+1,1))</f>
        <v>364.3481978218424</v>
      </c>
      <c r="T194" s="59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16.77949300132887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16.77949300132887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636.99999999999977</v>
      </c>
      <c r="AJ194" s="13">
        <f>AI194*VLOOKUP('Données projet'!$B$10,Paramètres!$A$1:$I$89,3,0)*VLOOKUP('Données projet'!$B$10,Paramètres!$A$1:$I$89,5,0)</f>
        <v>356.08299999999991</v>
      </c>
      <c r="AK194" s="13">
        <f t="shared" si="164"/>
        <v>82.813805255716545</v>
      </c>
      <c r="AL194" s="20">
        <f t="shared" si="165"/>
        <v>764.41193582037283</v>
      </c>
      <c r="AM194" s="59">
        <f t="shared" si="113"/>
        <v>1057.7452691537062</v>
      </c>
      <c r="AN194" s="59">
        <f ca="1">AVERAGE(OFFSET($AM$3,0,0,'Données projet'!$E$10+1,1))-AVERAGE(OFFSET($H$3,0,0,'Données projet'!$E$10+1,1))</f>
        <v>443.34220761968419</v>
      </c>
      <c r="AO194" s="59">
        <f t="shared" si="144"/>
        <v>546.58234447298014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7.2999248195478463</v>
      </c>
      <c r="AV194" s="21">
        <f>EXP(-LN(2)/25)*AV193+(1-EXP(-LN(2)/25))/(LN(2)/25)*Calculateur!AQ194*Calculateur!AS194*VLOOKUP('Données projet'!$B$10,Paramètres!$A$1:$I$89,3,0)*0.475*44/12</f>
        <v>0.25266790733461714</v>
      </c>
      <c r="AW194" s="21">
        <f>EXP(-LN(2)/2)*AW193+(1-EXP(-LN(2)/2))/(LN(2)/2)*AQ194*AT194*VLOOKUP('Données projet'!$B$10,Paramètres!$A$1:$I$89,3,0)*0.475*44/12</f>
        <v>3.5338773044020123E-24</v>
      </c>
      <c r="AX194" s="21">
        <f t="shared" si="166"/>
        <v>7.5525927268824633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403.99999999999989</v>
      </c>
      <c r="BE194" s="13">
        <f>BD194*VLOOKUP('Données projet'!$B$11,Paramètres!$A$1:$I$89,3,0)*VLOOKUP('Données projet'!$B$11,Paramètres!$A$1:$I$89,5,0)</f>
        <v>346.63199999999995</v>
      </c>
      <c r="BF194" s="13">
        <f t="shared" si="167"/>
        <v>80.868615263336864</v>
      </c>
      <c r="BG194" s="20">
        <f t="shared" si="168"/>
        <v>744.56357158364483</v>
      </c>
      <c r="BH194" s="59">
        <f t="shared" si="116"/>
        <v>1037.8969049169782</v>
      </c>
      <c r="BI194" s="59">
        <f ca="1">AVERAGE(OFFSET($BH$3,0,0,'Données projet'!$E$11+1,1))-AVERAGE(OFFSET($H$3,0,0,'Données projet'!$E$11+1,1))</f>
        <v>447.15627913956871</v>
      </c>
      <c r="BJ194" s="59">
        <f t="shared" si="146"/>
        <v>256.77417912163997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24.498910982226878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24.498910982226878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245.99999999999994</v>
      </c>
      <c r="BZ194" s="13">
        <f>BY194*VLOOKUP('Données projet'!$B$12,Paramètres!$A$1:$I$89,3,0)*VLOOKUP('Données projet'!$B$12,Paramètres!$A$1:$I$89,5,0)</f>
        <v>234.09359999999998</v>
      </c>
      <c r="CA194" s="13">
        <f t="shared" si="170"/>
        <v>57.166902703920208</v>
      </c>
      <c r="CB194" s="20">
        <f t="shared" si="171"/>
        <v>507.27870887599425</v>
      </c>
      <c r="CC194" s="59">
        <f t="shared" si="119"/>
        <v>800.61204220932757</v>
      </c>
      <c r="CD194" s="59">
        <f ca="1">AVERAGE(OFFSET($CC$3,0,0,'Données projet'!$E$12+1,1))-AVERAGE(OFFSET($H$3,0,0,'Données projet'!$E$12+1,1))</f>
        <v>448.94764480536713</v>
      </c>
      <c r="CE194" s="59">
        <f t="shared" si="148"/>
        <v>469.26760321719695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17.310485293555129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17.310485293555129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187.80389738728508</v>
      </c>
      <c r="CZ194" s="59">
        <f t="shared" si="150"/>
        <v>439.28159165815265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5.0928825290617095</v>
      </c>
      <c r="DG194" s="21">
        <f>EXP(-LN(2)/25)*DG193+(1-EXP(-LN(2)/25))/(LN(2)/25)*Calculateur!DB194*Calculateur!DD194*VLOOKUP('Données projet'!$B$13,Paramètres!$A$1:$I$89,3,0)*0.475*44/12</f>
        <v>0.16559394506077985</v>
      </c>
      <c r="DH194" s="21">
        <f>EXP(-LN(2)/2)*DH193+(1-EXP(-LN(2)/2))/(LN(2)/2)*DB194*DE194*VLOOKUP('Données projet'!$B$13,Paramètres!$A$1:$I$89,3,0)*0.475*44/12</f>
        <v>2.6298503038252169E-26</v>
      </c>
      <c r="DI194" s="22">
        <f t="shared" si="175"/>
        <v>5.2584764741224896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255.00000000000006</v>
      </c>
      <c r="DP194" s="17">
        <f>DO194*VLOOKUP('Données projet'!$B$14,Paramètres!$A$1:$I$89,3,0)*VLOOKUP('Données projet'!$B$14,Paramètres!$A$1:$I$89,5,0)</f>
        <v>186.96600000000004</v>
      </c>
      <c r="DQ194" s="13">
        <f t="shared" si="176"/>
        <v>46.868551400324648</v>
      </c>
      <c r="DR194" s="20">
        <f t="shared" si="177"/>
        <v>407.26184368889881</v>
      </c>
      <c r="DS194" s="59">
        <f t="shared" si="125"/>
        <v>700.59517702223206</v>
      </c>
      <c r="DT194" s="59">
        <f ca="1">AVERAGE(OFFSET($DS$3,0,0,'Données projet'!$E$14+1,1))-AVERAGE(OFFSET($H$3,0,0,'Données projet'!$E$14+1,1))</f>
        <v>239.25212250019609</v>
      </c>
      <c r="DU194" s="59">
        <f t="shared" si="152"/>
        <v>213.58492101729695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689</v>
      </c>
      <c r="EK194" s="17">
        <f>EJ194*VLOOKUP('Données projet'!$B$15,Paramètres!$A$1:$I$89,3,0)*VLOOKUP('Données projet'!$B$15,Paramètres!$A$1:$I$89,5,0)</f>
        <v>412.02199999999999</v>
      </c>
      <c r="EL194" s="13">
        <f t="shared" si="179"/>
        <v>94.209724877926391</v>
      </c>
      <c r="EM194" s="20">
        <f t="shared" si="180"/>
        <v>881.686920829055</v>
      </c>
      <c r="EN194" s="59">
        <f t="shared" si="128"/>
        <v>1175.0202541623883</v>
      </c>
      <c r="EO194" s="59">
        <f ca="1">AVERAGE(OFFSET($EN$3,0,0,'Données projet'!$E$15+1,1))-AVERAGE(OFFSET($H$3,0,0,'Données projet'!$E$15+1,1))</f>
        <v>504.81063008331739</v>
      </c>
      <c r="EP194" s="59">
        <f t="shared" si="154"/>
        <v>441.82647565372287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10.863272684526017</v>
      </c>
      <c r="EW194" s="21">
        <f>EXP(-LN(2)/25)*EW193+(1-EXP(-LN(2)/25))/(LN(2)/25)*Calculateur!ER194*Calculateur!ET194*VLOOKUP('Données projet'!$B$15,Paramètres!$A$1:$I$89,3,0)*0.475*44/12</f>
        <v>0.67815503989436476</v>
      </c>
      <c r="EX194" s="21">
        <f>EXP(-LN(2)/2)*EX193+(1-EXP(-LN(2)/2))/(LN(2)/2)*ER194*EU194*VLOOKUP('Données projet'!$B$15,Paramètres!$A$1:$I$89,3,0)*0.475*44/12</f>
        <v>3.0628458549134596E-26</v>
      </c>
      <c r="EY194" s="22">
        <f t="shared" si="181"/>
        <v>11.541427724420382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541.99999999999989</v>
      </c>
      <c r="FF194" s="17">
        <f>FE194*VLOOKUP('Données projet'!$B$16,Paramètres!$A$1:$I$89,3,0)*VLOOKUP('Données projet'!$B$16,Paramètres!$A$1:$I$89,5,0)</f>
        <v>310.02399999999994</v>
      </c>
      <c r="FG194" s="13">
        <f t="shared" si="182"/>
        <v>73.27384230442388</v>
      </c>
      <c r="FH194" s="20">
        <f t="shared" si="183"/>
        <v>667.57707534687154</v>
      </c>
      <c r="FI194" s="59">
        <f t="shared" si="131"/>
        <v>960.91040868020491</v>
      </c>
      <c r="FJ194" s="59">
        <f ca="1">AVERAGE(OFFSET($FI$3,0,0,'Données projet'!$E$16+1,1))-AVERAGE(OFFSET($H$3,0,0,'Données projet'!$E$16+1,1))</f>
        <v>393.41577134252316</v>
      </c>
      <c r="FK194" s="59">
        <f t="shared" si="156"/>
        <v>255.54039659391475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12.720400069561196</v>
      </c>
      <c r="FR194" s="21">
        <f>EXP(-LN(2)/25)*FR193+(1-EXP(-LN(2)/25))/(LN(2)/25)*Calculateur!FM194*Calculateur!FO194*VLOOKUP('Données projet'!$B$16,Paramètres!$A$1:$I$89,3,0)*0.475*44/12</f>
        <v>0.30775783020849756</v>
      </c>
      <c r="FS194" s="21">
        <f>EXP(-LN(2)/2)*FS193+(1-EXP(-LN(2)/2))/(LN(2)/2)*FM194*FP194*VLOOKUP('Données projet'!$B$16,Paramètres!$A$1:$I$89,3,0)*0.475*44/12</f>
        <v>2.1307840824854958E-25</v>
      </c>
      <c r="FT194" s="22">
        <f t="shared" si="184"/>
        <v>13.028157899769694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853.00000000000011</v>
      </c>
      <c r="GA194" s="17">
        <f>FZ194*VLOOKUP('Données projet'!$B$17,Paramètres!$A$1:$I$89,3,0)*VLOOKUP('Données projet'!$B$17,Paramètres!$A$1:$I$89,5,0)</f>
        <v>399.20400000000006</v>
      </c>
      <c r="GB194" s="13">
        <f t="shared" si="185"/>
        <v>91.615269732888521</v>
      </c>
      <c r="GC194" s="20">
        <f t="shared" si="186"/>
        <v>854.8435614514475</v>
      </c>
      <c r="GD194" s="59">
        <f t="shared" si="134"/>
        <v>1148.1768947847809</v>
      </c>
      <c r="GE194" s="59">
        <f ca="1">AVERAGE(OFFSET($GD$3,0,0,'Données projet'!$E$17+1,1))-AVERAGE(OFFSET($H$3,0,0,'Données projet'!$E$17+1,1))</f>
        <v>488.67934252295686</v>
      </c>
      <c r="GF194" s="59">
        <f t="shared" si="158"/>
        <v>424.50324471331095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15.38312942139361</v>
      </c>
      <c r="GM194" s="21">
        <f>EXP(-LN(2)/25)*GM193+(1-EXP(-LN(2)/25))/(LN(2)/25)*Calculateur!GH194*Calculateur!GJ194*VLOOKUP('Données projet'!$B$17,Paramètres!$A$1:$I$89,3,0)*0.475*44/12</f>
        <v>0.56422268871557923</v>
      </c>
      <c r="GN194" s="21">
        <f>EXP(-LN(2)/2)*GN193+(1-EXP(-LN(2)/2))/(LN(2)/2)*GH194*GK194*VLOOKUP('Données projet'!$B$17,Paramètres!$A$1:$I$89,3,0)*0.475*44/12</f>
        <v>4.7458372746267846E-25</v>
      </c>
      <c r="GO194" s="21">
        <f t="shared" si="187"/>
        <v>15.94735211010919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789</v>
      </c>
      <c r="GV194" s="17">
        <f>GU194*VLOOKUP('Données projet'!$B$18,Paramètres!$A$1:$I$89,3,0)*VLOOKUP('Données projet'!$B$18,Paramètres!$A$1:$I$89,5,0)</f>
        <v>379.50900000000001</v>
      </c>
      <c r="GW194" s="13">
        <f t="shared" si="188"/>
        <v>87.609801106074272</v>
      </c>
      <c r="GX194" s="20">
        <f t="shared" si="189"/>
        <v>813.56524525974601</v>
      </c>
      <c r="GY194" s="59">
        <f t="shared" si="137"/>
        <v>1106.8985785930793</v>
      </c>
      <c r="GZ194" s="59">
        <f ca="1">AVERAGE(OFFSET($GY$3,0,0,'Données projet'!$E$18+1,1))-AVERAGE(OFFSET($H$3,0,0,'Données projet'!$E$18+1,1))</f>
        <v>458.80976193248841</v>
      </c>
      <c r="HA194" s="59">
        <f t="shared" si="160"/>
        <v>396.07405370178759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15.576616181409573</v>
      </c>
      <c r="HH194" s="21">
        <f>EXP(-LN(2)/25)*HH193+(1-EXP(-LN(2)/25))/(LN(2)/25)*Calculateur!HC194*Calculateur!HE194*VLOOKUP('Données projet'!$B$18,Paramètres!$A$1:$I$89,3,0)*0.475*44/12</f>
        <v>0.52717776470900113</v>
      </c>
      <c r="HI194" s="21">
        <f>EXP(-LN(2)/2)*HI193+(1-EXP(-LN(2)/2))/(LN(2)/2)*HC194*HF194*VLOOKUP('Données projet'!$B$18,Paramètres!$A$1:$I$89,3,0)*0.475*44/12</f>
        <v>2.1899725292212057E-25</v>
      </c>
      <c r="HJ194" s="22">
        <f t="shared" si="190"/>
        <v>16.103793946118575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267</v>
      </c>
      <c r="O195" s="13">
        <f>N195*VLOOKUP('Données projet'!$B$9,Paramètres!$A$1:$I$89,3,0)*VLOOKUP('Données projet'!$B$9,Paramètres!$A$1:$I$89,5,0)</f>
        <v>241.58159999999998</v>
      </c>
      <c r="P195" s="13">
        <f t="shared" si="141"/>
        <v>58.779689232021951</v>
      </c>
      <c r="Q195" s="20">
        <f t="shared" si="162"/>
        <v>523.12924541243819</v>
      </c>
      <c r="R195" s="59">
        <f t="shared" ref="R195:R203" si="191">Q195+(I195+J195)*44/12</f>
        <v>816.46257874577145</v>
      </c>
      <c r="S195" s="59">
        <f ca="1">AVERAGE(OFFSET($R$3,0,0,'Données projet'!$E$9+1,1))-AVERAGE(OFFSET($H$3,0,0,'Données projet'!$E$9+1,1))</f>
        <v>364.3481978218424</v>
      </c>
      <c r="T195" s="59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16.45045737805297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16.45045737805297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636.99999999999977</v>
      </c>
      <c r="AJ195" s="13">
        <f>AI195*VLOOKUP('Données projet'!$B$10,Paramètres!$A$1:$I$89,3,0)*VLOOKUP('Données projet'!$B$10,Paramètres!$A$1:$I$89,5,0)</f>
        <v>356.08299999999991</v>
      </c>
      <c r="AK195" s="13">
        <f t="shared" si="164"/>
        <v>82.813805255716545</v>
      </c>
      <c r="AL195" s="20">
        <f t="shared" si="165"/>
        <v>764.41193582037283</v>
      </c>
      <c r="AM195" s="59">
        <f t="shared" si="113"/>
        <v>1057.7452691537062</v>
      </c>
      <c r="AN195" s="59">
        <f ca="1">AVERAGE(OFFSET($AM$3,0,0,'Données projet'!$E$10+1,1))-AVERAGE(OFFSET($H$3,0,0,'Données projet'!$E$10+1,1))</f>
        <v>443.34220761968419</v>
      </c>
      <c r="AO195" s="59">
        <f t="shared" si="144"/>
        <v>546.58234447298014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7.1567777463510041</v>
      </c>
      <c r="AV195" s="21">
        <f>EXP(-LN(2)/25)*AV194+(1-EXP(-LN(2)/25))/(LN(2)/25)*Calculateur!AQ195*Calculateur!AS195*VLOOKUP('Données projet'!$B$10,Paramètres!$A$1:$I$89,3,0)*0.475*44/12</f>
        <v>0.24575869012132426</v>
      </c>
      <c r="AW195" s="21">
        <f>EXP(-LN(2)/2)*AW194+(1-EXP(-LN(2)/2))/(LN(2)/2)*AQ195*AT195*VLOOKUP('Données projet'!$B$10,Paramètres!$A$1:$I$89,3,0)*0.475*44/12</f>
        <v>2.4988286058239002E-24</v>
      </c>
      <c r="AX195" s="21">
        <f t="shared" si="166"/>
        <v>7.4025364364723281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403.99999999999989</v>
      </c>
      <c r="BE195" s="13">
        <f>BD195*VLOOKUP('Données projet'!$B$11,Paramètres!$A$1:$I$89,3,0)*VLOOKUP('Données projet'!$B$11,Paramètres!$A$1:$I$89,5,0)</f>
        <v>346.63199999999995</v>
      </c>
      <c r="BF195" s="13">
        <f t="shared" si="167"/>
        <v>80.868615263336864</v>
      </c>
      <c r="BG195" s="20">
        <f t="shared" si="168"/>
        <v>744.56357158364483</v>
      </c>
      <c r="BH195" s="59">
        <f t="shared" si="116"/>
        <v>1037.8969049169782</v>
      </c>
      <c r="BI195" s="59">
        <f ca="1">AVERAGE(OFFSET($BH$3,0,0,'Données projet'!$E$11+1,1))-AVERAGE(OFFSET($H$3,0,0,'Données projet'!$E$11+1,1))</f>
        <v>447.15627913956871</v>
      </c>
      <c r="BJ195" s="59">
        <f t="shared" si="146"/>
        <v>256.77417912163997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24.018502280725624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24.018502280725624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245.99999999999994</v>
      </c>
      <c r="BZ195" s="13">
        <f>BY195*VLOOKUP('Données projet'!$B$12,Paramètres!$A$1:$I$89,3,0)*VLOOKUP('Données projet'!$B$12,Paramètres!$A$1:$I$89,5,0)</f>
        <v>234.09359999999998</v>
      </c>
      <c r="CA195" s="13">
        <f t="shared" si="170"/>
        <v>57.166902703920208</v>
      </c>
      <c r="CB195" s="20">
        <f t="shared" si="171"/>
        <v>507.27870887599425</v>
      </c>
      <c r="CC195" s="59">
        <f t="shared" si="119"/>
        <v>800.61204220932757</v>
      </c>
      <c r="CD195" s="59">
        <f ca="1">AVERAGE(OFFSET($CC$3,0,0,'Données projet'!$E$12+1,1))-AVERAGE(OFFSET($H$3,0,0,'Données projet'!$E$12+1,1))</f>
        <v>448.94764480536713</v>
      </c>
      <c r="CE195" s="59">
        <f t="shared" si="148"/>
        <v>469.26760321719695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16.971037235301992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16.971037235301992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187.80389738728508</v>
      </c>
      <c r="CZ195" s="59">
        <f t="shared" si="150"/>
        <v>439.28159165815265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4.9930142090184253</v>
      </c>
      <c r="DG195" s="21">
        <f>EXP(-LN(2)/25)*DG194+(1-EXP(-LN(2)/25))/(LN(2)/25)*Calculateur!DB195*Calculateur!DD195*VLOOKUP('Données projet'!$B$13,Paramètres!$A$1:$I$89,3,0)*0.475*44/12</f>
        <v>0.16106576992488572</v>
      </c>
      <c r="DH195" s="21">
        <f>EXP(-LN(2)/2)*DH194+(1-EXP(-LN(2)/2))/(LN(2)/2)*DB195*DE195*VLOOKUP('Données projet'!$B$13,Paramètres!$A$1:$I$89,3,0)*0.475*44/12</f>
        <v>1.8595849833403132E-26</v>
      </c>
      <c r="DI195" s="22">
        <f t="shared" si="175"/>
        <v>5.1540799789433107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255.00000000000006</v>
      </c>
      <c r="DP195" s="17">
        <f>DO195*VLOOKUP('Données projet'!$B$14,Paramètres!$A$1:$I$89,3,0)*VLOOKUP('Données projet'!$B$14,Paramètres!$A$1:$I$89,5,0)</f>
        <v>186.96600000000004</v>
      </c>
      <c r="DQ195" s="13">
        <f t="shared" si="176"/>
        <v>46.868551400324648</v>
      </c>
      <c r="DR195" s="20">
        <f t="shared" si="177"/>
        <v>407.26184368889881</v>
      </c>
      <c r="DS195" s="59">
        <f t="shared" si="125"/>
        <v>700.59517702223206</v>
      </c>
      <c r="DT195" s="59">
        <f ca="1">AVERAGE(OFFSET($DS$3,0,0,'Données projet'!$E$14+1,1))-AVERAGE(OFFSET($H$3,0,0,'Données projet'!$E$14+1,1))</f>
        <v>239.25212250019609</v>
      </c>
      <c r="DU195" s="59">
        <f t="shared" si="152"/>
        <v>213.58492101729695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689</v>
      </c>
      <c r="EK195" s="17">
        <f>EJ195*VLOOKUP('Données projet'!$B$15,Paramètres!$A$1:$I$89,3,0)*VLOOKUP('Données projet'!$B$15,Paramètres!$A$1:$I$89,5,0)</f>
        <v>412.02199999999999</v>
      </c>
      <c r="EL195" s="13">
        <f t="shared" si="179"/>
        <v>94.209724877926391</v>
      </c>
      <c r="EM195" s="20">
        <f t="shared" si="180"/>
        <v>881.686920829055</v>
      </c>
      <c r="EN195" s="59">
        <f t="shared" si="128"/>
        <v>1175.0202541623883</v>
      </c>
      <c r="EO195" s="59">
        <f ca="1">AVERAGE(OFFSET($EN$3,0,0,'Données projet'!$E$15+1,1))-AVERAGE(OFFSET($H$3,0,0,'Données projet'!$E$15+1,1))</f>
        <v>504.81063008331739</v>
      </c>
      <c r="EP195" s="59">
        <f t="shared" si="154"/>
        <v>441.82647565372287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10.650250533124542</v>
      </c>
      <c r="EW195" s="21">
        <f>EXP(-LN(2)/25)*EW194+(1-EXP(-LN(2)/25))/(LN(2)/25)*Calculateur!ER195*Calculateur!ET195*VLOOKUP('Données projet'!$B$15,Paramètres!$A$1:$I$89,3,0)*0.475*44/12</f>
        <v>0.6596108546658298</v>
      </c>
      <c r="EX195" s="21">
        <f>EXP(-LN(2)/2)*EX194+(1-EXP(-LN(2)/2))/(LN(2)/2)*ER195*EU195*VLOOKUP('Données projet'!$B$15,Paramètres!$A$1:$I$89,3,0)*0.475*44/12</f>
        <v>2.1657590737384158E-26</v>
      </c>
      <c r="EY195" s="22">
        <f t="shared" si="181"/>
        <v>11.309861387790372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541.99999999999989</v>
      </c>
      <c r="FF195" s="17">
        <f>FE195*VLOOKUP('Données projet'!$B$16,Paramètres!$A$1:$I$89,3,0)*VLOOKUP('Données projet'!$B$16,Paramètres!$A$1:$I$89,5,0)</f>
        <v>310.02399999999994</v>
      </c>
      <c r="FG195" s="13">
        <f t="shared" si="182"/>
        <v>73.27384230442388</v>
      </c>
      <c r="FH195" s="20">
        <f t="shared" si="183"/>
        <v>667.57707534687154</v>
      </c>
      <c r="FI195" s="59">
        <f t="shared" si="131"/>
        <v>960.91040868020491</v>
      </c>
      <c r="FJ195" s="59">
        <f ca="1">AVERAGE(OFFSET($FI$3,0,0,'Données projet'!$E$16+1,1))-AVERAGE(OFFSET($H$3,0,0,'Données projet'!$E$16+1,1))</f>
        <v>393.41577134252316</v>
      </c>
      <c r="FK195" s="59">
        <f t="shared" si="156"/>
        <v>255.54039659391475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12.470960782875038</v>
      </c>
      <c r="FR195" s="21">
        <f>EXP(-LN(2)/25)*FR194+(1-EXP(-LN(2)/25))/(LN(2)/25)*Calculateur!FM195*Calculateur!FO195*VLOOKUP('Données projet'!$B$16,Paramètres!$A$1:$I$89,3,0)*0.475*44/12</f>
        <v>0.2993421761571653</v>
      </c>
      <c r="FS195" s="21">
        <f>EXP(-LN(2)/2)*FS194+(1-EXP(-LN(2)/2))/(LN(2)/2)*FM195*FP195*VLOOKUP('Données projet'!$B$16,Paramètres!$A$1:$I$89,3,0)*0.475*44/12</f>
        <v>1.5066918739698499E-25</v>
      </c>
      <c r="FT195" s="22">
        <f t="shared" si="184"/>
        <v>12.770302959032202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853.00000000000011</v>
      </c>
      <c r="GA195" s="17">
        <f>FZ195*VLOOKUP('Données projet'!$B$17,Paramètres!$A$1:$I$89,3,0)*VLOOKUP('Données projet'!$B$17,Paramètres!$A$1:$I$89,5,0)</f>
        <v>399.20400000000006</v>
      </c>
      <c r="GB195" s="13">
        <f t="shared" si="185"/>
        <v>91.615269732888521</v>
      </c>
      <c r="GC195" s="20">
        <f t="shared" si="186"/>
        <v>854.8435614514475</v>
      </c>
      <c r="GD195" s="59">
        <f t="shared" si="134"/>
        <v>1148.1768947847809</v>
      </c>
      <c r="GE195" s="59">
        <f ca="1">AVERAGE(OFFSET($GD$3,0,0,'Données projet'!$E$17+1,1))-AVERAGE(OFFSET($H$3,0,0,'Données projet'!$E$17+1,1))</f>
        <v>488.67934252295686</v>
      </c>
      <c r="GF195" s="59">
        <f t="shared" si="158"/>
        <v>424.50324471331095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15.081475636222555</v>
      </c>
      <c r="GM195" s="21">
        <f>EXP(-LN(2)/25)*GM194+(1-EXP(-LN(2)/25))/(LN(2)/25)*Calculateur!GH195*Calculateur!GJ195*VLOOKUP('Données projet'!$B$17,Paramètres!$A$1:$I$89,3,0)*0.475*44/12</f>
        <v>0.54879398962147008</v>
      </c>
      <c r="GN195" s="21">
        <f>EXP(-LN(2)/2)*GN194+(1-EXP(-LN(2)/2))/(LN(2)/2)*GH195*GK195*VLOOKUP('Données projet'!$B$17,Paramètres!$A$1:$I$89,3,0)*0.475*44/12</f>
        <v>3.3558137192964829E-25</v>
      </c>
      <c r="GO195" s="21">
        <f t="shared" si="187"/>
        <v>15.630269625844026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789</v>
      </c>
      <c r="GV195" s="17">
        <f>GU195*VLOOKUP('Données projet'!$B$18,Paramètres!$A$1:$I$89,3,0)*VLOOKUP('Données projet'!$B$18,Paramètres!$A$1:$I$89,5,0)</f>
        <v>379.50900000000001</v>
      </c>
      <c r="GW195" s="13">
        <f t="shared" si="188"/>
        <v>87.609801106074272</v>
      </c>
      <c r="GX195" s="20">
        <f t="shared" si="189"/>
        <v>813.56524525974601</v>
      </c>
      <c r="GY195" s="59">
        <f t="shared" si="137"/>
        <v>1106.8985785930793</v>
      </c>
      <c r="GZ195" s="59">
        <f ca="1">AVERAGE(OFFSET($GY$3,0,0,'Données projet'!$E$18+1,1))-AVERAGE(OFFSET($H$3,0,0,'Données projet'!$E$18+1,1))</f>
        <v>458.80976193248841</v>
      </c>
      <c r="HA195" s="59">
        <f t="shared" si="160"/>
        <v>396.07405370178759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15.271168238889876</v>
      </c>
      <c r="HH195" s="21">
        <f>EXP(-LN(2)/25)*HH194+(1-EXP(-LN(2)/25))/(LN(2)/25)*Calculateur!HC195*Calculateur!HE195*VLOOKUP('Données projet'!$B$18,Paramètres!$A$1:$I$89,3,0)*0.475*44/12</f>
        <v>0.51276206100995969</v>
      </c>
      <c r="HI195" s="21">
        <f>EXP(-LN(2)/2)*HI194+(1-EXP(-LN(2)/2))/(LN(2)/2)*HC195*HF195*VLOOKUP('Données projet'!$B$18,Paramètres!$A$1:$I$89,3,0)*0.475*44/12</f>
        <v>1.5485444260245691E-25</v>
      </c>
      <c r="HJ195" s="22">
        <f t="shared" si="190"/>
        <v>15.783930299899836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267</v>
      </c>
      <c r="O196" s="13">
        <f>N196*VLOOKUP('Données projet'!$B$9,Paramètres!$A$1:$I$89,3,0)*VLOOKUP('Données projet'!$B$9,Paramètres!$A$1:$I$89,5,0)</f>
        <v>241.58159999999998</v>
      </c>
      <c r="P196" s="13">
        <f t="shared" si="141"/>
        <v>58.779689232021951</v>
      </c>
      <c r="Q196" s="20">
        <f t="shared" si="162"/>
        <v>523.12924541243819</v>
      </c>
      <c r="R196" s="59">
        <f t="shared" si="191"/>
        <v>816.46257874577145</v>
      </c>
      <c r="S196" s="59">
        <f ca="1">AVERAGE(OFFSET($R$3,0,0,'Données projet'!$E$9+1,1))-AVERAGE(OFFSET($H$3,0,0,'Données projet'!$E$9+1,1))</f>
        <v>364.3481978218424</v>
      </c>
      <c r="T196" s="59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16.127873942657597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16.127873942657597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636.99999999999977</v>
      </c>
      <c r="AJ196" s="13">
        <f>AI196*VLOOKUP('Données projet'!$B$10,Paramètres!$A$1:$I$89,3,0)*VLOOKUP('Données projet'!$B$10,Paramètres!$A$1:$I$89,5,0)</f>
        <v>356.08299999999991</v>
      </c>
      <c r="AK196" s="13">
        <f t="shared" si="164"/>
        <v>82.813805255716545</v>
      </c>
      <c r="AL196" s="20">
        <f t="shared" si="165"/>
        <v>764.41193582037283</v>
      </c>
      <c r="AM196" s="59">
        <f t="shared" ref="AM196:AM203" si="193">AL196+(AD196+AE196)*44/12</f>
        <v>1057.7452691537062</v>
      </c>
      <c r="AN196" s="59">
        <f ca="1">AVERAGE(OFFSET($AM$3,0,0,'Données projet'!$E$10+1,1))-AVERAGE(OFFSET($H$3,0,0,'Données projet'!$E$10+1,1))</f>
        <v>443.34220761968419</v>
      </c>
      <c r="AO196" s="59">
        <f t="shared" si="144"/>
        <v>546.58234447298014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7.0164376999484581</v>
      </c>
      <c r="AV196" s="21">
        <f>EXP(-LN(2)/25)*AV195+(1-EXP(-LN(2)/25))/(LN(2)/25)*Calculateur!AQ196*Calculateur!AS196*VLOOKUP('Données projet'!$B$10,Paramètres!$A$1:$I$89,3,0)*0.475*44/12</f>
        <v>0.23903840581606883</v>
      </c>
      <c r="AW196" s="21">
        <f>EXP(-LN(2)/2)*AW195+(1-EXP(-LN(2)/2))/(LN(2)/2)*AQ196*AT196*VLOOKUP('Données projet'!$B$10,Paramètres!$A$1:$I$89,3,0)*0.475*44/12</f>
        <v>1.7669386522010062E-24</v>
      </c>
      <c r="AX196" s="21">
        <f t="shared" si="166"/>
        <v>7.2554761057645267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403.99999999999989</v>
      </c>
      <c r="BE196" s="13">
        <f>BD196*VLOOKUP('Données projet'!$B$11,Paramètres!$A$1:$I$89,3,0)*VLOOKUP('Données projet'!$B$11,Paramètres!$A$1:$I$89,5,0)</f>
        <v>346.63199999999995</v>
      </c>
      <c r="BF196" s="13">
        <f t="shared" si="167"/>
        <v>80.868615263336864</v>
      </c>
      <c r="BG196" s="20">
        <f t="shared" si="168"/>
        <v>744.56357158364483</v>
      </c>
      <c r="BH196" s="59">
        <f t="shared" ref="BH196:BH203" si="194">BG196+(AY196+AZ196)*44/12</f>
        <v>1037.8969049169782</v>
      </c>
      <c r="BI196" s="59">
        <f ca="1">AVERAGE(OFFSET($BH$3,0,0,'Données projet'!$E$11+1,1))-AVERAGE(OFFSET($H$3,0,0,'Données projet'!$E$11+1,1))</f>
        <v>447.15627913956871</v>
      </c>
      <c r="BJ196" s="59">
        <f t="shared" si="146"/>
        <v>256.77417912163997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23.547514100840434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23.547514100840434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245.99999999999994</v>
      </c>
      <c r="BZ196" s="13">
        <f>BY196*VLOOKUP('Données projet'!$B$12,Paramètres!$A$1:$I$89,3,0)*VLOOKUP('Données projet'!$B$12,Paramètres!$A$1:$I$89,5,0)</f>
        <v>234.09359999999998</v>
      </c>
      <c r="CA196" s="13">
        <f t="shared" si="170"/>
        <v>57.166902703920208</v>
      </c>
      <c r="CB196" s="20">
        <f t="shared" si="171"/>
        <v>507.27870887599425</v>
      </c>
      <c r="CC196" s="59">
        <f t="shared" ref="CC196:CC203" si="195">CB196+(BT196+BU196)*44/12</f>
        <v>800.61204220932757</v>
      </c>
      <c r="CD196" s="59">
        <f ca="1">AVERAGE(OFFSET($CC$3,0,0,'Données projet'!$E$12+1,1))-AVERAGE(OFFSET($H$3,0,0,'Données projet'!$E$12+1,1))</f>
        <v>448.94764480536713</v>
      </c>
      <c r="CE196" s="59">
        <f t="shared" si="148"/>
        <v>469.26760321719695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16.638245546428326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16.638245546428326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187.80389738728508</v>
      </c>
      <c r="CZ196" s="59">
        <f t="shared" si="150"/>
        <v>439.28159165815265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4.8951042458175298</v>
      </c>
      <c r="DG196" s="21">
        <f>EXP(-LN(2)/25)*DG195+(1-EXP(-LN(2)/25))/(LN(2)/25)*Calculateur!DB196*Calculateur!DD196*VLOOKUP('Données projet'!$B$13,Paramètres!$A$1:$I$89,3,0)*0.475*44/12</f>
        <v>0.156661417976209</v>
      </c>
      <c r="DH196" s="21">
        <f>EXP(-LN(2)/2)*DH195+(1-EXP(-LN(2)/2))/(LN(2)/2)*DB196*DE196*VLOOKUP('Données projet'!$B$13,Paramètres!$A$1:$I$89,3,0)*0.475*44/12</f>
        <v>1.3149251519126084E-26</v>
      </c>
      <c r="DI196" s="22">
        <f t="shared" si="175"/>
        <v>5.0517656637937387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255.00000000000006</v>
      </c>
      <c r="DP196" s="17">
        <f>DO196*VLOOKUP('Données projet'!$B$14,Paramètres!$A$1:$I$89,3,0)*VLOOKUP('Données projet'!$B$14,Paramètres!$A$1:$I$89,5,0)</f>
        <v>186.96600000000004</v>
      </c>
      <c r="DQ196" s="13">
        <f t="shared" si="176"/>
        <v>46.868551400324648</v>
      </c>
      <c r="DR196" s="20">
        <f t="shared" si="177"/>
        <v>407.26184368889881</v>
      </c>
      <c r="DS196" s="59">
        <f t="shared" ref="DS196:DS203" si="197">DR196+(DJ196+DK196)*44/12</f>
        <v>700.59517702223206</v>
      </c>
      <c r="DT196" s="59">
        <f ca="1">AVERAGE(OFFSET($DS$3,0,0,'Données projet'!$E$14+1,1))-AVERAGE(OFFSET($H$3,0,0,'Données projet'!$E$14+1,1))</f>
        <v>239.25212250019609</v>
      </c>
      <c r="DU196" s="59">
        <f t="shared" si="152"/>
        <v>213.58492101729695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689</v>
      </c>
      <c r="EK196" s="17">
        <f>EJ196*VLOOKUP('Données projet'!$B$15,Paramètres!$A$1:$I$89,3,0)*VLOOKUP('Données projet'!$B$15,Paramètres!$A$1:$I$89,5,0)</f>
        <v>412.02199999999999</v>
      </c>
      <c r="EL196" s="13">
        <f t="shared" si="179"/>
        <v>94.209724877926391</v>
      </c>
      <c r="EM196" s="20">
        <f t="shared" si="180"/>
        <v>881.686920829055</v>
      </c>
      <c r="EN196" s="59">
        <f t="shared" ref="EN196:EN203" si="198">EM196+(EE196+EF196)*44/12</f>
        <v>1175.0202541623883</v>
      </c>
      <c r="EO196" s="59">
        <f ca="1">AVERAGE(OFFSET($EN$3,0,0,'Données projet'!$E$15+1,1))-AVERAGE(OFFSET($H$3,0,0,'Données projet'!$E$15+1,1))</f>
        <v>504.81063008331739</v>
      </c>
      <c r="EP196" s="59">
        <f t="shared" si="154"/>
        <v>441.82647565372287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10.441405616181367</v>
      </c>
      <c r="EW196" s="21">
        <f>EXP(-LN(2)/25)*EW195+(1-EXP(-LN(2)/25))/(LN(2)/25)*Calculateur!ER196*Calculateur!ET196*VLOOKUP('Données projet'!$B$15,Paramètres!$A$1:$I$89,3,0)*0.475*44/12</f>
        <v>0.64157376115756537</v>
      </c>
      <c r="EX196" s="21">
        <f>EXP(-LN(2)/2)*EX195+(1-EXP(-LN(2)/2))/(LN(2)/2)*ER196*EU196*VLOOKUP('Données projet'!$B$15,Paramètres!$A$1:$I$89,3,0)*0.475*44/12</f>
        <v>1.5314229274567298E-26</v>
      </c>
      <c r="EY196" s="22">
        <f t="shared" si="181"/>
        <v>11.082979377338932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541.99999999999989</v>
      </c>
      <c r="FF196" s="17">
        <f>FE196*VLOOKUP('Données projet'!$B$16,Paramètres!$A$1:$I$89,3,0)*VLOOKUP('Données projet'!$B$16,Paramètres!$A$1:$I$89,5,0)</f>
        <v>310.02399999999994</v>
      </c>
      <c r="FG196" s="13">
        <f t="shared" si="182"/>
        <v>73.27384230442388</v>
      </c>
      <c r="FH196" s="20">
        <f t="shared" si="183"/>
        <v>667.57707534687154</v>
      </c>
      <c r="FI196" s="59">
        <f t="shared" ref="FI196:FI203" si="199">FH196+(EZ196+FA196)*44/12</f>
        <v>960.91040868020491</v>
      </c>
      <c r="FJ196" s="59">
        <f ca="1">AVERAGE(OFFSET($FI$3,0,0,'Données projet'!$E$16+1,1))-AVERAGE(OFFSET($H$3,0,0,'Données projet'!$E$16+1,1))</f>
        <v>393.41577134252316</v>
      </c>
      <c r="FK196" s="59">
        <f t="shared" si="156"/>
        <v>255.54039659391475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12.226412848457853</v>
      </c>
      <c r="FR196" s="21">
        <f>EXP(-LN(2)/25)*FR195+(1-EXP(-LN(2)/25))/(LN(2)/25)*Calculateur!FM196*Calculateur!FO196*VLOOKUP('Données projet'!$B$16,Paramètres!$A$1:$I$89,3,0)*0.475*44/12</f>
        <v>0.29115664860842672</v>
      </c>
      <c r="FS196" s="21">
        <f>EXP(-LN(2)/2)*FS195+(1-EXP(-LN(2)/2))/(LN(2)/2)*FM196*FP196*VLOOKUP('Données projet'!$B$16,Paramètres!$A$1:$I$89,3,0)*0.475*44/12</f>
        <v>1.0653920412427479E-25</v>
      </c>
      <c r="FT196" s="22">
        <f t="shared" si="184"/>
        <v>12.51756949706628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853.00000000000011</v>
      </c>
      <c r="GA196" s="17">
        <f>FZ196*VLOOKUP('Données projet'!$B$17,Paramètres!$A$1:$I$89,3,0)*VLOOKUP('Données projet'!$B$17,Paramètres!$A$1:$I$89,5,0)</f>
        <v>399.20400000000006</v>
      </c>
      <c r="GB196" s="13">
        <f t="shared" si="185"/>
        <v>91.615269732888521</v>
      </c>
      <c r="GC196" s="20">
        <f t="shared" si="186"/>
        <v>854.8435614514475</v>
      </c>
      <c r="GD196" s="59">
        <f t="shared" ref="GD196:GD203" si="200">GC196+(FU196+FV196)*44/12</f>
        <v>1148.1768947847809</v>
      </c>
      <c r="GE196" s="59">
        <f ca="1">AVERAGE(OFFSET($GD$3,0,0,'Données projet'!$E$17+1,1))-AVERAGE(OFFSET($H$3,0,0,'Données projet'!$E$17+1,1))</f>
        <v>488.67934252295686</v>
      </c>
      <c r="GF196" s="59">
        <f t="shared" si="158"/>
        <v>424.50324471331095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14.785737097788063</v>
      </c>
      <c r="GM196" s="21">
        <f>EXP(-LN(2)/25)*GM195+(1-EXP(-LN(2)/25))/(LN(2)/25)*Calculateur!GH196*Calculateur!GJ196*VLOOKUP('Données projet'!$B$17,Paramètres!$A$1:$I$89,3,0)*0.475*44/12</f>
        <v>0.53378718911544931</v>
      </c>
      <c r="GN196" s="21">
        <f>EXP(-LN(2)/2)*GN195+(1-EXP(-LN(2)/2))/(LN(2)/2)*GH196*GK196*VLOOKUP('Données projet'!$B$17,Paramètres!$A$1:$I$89,3,0)*0.475*44/12</f>
        <v>2.3729186373133923E-25</v>
      </c>
      <c r="GO196" s="21">
        <f t="shared" si="187"/>
        <v>15.319524286903512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789</v>
      </c>
      <c r="GV196" s="17">
        <f>GU196*VLOOKUP('Données projet'!$B$18,Paramètres!$A$1:$I$89,3,0)*VLOOKUP('Données projet'!$B$18,Paramètres!$A$1:$I$89,5,0)</f>
        <v>379.50900000000001</v>
      </c>
      <c r="GW196" s="13">
        <f t="shared" si="188"/>
        <v>87.609801106074272</v>
      </c>
      <c r="GX196" s="20">
        <f t="shared" si="189"/>
        <v>813.56524525974601</v>
      </c>
      <c r="GY196" s="59">
        <f t="shared" ref="GY196:GY203" si="201">GX196+(GP196+GQ196)*44/12</f>
        <v>1106.8985785930793</v>
      </c>
      <c r="GZ196" s="59">
        <f ca="1">AVERAGE(OFFSET($GY$3,0,0,'Données projet'!$E$18+1,1))-AVERAGE(OFFSET($H$3,0,0,'Données projet'!$E$18+1,1))</f>
        <v>458.80976193248841</v>
      </c>
      <c r="HA196" s="59">
        <f t="shared" si="160"/>
        <v>396.07405370178759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14.971709944218142</v>
      </c>
      <c r="HH196" s="21">
        <f>EXP(-LN(2)/25)*HH195+(1-EXP(-LN(2)/25))/(LN(2)/25)*Calculateur!HC196*Calculateur!HE196*VLOOKUP('Données projet'!$B$18,Paramètres!$A$1:$I$89,3,0)*0.475*44/12</f>
        <v>0.49874055548665747</v>
      </c>
      <c r="HI196" s="21">
        <f>EXP(-LN(2)/2)*HI195+(1-EXP(-LN(2)/2))/(LN(2)/2)*HC196*HF196*VLOOKUP('Données projet'!$B$18,Paramètres!$A$1:$I$89,3,0)*0.475*44/12</f>
        <v>1.0949862646106028E-25</v>
      </c>
      <c r="HJ196" s="22">
        <f t="shared" si="190"/>
        <v>15.4704504997048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267</v>
      </c>
      <c r="O197" s="13">
        <f>N197*VLOOKUP('Données projet'!$B$9,Paramètres!$A$1:$I$89,3,0)*VLOOKUP('Données projet'!$B$9,Paramètres!$A$1:$I$89,5,0)</f>
        <v>241.58159999999998</v>
      </c>
      <c r="P197" s="13">
        <f t="shared" ref="P197:P203" si="203">EXP(-1.0587+0.8836*LN(O197)+0.284)</f>
        <v>58.779689232021951</v>
      </c>
      <c r="Q197" s="20">
        <f t="shared" si="162"/>
        <v>523.12924541243819</v>
      </c>
      <c r="R197" s="59">
        <f t="shared" si="191"/>
        <v>816.46257874577145</v>
      </c>
      <c r="S197" s="59">
        <f ca="1">AVERAGE(OFFSET($R$3,0,0,'Données projet'!$E$9+1,1))-AVERAGE(OFFSET($H$3,0,0,'Données projet'!$E$9+1,1))</f>
        <v>364.3481978218424</v>
      </c>
      <c r="T197" s="59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15.81161617167386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15.81161617167386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636.99999999999977</v>
      </c>
      <c r="AJ197" s="13">
        <f>AI197*VLOOKUP('Données projet'!$B$10,Paramètres!$A$1:$I$89,3,0)*VLOOKUP('Données projet'!$B$10,Paramètres!$A$1:$I$89,5,0)</f>
        <v>356.08299999999991</v>
      </c>
      <c r="AK197" s="13">
        <f t="shared" si="164"/>
        <v>82.813805255716545</v>
      </c>
      <c r="AL197" s="20">
        <f t="shared" si="165"/>
        <v>764.41193582037283</v>
      </c>
      <c r="AM197" s="59">
        <f t="shared" si="193"/>
        <v>1057.7452691537062</v>
      </c>
      <c r="AN197" s="59">
        <f ca="1">AVERAGE(OFFSET($AM$3,0,0,'Données projet'!$E$10+1,1))-AVERAGE(OFFSET($H$3,0,0,'Données projet'!$E$10+1,1))</f>
        <v>443.34220761968419</v>
      </c>
      <c r="AO197" s="59">
        <f t="shared" ref="AO197:AO203" si="205">$AO$3</f>
        <v>546.58234447298014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6.8788496362568896</v>
      </c>
      <c r="AV197" s="21">
        <f>EXP(-LN(2)/25)*AV196+(1-EXP(-LN(2)/25))/(LN(2)/25)*Calculateur!AQ197*Calculateur!AS197*VLOOKUP('Données projet'!$B$10,Paramètres!$A$1:$I$89,3,0)*0.475*44/12</f>
        <v>0.23250188803854499</v>
      </c>
      <c r="AW197" s="21">
        <f>EXP(-LN(2)/2)*AW196+(1-EXP(-LN(2)/2))/(LN(2)/2)*AQ197*AT197*VLOOKUP('Données projet'!$B$10,Paramètres!$A$1:$I$89,3,0)*0.475*44/12</f>
        <v>1.2494143029119501E-24</v>
      </c>
      <c r="AX197" s="21">
        <f t="shared" si="166"/>
        <v>7.1113515242954346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403.99999999999989</v>
      </c>
      <c r="BE197" s="13">
        <f>BD197*VLOOKUP('Données projet'!$B$11,Paramètres!$A$1:$I$89,3,0)*VLOOKUP('Données projet'!$B$11,Paramètres!$A$1:$I$89,5,0)</f>
        <v>346.63199999999995</v>
      </c>
      <c r="BF197" s="13">
        <f t="shared" si="167"/>
        <v>80.868615263336864</v>
      </c>
      <c r="BG197" s="20">
        <f t="shared" si="168"/>
        <v>744.56357158364483</v>
      </c>
      <c r="BH197" s="59">
        <f t="shared" si="194"/>
        <v>1037.8969049169782</v>
      </c>
      <c r="BI197" s="59">
        <f ca="1">AVERAGE(OFFSET($BH$3,0,0,'Données projet'!$E$11+1,1))-AVERAGE(OFFSET($H$3,0,0,'Données projet'!$E$11+1,1))</f>
        <v>447.15627913956871</v>
      </c>
      <c r="BJ197" s="59">
        <f t="shared" ref="BJ197:BJ203" si="206">$BJ$3</f>
        <v>256.77417912163997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23.08576171188837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23.08576171188837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245.99999999999994</v>
      </c>
      <c r="BZ197" s="13">
        <f>BY197*VLOOKUP('Données projet'!$B$12,Paramètres!$A$1:$I$89,3,0)*VLOOKUP('Données projet'!$B$12,Paramètres!$A$1:$I$89,5,0)</f>
        <v>234.09359999999998</v>
      </c>
      <c r="CA197" s="13">
        <f t="shared" si="170"/>
        <v>57.166902703920208</v>
      </c>
      <c r="CB197" s="20">
        <f t="shared" si="171"/>
        <v>507.27870887599425</v>
      </c>
      <c r="CC197" s="59">
        <f t="shared" si="195"/>
        <v>800.61204220932757</v>
      </c>
      <c r="CD197" s="59">
        <f ca="1">AVERAGE(OFFSET($CC$3,0,0,'Données projet'!$E$12+1,1))-AVERAGE(OFFSET($H$3,0,0,'Données projet'!$E$12+1,1))</f>
        <v>448.94764480536713</v>
      </c>
      <c r="CE197" s="59">
        <f t="shared" ref="CE197:CE203" si="207">$CE$3</f>
        <v>469.26760321719695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16.311979699590587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16.311979699590587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187.80389738728508</v>
      </c>
      <c r="CZ197" s="59">
        <f t="shared" ref="CZ197:CZ203" si="208">$CZ$3</f>
        <v>439.28159165815265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4.7991142372758224</v>
      </c>
      <c r="DG197" s="21">
        <f>EXP(-LN(2)/25)*DG196+(1-EXP(-LN(2)/25))/(LN(2)/25)*Calculateur!DB197*Calculateur!DD197*VLOOKUP('Données projet'!$B$13,Paramètres!$A$1:$I$89,3,0)*0.475*44/12</f>
        <v>0.15237750326318364</v>
      </c>
      <c r="DH197" s="21">
        <f>EXP(-LN(2)/2)*DH196+(1-EXP(-LN(2)/2))/(LN(2)/2)*DB197*DE197*VLOOKUP('Données projet'!$B$13,Paramètres!$A$1:$I$89,3,0)*0.475*44/12</f>
        <v>9.2979249167015658E-27</v>
      </c>
      <c r="DI197" s="22">
        <f t="shared" si="175"/>
        <v>4.951491740539006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255.00000000000006</v>
      </c>
      <c r="DP197" s="17">
        <f>DO197*VLOOKUP('Données projet'!$B$14,Paramètres!$A$1:$I$89,3,0)*VLOOKUP('Données projet'!$B$14,Paramètres!$A$1:$I$89,5,0)</f>
        <v>186.96600000000004</v>
      </c>
      <c r="DQ197" s="13">
        <f t="shared" si="176"/>
        <v>46.868551400324648</v>
      </c>
      <c r="DR197" s="20">
        <f t="shared" si="177"/>
        <v>407.26184368889881</v>
      </c>
      <c r="DS197" s="59">
        <f t="shared" si="197"/>
        <v>700.59517702223206</v>
      </c>
      <c r="DT197" s="59">
        <f ca="1">AVERAGE(OFFSET($DS$3,0,0,'Données projet'!$E$14+1,1))-AVERAGE(OFFSET($H$3,0,0,'Données projet'!$E$14+1,1))</f>
        <v>239.25212250019609</v>
      </c>
      <c r="DU197" s="59">
        <f t="shared" ref="DU197:DU203" si="209">$DU$3</f>
        <v>213.58492101729695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689</v>
      </c>
      <c r="EK197" s="17">
        <f>EJ197*VLOOKUP('Données projet'!$B$15,Paramètres!$A$1:$I$89,3,0)*VLOOKUP('Données projet'!$B$15,Paramètres!$A$1:$I$89,5,0)</f>
        <v>412.02199999999999</v>
      </c>
      <c r="EL197" s="13">
        <f t="shared" si="179"/>
        <v>94.209724877926391</v>
      </c>
      <c r="EM197" s="20">
        <f t="shared" si="180"/>
        <v>881.686920829055</v>
      </c>
      <c r="EN197" s="59">
        <f t="shared" si="198"/>
        <v>1175.0202541623883</v>
      </c>
      <c r="EO197" s="59">
        <f ca="1">AVERAGE(OFFSET($EN$3,0,0,'Données projet'!$E$15+1,1))-AVERAGE(OFFSET($H$3,0,0,'Données projet'!$E$15+1,1))</f>
        <v>504.81063008331739</v>
      </c>
      <c r="EP197" s="59">
        <f t="shared" ref="EP197:EP203" si="210">$EP$3</f>
        <v>441.82647565372287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10.236656020676627</v>
      </c>
      <c r="EW197" s="21">
        <f>EXP(-LN(2)/25)*EW196+(1-EXP(-LN(2)/25))/(LN(2)/25)*Calculateur!ER197*Calculateur!ET197*VLOOKUP('Données projet'!$B$15,Paramètres!$A$1:$I$89,3,0)*0.475*44/12</f>
        <v>0.62402989291981403</v>
      </c>
      <c r="EX197" s="21">
        <f>EXP(-LN(2)/2)*EX196+(1-EXP(-LN(2)/2))/(LN(2)/2)*ER197*EU197*VLOOKUP('Données projet'!$B$15,Paramètres!$A$1:$I$89,3,0)*0.475*44/12</f>
        <v>1.0828795368692079E-26</v>
      </c>
      <c r="EY197" s="22">
        <f t="shared" si="181"/>
        <v>10.860685913596441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541.99999999999989</v>
      </c>
      <c r="FF197" s="17">
        <f>FE197*VLOOKUP('Données projet'!$B$16,Paramètres!$A$1:$I$89,3,0)*VLOOKUP('Données projet'!$B$16,Paramètres!$A$1:$I$89,5,0)</f>
        <v>310.02399999999994</v>
      </c>
      <c r="FG197" s="13">
        <f t="shared" si="182"/>
        <v>73.27384230442388</v>
      </c>
      <c r="FH197" s="20">
        <f t="shared" si="183"/>
        <v>667.57707534687154</v>
      </c>
      <c r="FI197" s="59">
        <f t="shared" si="199"/>
        <v>960.91040868020491</v>
      </c>
      <c r="FJ197" s="59">
        <f ca="1">AVERAGE(OFFSET($FI$3,0,0,'Données projet'!$E$16+1,1))-AVERAGE(OFFSET($H$3,0,0,'Données projet'!$E$16+1,1))</f>
        <v>393.41577134252316</v>
      </c>
      <c r="FK197" s="59">
        <f t="shared" ref="FK197:FK203" si="211">$FK$3</f>
        <v>255.54039659391475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11.986660349875077</v>
      </c>
      <c r="FR197" s="21">
        <f>EXP(-LN(2)/25)*FR196+(1-EXP(-LN(2)/25))/(LN(2)/25)*Calculateur!FM197*Calculateur!FO197*VLOOKUP('Données projet'!$B$16,Paramètres!$A$1:$I$89,3,0)*0.475*44/12</f>
        <v>0.28319495474096656</v>
      </c>
      <c r="FS197" s="21">
        <f>EXP(-LN(2)/2)*FS196+(1-EXP(-LN(2)/2))/(LN(2)/2)*FM197*FP197*VLOOKUP('Données projet'!$B$16,Paramètres!$A$1:$I$89,3,0)*0.475*44/12</f>
        <v>7.5334593698492496E-26</v>
      </c>
      <c r="FT197" s="22">
        <f t="shared" si="184"/>
        <v>12.269855304616044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853.00000000000011</v>
      </c>
      <c r="GA197" s="17">
        <f>FZ197*VLOOKUP('Données projet'!$B$17,Paramètres!$A$1:$I$89,3,0)*VLOOKUP('Données projet'!$B$17,Paramètres!$A$1:$I$89,5,0)</f>
        <v>399.20400000000006</v>
      </c>
      <c r="GB197" s="13">
        <f t="shared" si="185"/>
        <v>91.615269732888521</v>
      </c>
      <c r="GC197" s="20">
        <f t="shared" si="186"/>
        <v>854.8435614514475</v>
      </c>
      <c r="GD197" s="59">
        <f t="shared" si="200"/>
        <v>1148.1768947847809</v>
      </c>
      <c r="GE197" s="59">
        <f ca="1">AVERAGE(OFFSET($GD$3,0,0,'Données projet'!$E$17+1,1))-AVERAGE(OFFSET($H$3,0,0,'Données projet'!$E$17+1,1))</f>
        <v>488.67934252295686</v>
      </c>
      <c r="GF197" s="59">
        <f t="shared" ref="GF197:GF203" si="212">$GF$3</f>
        <v>424.50324471331095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14.495797811709576</v>
      </c>
      <c r="GM197" s="21">
        <f>EXP(-LN(2)/25)*GM196+(1-EXP(-LN(2)/25))/(LN(2)/25)*Calculateur!GH197*Calculateur!GJ197*VLOOKUP('Données projet'!$B$17,Paramètres!$A$1:$I$89,3,0)*0.475*44/12</f>
        <v>0.51919075035843909</v>
      </c>
      <c r="GN197" s="21">
        <f>EXP(-LN(2)/2)*GN196+(1-EXP(-LN(2)/2))/(LN(2)/2)*GH197*GK197*VLOOKUP('Données projet'!$B$17,Paramètres!$A$1:$I$89,3,0)*0.475*44/12</f>
        <v>1.6779068596482415E-25</v>
      </c>
      <c r="GO197" s="21">
        <f t="shared" si="187"/>
        <v>15.014988562068014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789</v>
      </c>
      <c r="GV197" s="17">
        <f>GU197*VLOOKUP('Données projet'!$B$18,Paramètres!$A$1:$I$89,3,0)*VLOOKUP('Données projet'!$B$18,Paramètres!$A$1:$I$89,5,0)</f>
        <v>379.50900000000001</v>
      </c>
      <c r="GW197" s="13">
        <f t="shared" si="188"/>
        <v>87.609801106074272</v>
      </c>
      <c r="GX197" s="20">
        <f t="shared" si="189"/>
        <v>813.56524525974601</v>
      </c>
      <c r="GY197" s="59">
        <f t="shared" si="201"/>
        <v>1106.8985785930793</v>
      </c>
      <c r="GZ197" s="59">
        <f ca="1">AVERAGE(OFFSET($GY$3,0,0,'Données projet'!$E$18+1,1))-AVERAGE(OFFSET($H$3,0,0,'Données projet'!$E$18+1,1))</f>
        <v>458.80976193248841</v>
      </c>
      <c r="HA197" s="59">
        <f t="shared" ref="HA197:HA203" si="213">$HA$3</f>
        <v>396.07405370178759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14.678123844053395</v>
      </c>
      <c r="HH197" s="21">
        <f>EXP(-LN(2)/25)*HH196+(1-EXP(-LN(2)/25))/(LN(2)/25)*Calculateur!HC197*Calculateur!HE197*VLOOKUP('Données projet'!$B$18,Paramètres!$A$1:$I$89,3,0)*0.475*44/12</f>
        <v>0.4851024687692489</v>
      </c>
      <c r="HI197" s="21">
        <f>EXP(-LN(2)/2)*HI196+(1-EXP(-LN(2)/2))/(LN(2)/2)*HC197*HF197*VLOOKUP('Données projet'!$B$18,Paramètres!$A$1:$I$89,3,0)*0.475*44/12</f>
        <v>7.7427221301228457E-26</v>
      </c>
      <c r="HJ197" s="22">
        <f t="shared" si="190"/>
        <v>15.163226312822644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267</v>
      </c>
      <c r="O198" s="13">
        <f>N198*VLOOKUP('Données projet'!$B$9,Paramètres!$A$1:$I$89,3,0)*VLOOKUP('Données projet'!$B$9,Paramètres!$A$1:$I$89,5,0)</f>
        <v>241.58159999999998</v>
      </c>
      <c r="P198" s="13">
        <f t="shared" si="203"/>
        <v>58.779689232021951</v>
      </c>
      <c r="Q198" s="20">
        <f t="shared" si="162"/>
        <v>523.12924541243819</v>
      </c>
      <c r="R198" s="59">
        <f t="shared" si="191"/>
        <v>816.46257874577145</v>
      </c>
      <c r="S198" s="59">
        <f ca="1">AVERAGE(OFFSET($R$3,0,0,'Données projet'!$E$9+1,1))-AVERAGE(OFFSET($H$3,0,0,'Données projet'!$E$9+1,1))</f>
        <v>364.3481978218424</v>
      </c>
      <c r="T198" s="59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15.501560022680922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15.501560022680922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636.99999999999977</v>
      </c>
      <c r="AJ198" s="13">
        <f>AI198*VLOOKUP('Données projet'!$B$10,Paramètres!$A$1:$I$89,3,0)*VLOOKUP('Données projet'!$B$10,Paramètres!$A$1:$I$89,5,0)</f>
        <v>356.08299999999991</v>
      </c>
      <c r="AK198" s="13">
        <f t="shared" si="164"/>
        <v>82.813805255716545</v>
      </c>
      <c r="AL198" s="20">
        <f t="shared" si="165"/>
        <v>764.41193582037283</v>
      </c>
      <c r="AM198" s="59">
        <f t="shared" si="193"/>
        <v>1057.7452691537062</v>
      </c>
      <c r="AN198" s="59">
        <f ca="1">AVERAGE(OFFSET($AM$3,0,0,'Données projet'!$E$10+1,1))-AVERAGE(OFFSET($H$3,0,0,'Données projet'!$E$10+1,1))</f>
        <v>443.34220761968419</v>
      </c>
      <c r="AO198" s="59">
        <f t="shared" si="205"/>
        <v>546.58234447298014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6.7439595905738807</v>
      </c>
      <c r="AV198" s="21">
        <f>EXP(-LN(2)/25)*AV197+(1-EXP(-LN(2)/25))/(LN(2)/25)*Calculateur!AQ198*Calculateur!AS198*VLOOKUP('Données projet'!$B$10,Paramètres!$A$1:$I$89,3,0)*0.475*44/12</f>
        <v>0.22614411168338808</v>
      </c>
      <c r="AW198" s="21">
        <f>EXP(-LN(2)/2)*AW197+(1-EXP(-LN(2)/2))/(LN(2)/2)*AQ198*AT198*VLOOKUP('Données projet'!$B$10,Paramètres!$A$1:$I$89,3,0)*0.475*44/12</f>
        <v>8.8346932610050308E-25</v>
      </c>
      <c r="AX198" s="21">
        <f t="shared" si="166"/>
        <v>6.9701037022572692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403.99999999999989</v>
      </c>
      <c r="BE198" s="13">
        <f>BD198*VLOOKUP('Données projet'!$B$11,Paramètres!$A$1:$I$89,3,0)*VLOOKUP('Données projet'!$B$11,Paramètres!$A$1:$I$89,5,0)</f>
        <v>346.63199999999995</v>
      </c>
      <c r="BF198" s="13">
        <f t="shared" si="167"/>
        <v>80.868615263336864</v>
      </c>
      <c r="BG198" s="20">
        <f t="shared" si="168"/>
        <v>744.56357158364483</v>
      </c>
      <c r="BH198" s="59">
        <f t="shared" si="194"/>
        <v>1037.8969049169782</v>
      </c>
      <c r="BI198" s="59">
        <f ca="1">AVERAGE(OFFSET($BH$3,0,0,'Données projet'!$E$11+1,1))-AVERAGE(OFFSET($H$3,0,0,'Données projet'!$E$11+1,1))</f>
        <v>447.15627913956871</v>
      </c>
      <c r="BJ198" s="59">
        <f t="shared" si="206"/>
        <v>256.77417912163997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22.633064005642506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22.633064005642506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245.99999999999994</v>
      </c>
      <c r="BZ198" s="13">
        <f>BY198*VLOOKUP('Données projet'!$B$12,Paramètres!$A$1:$I$89,3,0)*VLOOKUP('Données projet'!$B$12,Paramètres!$A$1:$I$89,5,0)</f>
        <v>234.09359999999998</v>
      </c>
      <c r="CA198" s="13">
        <f t="shared" si="170"/>
        <v>57.166902703920208</v>
      </c>
      <c r="CB198" s="20">
        <f t="shared" si="171"/>
        <v>507.27870887599425</v>
      </c>
      <c r="CC198" s="59">
        <f t="shared" si="195"/>
        <v>800.61204220932757</v>
      </c>
      <c r="CD198" s="59">
        <f ca="1">AVERAGE(OFFSET($CC$3,0,0,'Données projet'!$E$12+1,1))-AVERAGE(OFFSET($H$3,0,0,'Données projet'!$E$12+1,1))</f>
        <v>448.94764480536713</v>
      </c>
      <c r="CE198" s="59">
        <f t="shared" si="207"/>
        <v>469.26760321719695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15.992111727006819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15.992111727006819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187.80389738728508</v>
      </c>
      <c r="CZ198" s="59">
        <f t="shared" si="208"/>
        <v>439.28159165815265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4.7050065342534939</v>
      </c>
      <c r="DG198" s="21">
        <f>EXP(-LN(2)/25)*DG197+(1-EXP(-LN(2)/25))/(LN(2)/25)*Calculateur!DB198*Calculateur!DD198*VLOOKUP('Données projet'!$B$13,Paramètres!$A$1:$I$89,3,0)*0.475*44/12</f>
        <v>0.14821073242326724</v>
      </c>
      <c r="DH198" s="21">
        <f>EXP(-LN(2)/2)*DH197+(1-EXP(-LN(2)/2))/(LN(2)/2)*DB198*DE198*VLOOKUP('Données projet'!$B$13,Paramètres!$A$1:$I$89,3,0)*0.475*44/12</f>
        <v>6.5746257595630422E-27</v>
      </c>
      <c r="DI198" s="22">
        <f t="shared" si="175"/>
        <v>4.8532172666767615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255.00000000000006</v>
      </c>
      <c r="DP198" s="17">
        <f>DO198*VLOOKUP('Données projet'!$B$14,Paramètres!$A$1:$I$89,3,0)*VLOOKUP('Données projet'!$B$14,Paramètres!$A$1:$I$89,5,0)</f>
        <v>186.96600000000004</v>
      </c>
      <c r="DQ198" s="13">
        <f t="shared" si="176"/>
        <v>46.868551400324648</v>
      </c>
      <c r="DR198" s="20">
        <f t="shared" si="177"/>
        <v>407.26184368889881</v>
      </c>
      <c r="DS198" s="59">
        <f t="shared" si="197"/>
        <v>700.59517702223206</v>
      </c>
      <c r="DT198" s="59">
        <f ca="1">AVERAGE(OFFSET($DS$3,0,0,'Données projet'!$E$14+1,1))-AVERAGE(OFFSET($H$3,0,0,'Données projet'!$E$14+1,1))</f>
        <v>239.25212250019609</v>
      </c>
      <c r="DU198" s="59">
        <f t="shared" si="209"/>
        <v>213.58492101729695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689</v>
      </c>
      <c r="EK198" s="17">
        <f>EJ198*VLOOKUP('Données projet'!$B$15,Paramètres!$A$1:$I$89,3,0)*VLOOKUP('Données projet'!$B$15,Paramètres!$A$1:$I$89,5,0)</f>
        <v>412.02199999999999</v>
      </c>
      <c r="EL198" s="13">
        <f t="shared" si="179"/>
        <v>94.209724877926391</v>
      </c>
      <c r="EM198" s="20">
        <f t="shared" si="180"/>
        <v>881.686920829055</v>
      </c>
      <c r="EN198" s="59">
        <f t="shared" si="198"/>
        <v>1175.0202541623883</v>
      </c>
      <c r="EO198" s="59">
        <f ca="1">AVERAGE(OFFSET($EN$3,0,0,'Données projet'!$E$15+1,1))-AVERAGE(OFFSET($H$3,0,0,'Données projet'!$E$15+1,1))</f>
        <v>504.81063008331739</v>
      </c>
      <c r="EP198" s="59">
        <f t="shared" si="210"/>
        <v>441.82647565372287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10.035921439854812</v>
      </c>
      <c r="EW198" s="21">
        <f>EXP(-LN(2)/25)*EW197+(1-EXP(-LN(2)/25))/(LN(2)/25)*Calculateur!ER198*Calculateur!ET198*VLOOKUP('Données projet'!$B$15,Paramètres!$A$1:$I$89,3,0)*0.475*44/12</f>
        <v>0.60696576268161584</v>
      </c>
      <c r="EX198" s="21">
        <f>EXP(-LN(2)/2)*EX197+(1-EXP(-LN(2)/2))/(LN(2)/2)*ER198*EU198*VLOOKUP('Données projet'!$B$15,Paramètres!$A$1:$I$89,3,0)*0.475*44/12</f>
        <v>7.6571146372836489E-27</v>
      </c>
      <c r="EY198" s="22">
        <f t="shared" si="181"/>
        <v>10.642887202536429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541.99999999999989</v>
      </c>
      <c r="FF198" s="17">
        <f>FE198*VLOOKUP('Données projet'!$B$16,Paramètres!$A$1:$I$89,3,0)*VLOOKUP('Données projet'!$B$16,Paramètres!$A$1:$I$89,5,0)</f>
        <v>310.02399999999994</v>
      </c>
      <c r="FG198" s="13">
        <f t="shared" si="182"/>
        <v>73.27384230442388</v>
      </c>
      <c r="FH198" s="20">
        <f t="shared" si="183"/>
        <v>667.57707534687154</v>
      </c>
      <c r="FI198" s="59">
        <f t="shared" si="199"/>
        <v>960.91040868020491</v>
      </c>
      <c r="FJ198" s="59">
        <f ca="1">AVERAGE(OFFSET($FI$3,0,0,'Données projet'!$E$16+1,1))-AVERAGE(OFFSET($H$3,0,0,'Données projet'!$E$16+1,1))</f>
        <v>393.41577134252316</v>
      </c>
      <c r="FK198" s="59">
        <f t="shared" si="211"/>
        <v>255.54039659391475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11.751609251554925</v>
      </c>
      <c r="FR198" s="21">
        <f>EXP(-LN(2)/25)*FR197+(1-EXP(-LN(2)/25))/(LN(2)/25)*Calculateur!FM198*Calculateur!FO198*VLOOKUP('Données projet'!$B$16,Paramètres!$A$1:$I$89,3,0)*0.475*44/12</f>
        <v>0.27545097381099942</v>
      </c>
      <c r="FS198" s="21">
        <f>EXP(-LN(2)/2)*FS197+(1-EXP(-LN(2)/2))/(LN(2)/2)*FM198*FP198*VLOOKUP('Données projet'!$B$16,Paramètres!$A$1:$I$89,3,0)*0.475*44/12</f>
        <v>5.3269602062137395E-26</v>
      </c>
      <c r="FT198" s="22">
        <f t="shared" si="184"/>
        <v>12.027060225365924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853.00000000000011</v>
      </c>
      <c r="GA198" s="17">
        <f>FZ198*VLOOKUP('Données projet'!$B$17,Paramètres!$A$1:$I$89,3,0)*VLOOKUP('Données projet'!$B$17,Paramètres!$A$1:$I$89,5,0)</f>
        <v>399.20400000000006</v>
      </c>
      <c r="GB198" s="13">
        <f t="shared" si="185"/>
        <v>91.615269732888521</v>
      </c>
      <c r="GC198" s="20">
        <f t="shared" si="186"/>
        <v>854.8435614514475</v>
      </c>
      <c r="GD198" s="59">
        <f t="shared" si="200"/>
        <v>1148.1768947847809</v>
      </c>
      <c r="GE198" s="59">
        <f ca="1">AVERAGE(OFFSET($GD$3,0,0,'Données projet'!$E$17+1,1))-AVERAGE(OFFSET($H$3,0,0,'Données projet'!$E$17+1,1))</f>
        <v>488.67934252295686</v>
      </c>
      <c r="GF198" s="59">
        <f t="shared" si="212"/>
        <v>424.50324471331095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14.211544058185584</v>
      </c>
      <c r="GM198" s="21">
        <f>EXP(-LN(2)/25)*GM197+(1-EXP(-LN(2)/25))/(LN(2)/25)*Calculateur!GH198*Calculateur!GJ198*VLOOKUP('Données projet'!$B$17,Paramètres!$A$1:$I$89,3,0)*0.475*44/12</f>
        <v>0.50499345198683265</v>
      </c>
      <c r="GN198" s="21">
        <f>EXP(-LN(2)/2)*GN197+(1-EXP(-LN(2)/2))/(LN(2)/2)*GH198*GK198*VLOOKUP('Données projet'!$B$17,Paramètres!$A$1:$I$89,3,0)*0.475*44/12</f>
        <v>1.1864593186566962E-25</v>
      </c>
      <c r="GO198" s="21">
        <f t="shared" si="187"/>
        <v>14.716537510172417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789</v>
      </c>
      <c r="GV198" s="17">
        <f>GU198*VLOOKUP('Données projet'!$B$18,Paramètres!$A$1:$I$89,3,0)*VLOOKUP('Données projet'!$B$18,Paramètres!$A$1:$I$89,5,0)</f>
        <v>379.50900000000001</v>
      </c>
      <c r="GW198" s="13">
        <f t="shared" si="188"/>
        <v>87.609801106074272</v>
      </c>
      <c r="GX198" s="20">
        <f t="shared" si="189"/>
        <v>813.56524525974601</v>
      </c>
      <c r="GY198" s="59">
        <f t="shared" si="201"/>
        <v>1106.8985785930793</v>
      </c>
      <c r="GZ198" s="59">
        <f ca="1">AVERAGE(OFFSET($GY$3,0,0,'Données projet'!$E$18+1,1))-AVERAGE(OFFSET($H$3,0,0,'Données projet'!$E$18+1,1))</f>
        <v>458.80976193248841</v>
      </c>
      <c r="HA198" s="59">
        <f t="shared" si="213"/>
        <v>396.07405370178759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14.39029478824304</v>
      </c>
      <c r="HH198" s="21">
        <f>EXP(-LN(2)/25)*HH197+(1-EXP(-LN(2)/25))/(LN(2)/25)*Calculateur!HC198*Calculateur!HE198*VLOOKUP('Données projet'!$B$18,Paramètres!$A$1:$I$89,3,0)*0.475*44/12</f>
        <v>0.47183731625032366</v>
      </c>
      <c r="HI198" s="21">
        <f>EXP(-LN(2)/2)*HI197+(1-EXP(-LN(2)/2))/(LN(2)/2)*HC198*HF198*VLOOKUP('Données projet'!$B$18,Paramètres!$A$1:$I$89,3,0)*0.475*44/12</f>
        <v>5.4749313230530142E-26</v>
      </c>
      <c r="HJ198" s="22">
        <f t="shared" si="190"/>
        <v>14.862132104493364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267</v>
      </c>
      <c r="O199" s="13">
        <f>N199*VLOOKUP('Données projet'!$B$9,Paramètres!$A$1:$I$89,3,0)*VLOOKUP('Données projet'!$B$9,Paramètres!$A$1:$I$89,5,0)</f>
        <v>241.58159999999998</v>
      </c>
      <c r="P199" s="13">
        <f t="shared" si="203"/>
        <v>58.779689232021951</v>
      </c>
      <c r="Q199" s="20">
        <f t="shared" si="162"/>
        <v>523.12924541243819</v>
      </c>
      <c r="R199" s="59">
        <f t="shared" si="191"/>
        <v>816.46257874577145</v>
      </c>
      <c r="S199" s="59">
        <f ca="1">AVERAGE(OFFSET($R$3,0,0,'Données projet'!$E$9+1,1))-AVERAGE(OFFSET($H$3,0,0,'Données projet'!$E$9+1,1))</f>
        <v>364.3481978218424</v>
      </c>
      <c r="T199" s="59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15.197583885654158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15.197583885654158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636.99999999999977</v>
      </c>
      <c r="AJ199" s="13">
        <f>AI199*VLOOKUP('Données projet'!$B$10,Paramètres!$A$1:$I$89,3,0)*VLOOKUP('Données projet'!$B$10,Paramètres!$A$1:$I$89,5,0)</f>
        <v>356.08299999999991</v>
      </c>
      <c r="AK199" s="13">
        <f t="shared" si="164"/>
        <v>82.813805255716545</v>
      </c>
      <c r="AL199" s="20">
        <f t="shared" si="165"/>
        <v>764.41193582037283</v>
      </c>
      <c r="AM199" s="59">
        <f t="shared" si="193"/>
        <v>1057.7452691537062</v>
      </c>
      <c r="AN199" s="59">
        <f ca="1">AVERAGE(OFFSET($AM$3,0,0,'Données projet'!$E$10+1,1))-AVERAGE(OFFSET($H$3,0,0,'Données projet'!$E$10+1,1))</f>
        <v>443.34220761968419</v>
      </c>
      <c r="AO199" s="59">
        <f t="shared" si="205"/>
        <v>546.58234447298014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6.6117146564119116</v>
      </c>
      <c r="AV199" s="21">
        <f>EXP(-LN(2)/25)*AV198+(1-EXP(-LN(2)/25))/(LN(2)/25)*Calculateur!AQ199*Calculateur!AS199*VLOOKUP('Données projet'!$B$10,Paramètres!$A$1:$I$89,3,0)*0.475*44/12</f>
        <v>0.21996018905700385</v>
      </c>
      <c r="AW199" s="21">
        <f>EXP(-LN(2)/2)*AW198+(1-EXP(-LN(2)/2))/(LN(2)/2)*AQ199*AT199*VLOOKUP('Données projet'!$B$10,Paramètres!$A$1:$I$89,3,0)*0.475*44/12</f>
        <v>6.2470715145597504E-25</v>
      </c>
      <c r="AX199" s="21">
        <f t="shared" si="166"/>
        <v>6.8316748454689158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403.99999999999989</v>
      </c>
      <c r="BE199" s="13">
        <f>BD199*VLOOKUP('Données projet'!$B$11,Paramètres!$A$1:$I$89,3,0)*VLOOKUP('Données projet'!$B$11,Paramètres!$A$1:$I$89,5,0)</f>
        <v>346.63199999999995</v>
      </c>
      <c r="BF199" s="13">
        <f t="shared" si="167"/>
        <v>80.868615263336864</v>
      </c>
      <c r="BG199" s="20">
        <f t="shared" si="168"/>
        <v>744.56357158364483</v>
      </c>
      <c r="BH199" s="59">
        <f t="shared" si="194"/>
        <v>1037.8969049169782</v>
      </c>
      <c r="BI199" s="59">
        <f ca="1">AVERAGE(OFFSET($BH$3,0,0,'Données projet'!$E$11+1,1))-AVERAGE(OFFSET($H$3,0,0,'Données projet'!$E$11+1,1))</f>
        <v>447.15627913956871</v>
      </c>
      <c r="BJ199" s="59">
        <f t="shared" si="206"/>
        <v>256.77417912163997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22.189243425297789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22.189243425297789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245.99999999999994</v>
      </c>
      <c r="BZ199" s="13">
        <f>BY199*VLOOKUP('Données projet'!$B$12,Paramètres!$A$1:$I$89,3,0)*VLOOKUP('Données projet'!$B$12,Paramètres!$A$1:$I$89,5,0)</f>
        <v>234.09359999999998</v>
      </c>
      <c r="CA199" s="13">
        <f t="shared" si="170"/>
        <v>57.166902703920208</v>
      </c>
      <c r="CB199" s="20">
        <f t="shared" si="171"/>
        <v>507.27870887599425</v>
      </c>
      <c r="CC199" s="59">
        <f t="shared" si="195"/>
        <v>800.61204220932757</v>
      </c>
      <c r="CD199" s="59">
        <f ca="1">AVERAGE(OFFSET($CC$3,0,0,'Données projet'!$E$12+1,1))-AVERAGE(OFFSET($H$3,0,0,'Données projet'!$E$12+1,1))</f>
        <v>448.94764480536713</v>
      </c>
      <c r="CE199" s="59">
        <f t="shared" si="207"/>
        <v>469.26760321719695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15.678516170265219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15.678516170265219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187.80389738728508</v>
      </c>
      <c r="CZ199" s="59">
        <f t="shared" si="208"/>
        <v>439.28159165815265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4.6127442258874023</v>
      </c>
      <c r="DG199" s="21">
        <f>EXP(-LN(2)/25)*DG198+(1-EXP(-LN(2)/25))/(LN(2)/25)*Calculateur!DB199*Calculateur!DD199*VLOOKUP('Données projet'!$B$13,Paramètres!$A$1:$I$89,3,0)*0.475*44/12</f>
        <v>0.14415790215108931</v>
      </c>
      <c r="DH199" s="21">
        <f>EXP(-LN(2)/2)*DH198+(1-EXP(-LN(2)/2))/(LN(2)/2)*DB199*DE199*VLOOKUP('Données projet'!$B$13,Paramètres!$A$1:$I$89,3,0)*0.475*44/12</f>
        <v>4.6489624583507829E-27</v>
      </c>
      <c r="DI199" s="22">
        <f t="shared" si="175"/>
        <v>4.756902128038492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255.00000000000006</v>
      </c>
      <c r="DP199" s="17">
        <f>DO199*VLOOKUP('Données projet'!$B$14,Paramètres!$A$1:$I$89,3,0)*VLOOKUP('Données projet'!$B$14,Paramètres!$A$1:$I$89,5,0)</f>
        <v>186.96600000000004</v>
      </c>
      <c r="DQ199" s="13">
        <f t="shared" si="176"/>
        <v>46.868551400324648</v>
      </c>
      <c r="DR199" s="20">
        <f t="shared" si="177"/>
        <v>407.26184368889881</v>
      </c>
      <c r="DS199" s="59">
        <f t="shared" si="197"/>
        <v>700.59517702223206</v>
      </c>
      <c r="DT199" s="59">
        <f ca="1">AVERAGE(OFFSET($DS$3,0,0,'Données projet'!$E$14+1,1))-AVERAGE(OFFSET($H$3,0,0,'Données projet'!$E$14+1,1))</f>
        <v>239.25212250019609</v>
      </c>
      <c r="DU199" s="59">
        <f t="shared" si="209"/>
        <v>213.58492101729695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689</v>
      </c>
      <c r="EK199" s="17">
        <f>EJ199*VLOOKUP('Données projet'!$B$15,Paramètres!$A$1:$I$89,3,0)*VLOOKUP('Données projet'!$B$15,Paramètres!$A$1:$I$89,5,0)</f>
        <v>412.02199999999999</v>
      </c>
      <c r="EL199" s="13">
        <f t="shared" si="179"/>
        <v>94.209724877926391</v>
      </c>
      <c r="EM199" s="20">
        <f t="shared" si="180"/>
        <v>881.686920829055</v>
      </c>
      <c r="EN199" s="59">
        <f t="shared" si="198"/>
        <v>1175.0202541623883</v>
      </c>
      <c r="EO199" s="59">
        <f ca="1">AVERAGE(OFFSET($EN$3,0,0,'Données projet'!$E$15+1,1))-AVERAGE(OFFSET($H$3,0,0,'Données projet'!$E$15+1,1))</f>
        <v>504.81063008331739</v>
      </c>
      <c r="EP199" s="59">
        <f t="shared" si="210"/>
        <v>441.82647565372287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9.8391231417269083</v>
      </c>
      <c r="EW199" s="21">
        <f>EXP(-LN(2)/25)*EW198+(1-EXP(-LN(2)/25))/(LN(2)/25)*Calculateur!ER199*Calculateur!ET199*VLOOKUP('Données projet'!$B$15,Paramètres!$A$1:$I$89,3,0)*0.475*44/12</f>
        <v>0.59036825198214482</v>
      </c>
      <c r="EX199" s="21">
        <f>EXP(-LN(2)/2)*EX198+(1-EXP(-LN(2)/2))/(LN(2)/2)*ER199*EU199*VLOOKUP('Données projet'!$B$15,Paramètres!$A$1:$I$89,3,0)*0.475*44/12</f>
        <v>5.4143976843460395E-27</v>
      </c>
      <c r="EY199" s="22">
        <f t="shared" si="181"/>
        <v>10.429491393709053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541.99999999999989</v>
      </c>
      <c r="FF199" s="17">
        <f>FE199*VLOOKUP('Données projet'!$B$16,Paramètres!$A$1:$I$89,3,0)*VLOOKUP('Données projet'!$B$16,Paramètres!$A$1:$I$89,5,0)</f>
        <v>310.02399999999994</v>
      </c>
      <c r="FG199" s="13">
        <f t="shared" si="182"/>
        <v>73.27384230442388</v>
      </c>
      <c r="FH199" s="20">
        <f t="shared" si="183"/>
        <v>667.57707534687154</v>
      </c>
      <c r="FI199" s="59">
        <f t="shared" si="199"/>
        <v>960.91040868020491</v>
      </c>
      <c r="FJ199" s="59">
        <f ca="1">AVERAGE(OFFSET($FI$3,0,0,'Données projet'!$E$16+1,1))-AVERAGE(OFFSET($H$3,0,0,'Données projet'!$E$16+1,1))</f>
        <v>393.41577134252316</v>
      </c>
      <c r="FK199" s="59">
        <f t="shared" si="211"/>
        <v>255.54039659391475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11.521167361905817</v>
      </c>
      <c r="FR199" s="21">
        <f>EXP(-LN(2)/25)*FR198+(1-EXP(-LN(2)/25))/(LN(2)/25)*Calculateur!FM199*Calculateur!FO199*VLOOKUP('Données projet'!$B$16,Paramètres!$A$1:$I$89,3,0)*0.475*44/12</f>
        <v>0.26791875244680047</v>
      </c>
      <c r="FS199" s="21">
        <f>EXP(-LN(2)/2)*FS198+(1-EXP(-LN(2)/2))/(LN(2)/2)*FM199*FP199*VLOOKUP('Données projet'!$B$16,Paramètres!$A$1:$I$89,3,0)*0.475*44/12</f>
        <v>3.7667296849246248E-26</v>
      </c>
      <c r="FT199" s="22">
        <f t="shared" si="184"/>
        <v>11.789086114352617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853.00000000000011</v>
      </c>
      <c r="GA199" s="17">
        <f>FZ199*VLOOKUP('Données projet'!$B$17,Paramètres!$A$1:$I$89,3,0)*VLOOKUP('Données projet'!$B$17,Paramètres!$A$1:$I$89,5,0)</f>
        <v>399.20400000000006</v>
      </c>
      <c r="GB199" s="13">
        <f t="shared" si="185"/>
        <v>91.615269732888521</v>
      </c>
      <c r="GC199" s="20">
        <f t="shared" si="186"/>
        <v>854.8435614514475</v>
      </c>
      <c r="GD199" s="59">
        <f t="shared" si="200"/>
        <v>1148.1768947847809</v>
      </c>
      <c r="GE199" s="59">
        <f ca="1">AVERAGE(OFFSET($GD$3,0,0,'Données projet'!$E$17+1,1))-AVERAGE(OFFSET($H$3,0,0,'Données projet'!$E$17+1,1))</f>
        <v>488.67934252295686</v>
      </c>
      <c r="GF199" s="59">
        <f t="shared" si="212"/>
        <v>424.50324471331095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13.932864347390527</v>
      </c>
      <c r="GM199" s="21">
        <f>EXP(-LN(2)/25)*GM198+(1-EXP(-LN(2)/25))/(LN(2)/25)*Calculateur!GH199*Calculateur!GJ199*VLOOKUP('Données projet'!$B$17,Paramètres!$A$1:$I$89,3,0)*0.475*44/12</f>
        <v>0.49118437948580124</v>
      </c>
      <c r="GN199" s="21">
        <f>EXP(-LN(2)/2)*GN198+(1-EXP(-LN(2)/2))/(LN(2)/2)*GH199*GK199*VLOOKUP('Données projet'!$B$17,Paramètres!$A$1:$I$89,3,0)*0.475*44/12</f>
        <v>8.3895342982412073E-26</v>
      </c>
      <c r="GO199" s="21">
        <f t="shared" si="187"/>
        <v>14.424048726876329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789</v>
      </c>
      <c r="GV199" s="17">
        <f>GU199*VLOOKUP('Données projet'!$B$18,Paramètres!$A$1:$I$89,3,0)*VLOOKUP('Données projet'!$B$18,Paramètres!$A$1:$I$89,5,0)</f>
        <v>379.50900000000001</v>
      </c>
      <c r="GW199" s="13">
        <f t="shared" si="188"/>
        <v>87.609801106074272</v>
      </c>
      <c r="GX199" s="20">
        <f t="shared" si="189"/>
        <v>813.56524525974601</v>
      </c>
      <c r="GY199" s="59">
        <f t="shared" si="201"/>
        <v>1106.8985785930793</v>
      </c>
      <c r="GZ199" s="59">
        <f ca="1">AVERAGE(OFFSET($GY$3,0,0,'Données projet'!$E$18+1,1))-AVERAGE(OFFSET($H$3,0,0,'Données projet'!$E$18+1,1))</f>
        <v>458.80976193248841</v>
      </c>
      <c r="HA199" s="59">
        <f t="shared" si="213"/>
        <v>396.07405370178759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14.108109884658736</v>
      </c>
      <c r="HH199" s="21">
        <f>EXP(-LN(2)/25)*HH198+(1-EXP(-LN(2)/25))/(LN(2)/25)*Calculateur!HC199*Calculateur!HE199*VLOOKUP('Données projet'!$B$18,Paramètres!$A$1:$I$89,3,0)*0.475*44/12</f>
        <v>0.45893490002461251</v>
      </c>
      <c r="HI199" s="21">
        <f>EXP(-LN(2)/2)*HI198+(1-EXP(-LN(2)/2))/(LN(2)/2)*HC199*HF199*VLOOKUP('Données projet'!$B$18,Paramètres!$A$1:$I$89,3,0)*0.475*44/12</f>
        <v>3.8713610650614228E-26</v>
      </c>
      <c r="HJ199" s="22">
        <f t="shared" si="190"/>
        <v>14.567044784683349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267</v>
      </c>
      <c r="O200" s="13">
        <f>N200*VLOOKUP('Données projet'!$B$9,Paramètres!$A$1:$I$89,3,0)*VLOOKUP('Données projet'!$B$9,Paramètres!$A$1:$I$89,5,0)</f>
        <v>241.58159999999998</v>
      </c>
      <c r="P200" s="13">
        <f t="shared" si="203"/>
        <v>58.779689232021951</v>
      </c>
      <c r="Q200" s="20">
        <f t="shared" si="162"/>
        <v>523.12924541243819</v>
      </c>
      <c r="R200" s="59">
        <f t="shared" si="191"/>
        <v>816.46257874577145</v>
      </c>
      <c r="S200" s="59">
        <f ca="1">AVERAGE(OFFSET($R$3,0,0,'Données projet'!$E$9+1,1))-AVERAGE(OFFSET($H$3,0,0,'Données projet'!$E$9+1,1))</f>
        <v>364.3481978218424</v>
      </c>
      <c r="T200" s="59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14.899568535267353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14.899568535267353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636.99999999999977</v>
      </c>
      <c r="AJ200" s="13">
        <f>AI200*VLOOKUP('Données projet'!$B$10,Paramètres!$A$1:$I$89,3,0)*VLOOKUP('Données projet'!$B$10,Paramètres!$A$1:$I$89,5,0)</f>
        <v>356.08299999999991</v>
      </c>
      <c r="AK200" s="13">
        <f t="shared" si="164"/>
        <v>82.813805255716545</v>
      </c>
      <c r="AL200" s="20">
        <f t="shared" si="165"/>
        <v>764.41193582037283</v>
      </c>
      <c r="AM200" s="59">
        <f t="shared" si="193"/>
        <v>1057.7452691537062</v>
      </c>
      <c r="AN200" s="59">
        <f ca="1">AVERAGE(OFFSET($AM$3,0,0,'Données projet'!$E$10+1,1))-AVERAGE(OFFSET($H$3,0,0,'Données projet'!$E$10+1,1))</f>
        <v>443.34220761968419</v>
      </c>
      <c r="AO200" s="59">
        <f t="shared" si="205"/>
        <v>546.58234447298014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6.4820629647474135</v>
      </c>
      <c r="AV200" s="21">
        <f>EXP(-LN(2)/25)*AV199+(1-EXP(-LN(2)/25))/(LN(2)/25)*Calculateur!AQ200*Calculateur!AS200*VLOOKUP('Données projet'!$B$10,Paramètres!$A$1:$I$89,3,0)*0.475*44/12</f>
        <v>0.21394536612003645</v>
      </c>
      <c r="AW200" s="21">
        <f>EXP(-LN(2)/2)*AW199+(1-EXP(-LN(2)/2))/(LN(2)/2)*AQ200*AT200*VLOOKUP('Données projet'!$B$10,Paramètres!$A$1:$I$89,3,0)*0.475*44/12</f>
        <v>4.4173466305025154E-25</v>
      </c>
      <c r="AX200" s="21">
        <f t="shared" si="166"/>
        <v>6.6960083308674498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403.99999999999989</v>
      </c>
      <c r="BE200" s="13">
        <f>BD200*VLOOKUP('Données projet'!$B$11,Paramètres!$A$1:$I$89,3,0)*VLOOKUP('Données projet'!$B$11,Paramètres!$A$1:$I$89,5,0)</f>
        <v>346.63199999999995</v>
      </c>
      <c r="BF200" s="13">
        <f t="shared" si="167"/>
        <v>80.868615263336864</v>
      </c>
      <c r="BG200" s="20">
        <f t="shared" si="168"/>
        <v>744.56357158364483</v>
      </c>
      <c r="BH200" s="59">
        <f t="shared" si="194"/>
        <v>1037.8969049169782</v>
      </c>
      <c r="BI200" s="59">
        <f ca="1">AVERAGE(OFFSET($BH$3,0,0,'Données projet'!$E$11+1,1))-AVERAGE(OFFSET($H$3,0,0,'Données projet'!$E$11+1,1))</f>
        <v>447.15627913956871</v>
      </c>
      <c r="BJ200" s="59">
        <f t="shared" si="206"/>
        <v>256.77417912163997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21.754125895829809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21.754125895829809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245.99999999999994</v>
      </c>
      <c r="BZ200" s="13">
        <f>BY200*VLOOKUP('Données projet'!$B$12,Paramètres!$A$1:$I$89,3,0)*VLOOKUP('Données projet'!$B$12,Paramètres!$A$1:$I$89,5,0)</f>
        <v>234.09359999999998</v>
      </c>
      <c r="CA200" s="13">
        <f t="shared" si="170"/>
        <v>57.166902703920208</v>
      </c>
      <c r="CB200" s="20">
        <f t="shared" si="171"/>
        <v>507.27870887599425</v>
      </c>
      <c r="CC200" s="59">
        <f t="shared" si="195"/>
        <v>800.61204220932757</v>
      </c>
      <c r="CD200" s="59">
        <f ca="1">AVERAGE(OFFSET($CC$3,0,0,'Données projet'!$E$12+1,1))-AVERAGE(OFFSET($H$3,0,0,'Données projet'!$E$12+1,1))</f>
        <v>448.94764480536713</v>
      </c>
      <c r="CE200" s="59">
        <f t="shared" si="207"/>
        <v>469.26760321719695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15.371070031116918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15.371070031116918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187.80389738728508</v>
      </c>
      <c r="CZ200" s="59">
        <f t="shared" si="208"/>
        <v>439.28159165815265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4.5222911251139184</v>
      </c>
      <c r="DG200" s="21">
        <f>EXP(-LN(2)/25)*DG199+(1-EXP(-LN(2)/25))/(LN(2)/25)*Calculateur!DB200*Calculateur!DD200*VLOOKUP('Données projet'!$B$13,Paramètres!$A$1:$I$89,3,0)*0.475*44/12</f>
        <v>0.14021589673583318</v>
      </c>
      <c r="DH200" s="21">
        <f>EXP(-LN(2)/2)*DH199+(1-EXP(-LN(2)/2))/(LN(2)/2)*DB200*DE200*VLOOKUP('Données projet'!$B$13,Paramètres!$A$1:$I$89,3,0)*0.475*44/12</f>
        <v>3.2873128797815211E-27</v>
      </c>
      <c r="DI200" s="22">
        <f t="shared" si="175"/>
        <v>4.662507021849752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255.00000000000006</v>
      </c>
      <c r="DP200" s="17">
        <f>DO200*VLOOKUP('Données projet'!$B$14,Paramètres!$A$1:$I$89,3,0)*VLOOKUP('Données projet'!$B$14,Paramètres!$A$1:$I$89,5,0)</f>
        <v>186.96600000000004</v>
      </c>
      <c r="DQ200" s="13">
        <f t="shared" si="176"/>
        <v>46.868551400324648</v>
      </c>
      <c r="DR200" s="20">
        <f t="shared" si="177"/>
        <v>407.26184368889881</v>
      </c>
      <c r="DS200" s="59">
        <f t="shared" si="197"/>
        <v>700.59517702223206</v>
      </c>
      <c r="DT200" s="59">
        <f ca="1">AVERAGE(OFFSET($DS$3,0,0,'Données projet'!$E$14+1,1))-AVERAGE(OFFSET($H$3,0,0,'Données projet'!$E$14+1,1))</f>
        <v>239.25212250019609</v>
      </c>
      <c r="DU200" s="59">
        <f t="shared" si="209"/>
        <v>213.58492101729695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689</v>
      </c>
      <c r="EK200" s="17">
        <f>EJ200*VLOOKUP('Données projet'!$B$15,Paramètres!$A$1:$I$89,3,0)*VLOOKUP('Données projet'!$B$15,Paramètres!$A$1:$I$89,5,0)</f>
        <v>412.02199999999999</v>
      </c>
      <c r="EL200" s="13">
        <f t="shared" si="179"/>
        <v>94.209724877926391</v>
      </c>
      <c r="EM200" s="20">
        <f t="shared" si="180"/>
        <v>881.686920829055</v>
      </c>
      <c r="EN200" s="59">
        <f t="shared" si="198"/>
        <v>1175.0202541623883</v>
      </c>
      <c r="EO200" s="59">
        <f ca="1">AVERAGE(OFFSET($EN$3,0,0,'Données projet'!$E$15+1,1))-AVERAGE(OFFSET($H$3,0,0,'Données projet'!$E$15+1,1))</f>
        <v>504.81063008331739</v>
      </c>
      <c r="EP200" s="59">
        <f t="shared" si="210"/>
        <v>441.82647565372287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9.6461839381901839</v>
      </c>
      <c r="EW200" s="21">
        <f>EXP(-LN(2)/25)*EW199+(1-EXP(-LN(2)/25))/(LN(2)/25)*Calculateur!ER200*Calculateur!ET200*VLOOKUP('Données projet'!$B$15,Paramètres!$A$1:$I$89,3,0)*0.475*44/12</f>
        <v>0.57422460108557605</v>
      </c>
      <c r="EX200" s="21">
        <f>EXP(-LN(2)/2)*EX199+(1-EXP(-LN(2)/2))/(LN(2)/2)*ER200*EU200*VLOOKUP('Données projet'!$B$15,Paramètres!$A$1:$I$89,3,0)*0.475*44/12</f>
        <v>3.8285573186418245E-27</v>
      </c>
      <c r="EY200" s="22">
        <f t="shared" si="181"/>
        <v>10.220408539275759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541.99999999999989</v>
      </c>
      <c r="FF200" s="17">
        <f>FE200*VLOOKUP('Données projet'!$B$16,Paramètres!$A$1:$I$89,3,0)*VLOOKUP('Données projet'!$B$16,Paramètres!$A$1:$I$89,5,0)</f>
        <v>310.02399999999994</v>
      </c>
      <c r="FG200" s="13">
        <f t="shared" si="182"/>
        <v>73.27384230442388</v>
      </c>
      <c r="FH200" s="20">
        <f t="shared" si="183"/>
        <v>667.57707534687154</v>
      </c>
      <c r="FI200" s="59">
        <f t="shared" si="199"/>
        <v>960.91040868020491</v>
      </c>
      <c r="FJ200" s="59">
        <f ca="1">AVERAGE(OFFSET($FI$3,0,0,'Données projet'!$E$16+1,1))-AVERAGE(OFFSET($H$3,0,0,'Données projet'!$E$16+1,1))</f>
        <v>393.41577134252316</v>
      </c>
      <c r="FK200" s="59">
        <f t="shared" si="211"/>
        <v>255.54039659391475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11.295244297157055</v>
      </c>
      <c r="FR200" s="21">
        <f>EXP(-LN(2)/25)*FR199+(1-EXP(-LN(2)/25))/(LN(2)/25)*Calculateur!FM200*Calculateur!FO200*VLOOKUP('Données projet'!$B$16,Paramètres!$A$1:$I$89,3,0)*0.475*44/12</f>
        <v>0.26059250007190787</v>
      </c>
      <c r="FS200" s="21">
        <f>EXP(-LN(2)/2)*FS199+(1-EXP(-LN(2)/2))/(LN(2)/2)*FM200*FP200*VLOOKUP('Données projet'!$B$16,Paramètres!$A$1:$I$89,3,0)*0.475*44/12</f>
        <v>2.6634801031068697E-26</v>
      </c>
      <c r="FT200" s="22">
        <f t="shared" si="184"/>
        <v>11.555836797228963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853.00000000000011</v>
      </c>
      <c r="GA200" s="17">
        <f>FZ200*VLOOKUP('Données projet'!$B$17,Paramètres!$A$1:$I$89,3,0)*VLOOKUP('Données projet'!$B$17,Paramètres!$A$1:$I$89,5,0)</f>
        <v>399.20400000000006</v>
      </c>
      <c r="GB200" s="13">
        <f t="shared" si="185"/>
        <v>91.615269732888521</v>
      </c>
      <c r="GC200" s="20">
        <f t="shared" si="186"/>
        <v>854.8435614514475</v>
      </c>
      <c r="GD200" s="59">
        <f t="shared" si="200"/>
        <v>1148.1768947847809</v>
      </c>
      <c r="GE200" s="59">
        <f ca="1">AVERAGE(OFFSET($GD$3,0,0,'Données projet'!$E$17+1,1))-AVERAGE(OFFSET($H$3,0,0,'Données projet'!$E$17+1,1))</f>
        <v>488.67934252295686</v>
      </c>
      <c r="GF200" s="59">
        <f t="shared" si="212"/>
        <v>424.50324471331095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13.659649375746323</v>
      </c>
      <c r="GM200" s="21">
        <f>EXP(-LN(2)/25)*GM199+(1-EXP(-LN(2)/25))/(LN(2)/25)*Calculateur!GH200*Calculateur!GJ200*VLOOKUP('Données projet'!$B$17,Paramètres!$A$1:$I$89,3,0)*0.475*44/12</f>
        <v>0.47775291679849813</v>
      </c>
      <c r="GN200" s="21">
        <f>EXP(-LN(2)/2)*GN199+(1-EXP(-LN(2)/2))/(LN(2)/2)*GH200*GK200*VLOOKUP('Données projet'!$B$17,Paramètres!$A$1:$I$89,3,0)*0.475*44/12</f>
        <v>5.9322965932834808E-26</v>
      </c>
      <c r="GO200" s="21">
        <f t="shared" si="187"/>
        <v>14.13740229254482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789</v>
      </c>
      <c r="GV200" s="17">
        <f>GU200*VLOOKUP('Données projet'!$B$18,Paramètres!$A$1:$I$89,3,0)*VLOOKUP('Données projet'!$B$18,Paramètres!$A$1:$I$89,5,0)</f>
        <v>379.50900000000001</v>
      </c>
      <c r="GW200" s="13">
        <f t="shared" si="188"/>
        <v>87.609801106074272</v>
      </c>
      <c r="GX200" s="20">
        <f t="shared" si="189"/>
        <v>813.56524525974601</v>
      </c>
      <c r="GY200" s="59">
        <f t="shared" si="201"/>
        <v>1106.8985785930793</v>
      </c>
      <c r="GZ200" s="59">
        <f ca="1">AVERAGE(OFFSET($GY$3,0,0,'Données projet'!$E$18+1,1))-AVERAGE(OFFSET($H$3,0,0,'Données projet'!$E$18+1,1))</f>
        <v>458.80976193248841</v>
      </c>
      <c r="HA200" s="59">
        <f t="shared" si="213"/>
        <v>396.07405370178759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13.831458454917925</v>
      </c>
      <c r="HH200" s="21">
        <f>EXP(-LN(2)/25)*HH199+(1-EXP(-LN(2)/25))/(LN(2)/25)*Calculateur!HC200*Calculateur!HE200*VLOOKUP('Données projet'!$B$18,Paramètres!$A$1:$I$89,3,0)*0.475*44/12</f>
        <v>0.44638530104910201</v>
      </c>
      <c r="HI200" s="21">
        <f>EXP(-LN(2)/2)*HI199+(1-EXP(-LN(2)/2))/(LN(2)/2)*HC200*HF200*VLOOKUP('Données projet'!$B$18,Paramètres!$A$1:$I$89,3,0)*0.475*44/12</f>
        <v>2.7374656615265071E-26</v>
      </c>
      <c r="HJ200" s="22">
        <f t="shared" si="190"/>
        <v>14.277843755967027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267</v>
      </c>
      <c r="O201" s="13">
        <f>N201*VLOOKUP('Données projet'!$B$9,Paramètres!$A$1:$I$89,3,0)*VLOOKUP('Données projet'!$B$9,Paramètres!$A$1:$I$89,5,0)</f>
        <v>241.58159999999998</v>
      </c>
      <c r="P201" s="13">
        <f t="shared" si="203"/>
        <v>58.779689232021951</v>
      </c>
      <c r="Q201" s="20">
        <f t="shared" si="162"/>
        <v>523.12924541243819</v>
      </c>
      <c r="R201" s="59">
        <f t="shared" si="191"/>
        <v>816.46257874577145</v>
      </c>
      <c r="S201" s="59">
        <f ca="1">AVERAGE(OFFSET($R$3,0,0,'Données projet'!$E$9+1,1))-AVERAGE(OFFSET($H$3,0,0,'Données projet'!$E$9+1,1))</f>
        <v>364.3481978218424</v>
      </c>
      <c r="T201" s="59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14.607397084130216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14.607397084130216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636.99999999999977</v>
      </c>
      <c r="AJ201" s="13">
        <f>AI201*VLOOKUP('Données projet'!$B$10,Paramètres!$A$1:$I$89,3,0)*VLOOKUP('Données projet'!$B$10,Paramètres!$A$1:$I$89,5,0)</f>
        <v>356.08299999999991</v>
      </c>
      <c r="AK201" s="13">
        <f t="shared" si="164"/>
        <v>82.813805255716545</v>
      </c>
      <c r="AL201" s="20">
        <f t="shared" si="165"/>
        <v>764.41193582037283</v>
      </c>
      <c r="AM201" s="59">
        <f t="shared" si="193"/>
        <v>1057.7452691537062</v>
      </c>
      <c r="AN201" s="59">
        <f ca="1">AVERAGE(OFFSET($AM$3,0,0,'Données projet'!$E$10+1,1))-AVERAGE(OFFSET($H$3,0,0,'Données projet'!$E$10+1,1))</f>
        <v>443.34220761968419</v>
      </c>
      <c r="AO201" s="59">
        <f t="shared" si="205"/>
        <v>546.58234447298014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6.3549536636767332</v>
      </c>
      <c r="AV201" s="21">
        <f>EXP(-LN(2)/25)*AV200+(1-EXP(-LN(2)/25))/(LN(2)/25)*Calculateur!AQ201*Calculateur!AS201*VLOOKUP('Données projet'!$B$10,Paramètres!$A$1:$I$89,3,0)*0.475*44/12</f>
        <v>0.20809501883258621</v>
      </c>
      <c r="AW201" s="21">
        <f>EXP(-LN(2)/2)*AW200+(1-EXP(-LN(2)/2))/(LN(2)/2)*AQ201*AT201*VLOOKUP('Données projet'!$B$10,Paramètres!$A$1:$I$89,3,0)*0.475*44/12</f>
        <v>3.1235357572798752E-25</v>
      </c>
      <c r="AX201" s="21">
        <f t="shared" si="166"/>
        <v>6.5630486825093195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403.99999999999989</v>
      </c>
      <c r="BE201" s="13">
        <f>BD201*VLOOKUP('Données projet'!$B$11,Paramètres!$A$1:$I$89,3,0)*VLOOKUP('Données projet'!$B$11,Paramètres!$A$1:$I$89,5,0)</f>
        <v>346.63199999999995</v>
      </c>
      <c r="BF201" s="13">
        <f t="shared" si="167"/>
        <v>80.868615263336864</v>
      </c>
      <c r="BG201" s="20">
        <f t="shared" si="168"/>
        <v>744.56357158364483</v>
      </c>
      <c r="BH201" s="59">
        <f t="shared" si="194"/>
        <v>1037.8969049169782</v>
      </c>
      <c r="BI201" s="59">
        <f ca="1">AVERAGE(OFFSET($BH$3,0,0,'Données projet'!$E$11+1,1))-AVERAGE(OFFSET($H$3,0,0,'Données projet'!$E$11+1,1))</f>
        <v>447.15627913956871</v>
      </c>
      <c r="BJ201" s="59">
        <f t="shared" si="206"/>
        <v>256.77417912163997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21.327540755719205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21.327540755719205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245.99999999999994</v>
      </c>
      <c r="BZ201" s="13">
        <f>BY201*VLOOKUP('Données projet'!$B$12,Paramètres!$A$1:$I$89,3,0)*VLOOKUP('Données projet'!$B$12,Paramètres!$A$1:$I$89,5,0)</f>
        <v>234.09359999999998</v>
      </c>
      <c r="CA201" s="13">
        <f t="shared" si="170"/>
        <v>57.166902703920208</v>
      </c>
      <c r="CB201" s="20">
        <f t="shared" si="171"/>
        <v>507.27870887599425</v>
      </c>
      <c r="CC201" s="59">
        <f t="shared" si="195"/>
        <v>800.61204220932757</v>
      </c>
      <c r="CD201" s="59">
        <f ca="1">AVERAGE(OFFSET($CC$3,0,0,'Données projet'!$E$12+1,1))-AVERAGE(OFFSET($H$3,0,0,'Données projet'!$E$12+1,1))</f>
        <v>448.94764480536713</v>
      </c>
      <c r="CE201" s="59">
        <f t="shared" si="207"/>
        <v>469.26760321719695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15.069652723233688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15.069652723233688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187.80389738728508</v>
      </c>
      <c r="CZ201" s="59">
        <f t="shared" si="208"/>
        <v>439.28159165815265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4.4336117544756588</v>
      </c>
      <c r="DG201" s="21">
        <f>EXP(-LN(2)/25)*DG200+(1-EXP(-LN(2)/25))/(LN(2)/25)*Calculateur!DB201*Calculateur!DD201*VLOOKUP('Données projet'!$B$13,Paramètres!$A$1:$I$89,3,0)*0.475*44/12</f>
        <v>0.13638168566595829</v>
      </c>
      <c r="DH201" s="21">
        <f>EXP(-LN(2)/2)*DH200+(1-EXP(-LN(2)/2))/(LN(2)/2)*DB201*DE201*VLOOKUP('Données projet'!$B$13,Paramètres!$A$1:$I$89,3,0)*0.475*44/12</f>
        <v>2.3244812291753915E-27</v>
      </c>
      <c r="DI201" s="22">
        <f t="shared" si="175"/>
        <v>4.5699934401416167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255.00000000000006</v>
      </c>
      <c r="DP201" s="17">
        <f>DO201*VLOOKUP('Données projet'!$B$14,Paramètres!$A$1:$I$89,3,0)*VLOOKUP('Données projet'!$B$14,Paramètres!$A$1:$I$89,5,0)</f>
        <v>186.96600000000004</v>
      </c>
      <c r="DQ201" s="13">
        <f t="shared" si="176"/>
        <v>46.868551400324648</v>
      </c>
      <c r="DR201" s="20">
        <f t="shared" si="177"/>
        <v>407.26184368889881</v>
      </c>
      <c r="DS201" s="59">
        <f t="shared" si="197"/>
        <v>700.59517702223206</v>
      </c>
      <c r="DT201" s="59">
        <f ca="1">AVERAGE(OFFSET($DS$3,0,0,'Données projet'!$E$14+1,1))-AVERAGE(OFFSET($H$3,0,0,'Données projet'!$E$14+1,1))</f>
        <v>239.25212250019609</v>
      </c>
      <c r="DU201" s="59">
        <f t="shared" si="209"/>
        <v>213.58492101729695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689</v>
      </c>
      <c r="EK201" s="17">
        <f>EJ201*VLOOKUP('Données projet'!$B$15,Paramètres!$A$1:$I$89,3,0)*VLOOKUP('Données projet'!$B$15,Paramètres!$A$1:$I$89,5,0)</f>
        <v>412.02199999999999</v>
      </c>
      <c r="EL201" s="13">
        <f t="shared" si="179"/>
        <v>94.209724877926391</v>
      </c>
      <c r="EM201" s="20">
        <f t="shared" si="180"/>
        <v>881.686920829055</v>
      </c>
      <c r="EN201" s="59">
        <f t="shared" si="198"/>
        <v>1175.0202541623883</v>
      </c>
      <c r="EO201" s="59">
        <f ca="1">AVERAGE(OFFSET($EN$3,0,0,'Données projet'!$E$15+1,1))-AVERAGE(OFFSET($H$3,0,0,'Données projet'!$E$15+1,1))</f>
        <v>504.81063008331739</v>
      </c>
      <c r="EP201" s="59">
        <f t="shared" si="210"/>
        <v>441.82647565372287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9.4570281547535195</v>
      </c>
      <c r="EW201" s="21">
        <f>EXP(-LN(2)/25)*EW200+(1-EXP(-LN(2)/25))/(LN(2)/25)*Calculateur!ER201*Calculateur!ET201*VLOOKUP('Données projet'!$B$15,Paramètres!$A$1:$I$89,3,0)*0.475*44/12</f>
        <v>0.55852239917173163</v>
      </c>
      <c r="EX201" s="21">
        <f>EXP(-LN(2)/2)*EX200+(1-EXP(-LN(2)/2))/(LN(2)/2)*ER201*EU201*VLOOKUP('Données projet'!$B$15,Paramètres!$A$1:$I$89,3,0)*0.475*44/12</f>
        <v>2.7071988421730197E-27</v>
      </c>
      <c r="EY201" s="22">
        <f t="shared" si="181"/>
        <v>10.015550553925252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541.99999999999989</v>
      </c>
      <c r="FF201" s="17">
        <f>FE201*VLOOKUP('Données projet'!$B$16,Paramètres!$A$1:$I$89,3,0)*VLOOKUP('Données projet'!$B$16,Paramètres!$A$1:$I$89,5,0)</f>
        <v>310.02399999999994</v>
      </c>
      <c r="FG201" s="13">
        <f t="shared" si="182"/>
        <v>73.27384230442388</v>
      </c>
      <c r="FH201" s="20">
        <f t="shared" si="183"/>
        <v>667.57707534687154</v>
      </c>
      <c r="FI201" s="59">
        <f t="shared" si="199"/>
        <v>960.91040868020491</v>
      </c>
      <c r="FJ201" s="59">
        <f ca="1">AVERAGE(OFFSET($FI$3,0,0,'Données projet'!$E$16+1,1))-AVERAGE(OFFSET($H$3,0,0,'Données projet'!$E$16+1,1))</f>
        <v>393.41577134252316</v>
      </c>
      <c r="FK201" s="59">
        <f t="shared" si="211"/>
        <v>255.54039659391475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11.073751445908552</v>
      </c>
      <c r="FR201" s="21">
        <f>EXP(-LN(2)/25)*FR200+(1-EXP(-LN(2)/25))/(LN(2)/25)*Calculateur!FM201*Calculateur!FO201*VLOOKUP('Données projet'!$B$16,Paramètres!$A$1:$I$89,3,0)*0.475*44/12</f>
        <v>0.25346658445347758</v>
      </c>
      <c r="FS201" s="21">
        <f>EXP(-LN(2)/2)*FS200+(1-EXP(-LN(2)/2))/(LN(2)/2)*FM201*FP201*VLOOKUP('Données projet'!$B$16,Paramètres!$A$1:$I$89,3,0)*0.475*44/12</f>
        <v>1.8833648424623124E-26</v>
      </c>
      <c r="FT201" s="22">
        <f t="shared" si="184"/>
        <v>11.32721803036203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853.00000000000011</v>
      </c>
      <c r="GA201" s="17">
        <f>FZ201*VLOOKUP('Données projet'!$B$17,Paramètres!$A$1:$I$89,3,0)*VLOOKUP('Données projet'!$B$17,Paramètres!$A$1:$I$89,5,0)</f>
        <v>399.20400000000006</v>
      </c>
      <c r="GB201" s="13">
        <f t="shared" si="185"/>
        <v>91.615269732888521</v>
      </c>
      <c r="GC201" s="20">
        <f t="shared" si="186"/>
        <v>854.8435614514475</v>
      </c>
      <c r="GD201" s="59">
        <f t="shared" si="200"/>
        <v>1148.1768947847809</v>
      </c>
      <c r="GE201" s="59">
        <f ca="1">AVERAGE(OFFSET($GD$3,0,0,'Données projet'!$E$17+1,1))-AVERAGE(OFFSET($H$3,0,0,'Données projet'!$E$17+1,1))</f>
        <v>488.67934252295686</v>
      </c>
      <c r="GF201" s="59">
        <f t="shared" si="212"/>
        <v>424.50324471331095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13.391791983051384</v>
      </c>
      <c r="GM201" s="21">
        <f>EXP(-LN(2)/25)*GM200+(1-EXP(-LN(2)/25))/(LN(2)/25)*Calculateur!GH201*Calculateur!GJ201*VLOOKUP('Données projet'!$B$17,Paramètres!$A$1:$I$89,3,0)*0.475*44/12</f>
        <v>0.46468873816470924</v>
      </c>
      <c r="GN201" s="21">
        <f>EXP(-LN(2)/2)*GN200+(1-EXP(-LN(2)/2))/(LN(2)/2)*GH201*GK201*VLOOKUP('Données projet'!$B$17,Paramètres!$A$1:$I$89,3,0)*0.475*44/12</f>
        <v>4.1947671491206037E-26</v>
      </c>
      <c r="GO201" s="21">
        <f t="shared" si="187"/>
        <v>13.856480721216093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789</v>
      </c>
      <c r="GV201" s="17">
        <f>GU201*VLOOKUP('Données projet'!$B$18,Paramètres!$A$1:$I$89,3,0)*VLOOKUP('Données projet'!$B$18,Paramètres!$A$1:$I$89,5,0)</f>
        <v>379.50900000000001</v>
      </c>
      <c r="GW201" s="13">
        <f t="shared" si="188"/>
        <v>87.609801106074272</v>
      </c>
      <c r="GX201" s="20">
        <f t="shared" si="189"/>
        <v>813.56524525974601</v>
      </c>
      <c r="GY201" s="59">
        <f t="shared" si="201"/>
        <v>1106.8985785930793</v>
      </c>
      <c r="GZ201" s="59">
        <f ca="1">AVERAGE(OFFSET($GY$3,0,0,'Données projet'!$E$18+1,1))-AVERAGE(OFFSET($H$3,0,0,'Données projet'!$E$18+1,1))</f>
        <v>458.80976193248841</v>
      </c>
      <c r="HA201" s="59">
        <f t="shared" si="213"/>
        <v>396.07405370178759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13.560231990973621</v>
      </c>
      <c r="HH201" s="21">
        <f>EXP(-LN(2)/25)*HH200+(1-EXP(-LN(2)/25))/(LN(2)/25)*Calculateur!HC201*Calculateur!HE201*VLOOKUP('Données projet'!$B$18,Paramètres!$A$1:$I$89,3,0)*0.475*44/12</f>
        <v>0.43417887151753154</v>
      </c>
      <c r="HI201" s="21">
        <f>EXP(-LN(2)/2)*HI200+(1-EXP(-LN(2)/2))/(LN(2)/2)*HC201*HF201*VLOOKUP('Données projet'!$B$18,Paramètres!$A$1:$I$89,3,0)*0.475*44/12</f>
        <v>1.9356805325307114E-26</v>
      </c>
      <c r="HJ201" s="22">
        <f t="shared" si="190"/>
        <v>13.994410862491153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267</v>
      </c>
      <c r="O202" s="13">
        <f>N202*VLOOKUP('Données projet'!$B$9,Paramètres!$A$1:$I$89,3,0)*VLOOKUP('Données projet'!$B$9,Paramètres!$A$1:$I$89,5,0)</f>
        <v>241.58159999999998</v>
      </c>
      <c r="P202" s="13">
        <f t="shared" si="203"/>
        <v>58.779689232021951</v>
      </c>
      <c r="Q202" s="20">
        <f t="shared" si="162"/>
        <v>523.12924541243819</v>
      </c>
      <c r="R202" s="59">
        <f t="shared" si="191"/>
        <v>816.46257874577145</v>
      </c>
      <c r="S202" s="59">
        <f ca="1">AVERAGE(OFFSET($R$3,0,0,'Données projet'!$E$9+1,1))-AVERAGE(OFFSET($H$3,0,0,'Données projet'!$E$9+1,1))</f>
        <v>364.3481978218424</v>
      </c>
      <c r="T202" s="59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14.320954936942892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14.320954936942892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636.99999999999977</v>
      </c>
      <c r="AJ202" s="13">
        <f>AI202*VLOOKUP('Données projet'!$B$10,Paramètres!$A$1:$I$89,3,0)*VLOOKUP('Données projet'!$B$10,Paramètres!$A$1:$I$89,5,0)</f>
        <v>356.08299999999991</v>
      </c>
      <c r="AK202" s="13">
        <f t="shared" si="164"/>
        <v>82.813805255716545</v>
      </c>
      <c r="AL202" s="20">
        <f t="shared" si="165"/>
        <v>764.41193582037283</v>
      </c>
      <c r="AM202" s="59">
        <f t="shared" si="193"/>
        <v>1057.7452691537062</v>
      </c>
      <c r="AN202" s="59">
        <f ca="1">AVERAGE(OFFSET($AM$3,0,0,'Données projet'!$E$10+1,1))-AVERAGE(OFFSET($H$3,0,0,'Données projet'!$E$10+1,1))</f>
        <v>443.34220761968419</v>
      </c>
      <c r="AO202" s="59">
        <f t="shared" si="205"/>
        <v>546.58234447298014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6.2303368984710303</v>
      </c>
      <c r="AV202" s="21">
        <f>EXP(-LN(2)/25)*AV201+(1-EXP(-LN(2)/25))/(LN(2)/25)*Calculateur!AQ202*Calculateur!AS202*VLOOKUP('Données projet'!$B$10,Paramètres!$A$1:$I$89,3,0)*0.475*44/12</f>
        <v>0.20240464959936771</v>
      </c>
      <c r="AW202" s="21">
        <f>EXP(-LN(2)/2)*AW201+(1-EXP(-LN(2)/2))/(LN(2)/2)*AQ202*AT202*VLOOKUP('Données projet'!$B$10,Paramètres!$A$1:$I$89,3,0)*0.475*44/12</f>
        <v>2.2086733152512577E-25</v>
      </c>
      <c r="AX202" s="21">
        <f t="shared" si="166"/>
        <v>6.432741548070398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403.99999999999989</v>
      </c>
      <c r="BE202" s="13">
        <f>BD202*VLOOKUP('Données projet'!$B$11,Paramètres!$A$1:$I$89,3,0)*VLOOKUP('Données projet'!$B$11,Paramètres!$A$1:$I$89,5,0)</f>
        <v>346.63199999999995</v>
      </c>
      <c r="BF202" s="13">
        <f t="shared" si="167"/>
        <v>80.868615263336864</v>
      </c>
      <c r="BG202" s="20">
        <f t="shared" si="168"/>
        <v>744.56357158364483</v>
      </c>
      <c r="BH202" s="59">
        <f t="shared" si="194"/>
        <v>1037.8969049169782</v>
      </c>
      <c r="BI202" s="59">
        <f ca="1">AVERAGE(OFFSET($BH$3,0,0,'Données projet'!$E$11+1,1))-AVERAGE(OFFSET($H$3,0,0,'Données projet'!$E$11+1,1))</f>
        <v>447.15627913956871</v>
      </c>
      <c r="BJ202" s="59">
        <f t="shared" si="206"/>
        <v>256.77417912163997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20.90932069001493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20.90932069001493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245.99999999999994</v>
      </c>
      <c r="BZ202" s="13">
        <f>BY202*VLOOKUP('Données projet'!$B$12,Paramètres!$A$1:$I$89,3,0)*VLOOKUP('Données projet'!$B$12,Paramètres!$A$1:$I$89,5,0)</f>
        <v>234.09359999999998</v>
      </c>
      <c r="CA202" s="13">
        <f t="shared" si="170"/>
        <v>57.166902703920208</v>
      </c>
      <c r="CB202" s="20">
        <f t="shared" si="171"/>
        <v>507.27870887599425</v>
      </c>
      <c r="CC202" s="59">
        <f t="shared" si="195"/>
        <v>800.61204220932757</v>
      </c>
      <c r="CD202" s="59">
        <f ca="1">AVERAGE(OFFSET($CC$3,0,0,'Données projet'!$E$12+1,1))-AVERAGE(OFFSET($H$3,0,0,'Données projet'!$E$12+1,1))</f>
        <v>448.94764480536713</v>
      </c>
      <c r="CE202" s="59">
        <f t="shared" si="207"/>
        <v>469.26760321719695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14.774146024911643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14.774146024911643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187.80389738728508</v>
      </c>
      <c r="CZ202" s="59">
        <f t="shared" si="208"/>
        <v>439.28159165815265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4.3466713322065402</v>
      </c>
      <c r="DG202" s="21">
        <f>EXP(-LN(2)/25)*DG201+(1-EXP(-LN(2)/25))/(LN(2)/25)*Calculateur!DB202*Calculateur!DD202*VLOOKUP('Données projet'!$B$13,Paramètres!$A$1:$I$89,3,0)*0.475*44/12</f>
        <v>0.13265232129942151</v>
      </c>
      <c r="DH202" s="21">
        <f>EXP(-LN(2)/2)*DH201+(1-EXP(-LN(2)/2))/(LN(2)/2)*DB202*DE202*VLOOKUP('Données projet'!$B$13,Paramètres!$A$1:$I$89,3,0)*0.475*44/12</f>
        <v>1.6436564398907605E-27</v>
      </c>
      <c r="DI202" s="22">
        <f t="shared" si="175"/>
        <v>4.4793236535059613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255.00000000000006</v>
      </c>
      <c r="DP202" s="17">
        <f>DO202*VLOOKUP('Données projet'!$B$14,Paramètres!$A$1:$I$89,3,0)*VLOOKUP('Données projet'!$B$14,Paramètres!$A$1:$I$89,5,0)</f>
        <v>186.96600000000004</v>
      </c>
      <c r="DQ202" s="13">
        <f t="shared" si="176"/>
        <v>46.868551400324648</v>
      </c>
      <c r="DR202" s="20">
        <f t="shared" si="177"/>
        <v>407.26184368889881</v>
      </c>
      <c r="DS202" s="59">
        <f t="shared" si="197"/>
        <v>700.59517702223206</v>
      </c>
      <c r="DT202" s="59">
        <f ca="1">AVERAGE(OFFSET($DS$3,0,0,'Données projet'!$E$14+1,1))-AVERAGE(OFFSET($H$3,0,0,'Données projet'!$E$14+1,1))</f>
        <v>239.25212250019609</v>
      </c>
      <c r="DU202" s="59">
        <f t="shared" si="209"/>
        <v>213.58492101729695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689</v>
      </c>
      <c r="EK202" s="17">
        <f>EJ202*VLOOKUP('Données projet'!$B$15,Paramètres!$A$1:$I$89,3,0)*VLOOKUP('Données projet'!$B$15,Paramètres!$A$1:$I$89,5,0)</f>
        <v>412.02199999999999</v>
      </c>
      <c r="EL202" s="13">
        <f t="shared" si="179"/>
        <v>94.209724877926391</v>
      </c>
      <c r="EM202" s="20">
        <f t="shared" si="180"/>
        <v>881.686920829055</v>
      </c>
      <c r="EN202" s="59">
        <f t="shared" si="198"/>
        <v>1175.0202541623883</v>
      </c>
      <c r="EO202" s="59">
        <f ca="1">AVERAGE(OFFSET($EN$3,0,0,'Données projet'!$E$15+1,1))-AVERAGE(OFFSET($H$3,0,0,'Données projet'!$E$15+1,1))</f>
        <v>504.81063008331739</v>
      </c>
      <c r="EP202" s="59">
        <f t="shared" si="210"/>
        <v>441.82647565372287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9.2715816008564129</v>
      </c>
      <c r="EW202" s="21">
        <f>EXP(-LN(2)/25)*EW201+(1-EXP(-LN(2)/25))/(LN(2)/25)*Calculateur!ER202*Calculateur!ET202*VLOOKUP('Données projet'!$B$15,Paramètres!$A$1:$I$89,3,0)*0.475*44/12</f>
        <v>0.54324957479496416</v>
      </c>
      <c r="EX202" s="21">
        <f>EXP(-LN(2)/2)*EX201+(1-EXP(-LN(2)/2))/(LN(2)/2)*ER202*EU202*VLOOKUP('Données projet'!$B$15,Paramètres!$A$1:$I$89,3,0)*0.475*44/12</f>
        <v>1.9142786593209122E-27</v>
      </c>
      <c r="EY202" s="22">
        <f t="shared" si="181"/>
        <v>9.8148311756513777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541.99999999999989</v>
      </c>
      <c r="FF202" s="17">
        <f>FE202*VLOOKUP('Données projet'!$B$16,Paramètres!$A$1:$I$89,3,0)*VLOOKUP('Données projet'!$B$16,Paramètres!$A$1:$I$89,5,0)</f>
        <v>310.02399999999994</v>
      </c>
      <c r="FG202" s="13">
        <f t="shared" si="182"/>
        <v>73.27384230442388</v>
      </c>
      <c r="FH202" s="20">
        <f t="shared" si="183"/>
        <v>667.57707534687154</v>
      </c>
      <c r="FI202" s="59">
        <f t="shared" si="199"/>
        <v>960.91040868020491</v>
      </c>
      <c r="FJ202" s="59">
        <f ca="1">AVERAGE(OFFSET($FI$3,0,0,'Données projet'!$E$16+1,1))-AVERAGE(OFFSET($H$3,0,0,'Données projet'!$E$16+1,1))</f>
        <v>393.41577134252316</v>
      </c>
      <c r="FK202" s="59">
        <f t="shared" si="211"/>
        <v>255.54039659391475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10.856601934375734</v>
      </c>
      <c r="FR202" s="21">
        <f>EXP(-LN(2)/25)*FR201+(1-EXP(-LN(2)/25))/(LN(2)/25)*Calculateur!FM202*Calculateur!FO202*VLOOKUP('Données projet'!$B$16,Paramètres!$A$1:$I$89,3,0)*0.475*44/12</f>
        <v>0.24653552737236886</v>
      </c>
      <c r="FS202" s="21">
        <f>EXP(-LN(2)/2)*FS201+(1-EXP(-LN(2)/2))/(LN(2)/2)*FM202*FP202*VLOOKUP('Données projet'!$B$16,Paramètres!$A$1:$I$89,3,0)*0.475*44/12</f>
        <v>1.3317400515534349E-26</v>
      </c>
      <c r="FT202" s="22">
        <f t="shared" si="184"/>
        <v>11.103137461748103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853.00000000000011</v>
      </c>
      <c r="GA202" s="17">
        <f>FZ202*VLOOKUP('Données projet'!$B$17,Paramètres!$A$1:$I$89,3,0)*VLOOKUP('Données projet'!$B$17,Paramètres!$A$1:$I$89,5,0)</f>
        <v>399.20400000000006</v>
      </c>
      <c r="GB202" s="13">
        <f t="shared" si="185"/>
        <v>91.615269732888521</v>
      </c>
      <c r="GC202" s="20">
        <f t="shared" si="186"/>
        <v>854.8435614514475</v>
      </c>
      <c r="GD202" s="59">
        <f t="shared" si="200"/>
        <v>1148.1768947847809</v>
      </c>
      <c r="GE202" s="59">
        <f ca="1">AVERAGE(OFFSET($GD$3,0,0,'Données projet'!$E$17+1,1))-AVERAGE(OFFSET($H$3,0,0,'Données projet'!$E$17+1,1))</f>
        <v>488.67934252295686</v>
      </c>
      <c r="GF202" s="59">
        <f t="shared" si="212"/>
        <v>424.50324471331095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13.129187110450314</v>
      </c>
      <c r="GM202" s="21">
        <f>EXP(-LN(2)/25)*GM201+(1-EXP(-LN(2)/25))/(LN(2)/25)*Calculateur!GH202*Calculateur!GJ202*VLOOKUP('Données projet'!$B$17,Paramètres!$A$1:$I$89,3,0)*0.475*44/12</f>
        <v>0.45198180018267659</v>
      </c>
      <c r="GN202" s="21">
        <f>EXP(-LN(2)/2)*GN201+(1-EXP(-LN(2)/2))/(LN(2)/2)*GH202*GK202*VLOOKUP('Données projet'!$B$17,Paramètres!$A$1:$I$89,3,0)*0.475*44/12</f>
        <v>2.9661482966417404E-26</v>
      </c>
      <c r="GO202" s="21">
        <f t="shared" si="187"/>
        <v>13.581168910632991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789</v>
      </c>
      <c r="GV202" s="17">
        <f>GU202*VLOOKUP('Données projet'!$B$18,Paramètres!$A$1:$I$89,3,0)*VLOOKUP('Données projet'!$B$18,Paramètres!$A$1:$I$89,5,0)</f>
        <v>379.50900000000001</v>
      </c>
      <c r="GW202" s="13">
        <f t="shared" si="188"/>
        <v>87.609801106074272</v>
      </c>
      <c r="GX202" s="20">
        <f t="shared" si="189"/>
        <v>813.56524525974601</v>
      </c>
      <c r="GY202" s="59">
        <f t="shared" si="201"/>
        <v>1106.8985785930793</v>
      </c>
      <c r="GZ202" s="59">
        <f ca="1">AVERAGE(OFFSET($GY$3,0,0,'Données projet'!$E$18+1,1))-AVERAGE(OFFSET($H$3,0,0,'Données projet'!$E$18+1,1))</f>
        <v>458.80976193248841</v>
      </c>
      <c r="HA202" s="59">
        <f t="shared" si="213"/>
        <v>396.07405370178759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13.294324112555458</v>
      </c>
      <c r="HH202" s="21">
        <f>EXP(-LN(2)/25)*HH201+(1-EXP(-LN(2)/25))/(LN(2)/25)*Calculateur!HC202*Calculateur!HE202*VLOOKUP('Données projet'!$B$18,Paramètres!$A$1:$I$89,3,0)*0.475*44/12</f>
        <v>0.42230622744341012</v>
      </c>
      <c r="HI202" s="21">
        <f>EXP(-LN(2)/2)*HI201+(1-EXP(-LN(2)/2))/(LN(2)/2)*HC202*HF202*VLOOKUP('Données projet'!$B$18,Paramètres!$A$1:$I$89,3,0)*0.475*44/12</f>
        <v>1.3687328307632535E-26</v>
      </c>
      <c r="HJ202" s="22">
        <f t="shared" si="190"/>
        <v>13.716630339998868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267</v>
      </c>
      <c r="O203" s="13">
        <f>N203*VLOOKUP('Données projet'!$B$9,Paramètres!$A$1:$I$89,3,0)*VLOOKUP('Données projet'!$B$9,Paramètres!$A$1:$I$89,5,0)</f>
        <v>241.58159999999998</v>
      </c>
      <c r="P203" s="13">
        <f t="shared" si="203"/>
        <v>58.779689232021951</v>
      </c>
      <c r="Q203" s="20">
        <f t="shared" si="162"/>
        <v>523.12924541243819</v>
      </c>
      <c r="R203" s="59">
        <f t="shared" si="191"/>
        <v>816.46257874577145</v>
      </c>
      <c r="S203" s="59">
        <f ca="1">AVERAGE(OFFSET($R$3,0,0,'Données projet'!$E$9+1,1))-AVERAGE(OFFSET($H$3,0,0,'Données projet'!$E$9+1,1))</f>
        <v>364.3481978218424</v>
      </c>
      <c r="T203" s="59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14.040129745549452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14.040129745549452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636.99999999999977</v>
      </c>
      <c r="AJ203" s="13">
        <f>AI203*VLOOKUP('Données projet'!$B$10,Paramètres!$A$1:$I$89,3,0)*VLOOKUP('Données projet'!$B$10,Paramètres!$A$1:$I$89,5,0)</f>
        <v>356.08299999999991</v>
      </c>
      <c r="AK203" s="13">
        <f t="shared" si="164"/>
        <v>82.813805255716545</v>
      </c>
      <c r="AL203" s="20">
        <f t="shared" si="165"/>
        <v>764.41193582037283</v>
      </c>
      <c r="AM203" s="59">
        <f t="shared" si="193"/>
        <v>1057.7452691537062</v>
      </c>
      <c r="AN203" s="59">
        <f ca="1">AVERAGE(OFFSET($AM$3,0,0,'Données projet'!$E$10+1,1))-AVERAGE(OFFSET($H$3,0,0,'Données projet'!$E$10+1,1))</f>
        <v>443.34220761968419</v>
      </c>
      <c r="AO203" s="59">
        <f t="shared" si="205"/>
        <v>546.58234447298014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6.1081637920222898</v>
      </c>
      <c r="AV203" s="21">
        <f>EXP(-LN(2)/25)*AV202+(1-EXP(-LN(2)/25))/(LN(2)/25)*Calculateur!AQ203*Calculateur!AS203*VLOOKUP('Données projet'!$B$10,Paramètres!$A$1:$I$89,3,0)*0.475*44/12</f>
        <v>0.1968698838120751</v>
      </c>
      <c r="AW203" s="21">
        <f>EXP(-LN(2)/2)*AW202+(1-EXP(-LN(2)/2))/(LN(2)/2)*AQ203*AT203*VLOOKUP('Données projet'!$B$10,Paramètres!$A$1:$I$89,3,0)*0.475*44/12</f>
        <v>1.5617678786399376E-25</v>
      </c>
      <c r="AX203" s="21">
        <f t="shared" si="166"/>
        <v>6.3050336758343652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403.99999999999989</v>
      </c>
      <c r="BE203" s="13">
        <f>BD203*VLOOKUP('Données projet'!$B$11,Paramètres!$A$1:$I$89,3,0)*VLOOKUP('Données projet'!$B$11,Paramètres!$A$1:$I$89,5,0)</f>
        <v>346.63199999999995</v>
      </c>
      <c r="BF203" s="13">
        <f t="shared" si="167"/>
        <v>80.868615263336864</v>
      </c>
      <c r="BG203" s="20">
        <f t="shared" si="168"/>
        <v>744.56357158364483</v>
      </c>
      <c r="BH203" s="59">
        <f t="shared" si="194"/>
        <v>1037.8969049169782</v>
      </c>
      <c r="BI203" s="59">
        <f ca="1">AVERAGE(OFFSET($BH$3,0,0,'Données projet'!$E$11+1,1))-AVERAGE(OFFSET($H$3,0,0,'Données projet'!$E$11+1,1))</f>
        <v>447.15627913956871</v>
      </c>
      <c r="BJ203" s="59">
        <f t="shared" si="206"/>
        <v>256.77417912163997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20.49930166471006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20.49930166471006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245.99999999999994</v>
      </c>
      <c r="BZ203" s="13">
        <f>BY203*VLOOKUP('Données projet'!$B$12,Paramètres!$A$1:$I$89,3,0)*VLOOKUP('Données projet'!$B$12,Paramètres!$A$1:$I$89,5,0)</f>
        <v>234.09359999999998</v>
      </c>
      <c r="CA203" s="13">
        <f t="shared" si="170"/>
        <v>57.166902703920208</v>
      </c>
      <c r="CB203" s="20">
        <f t="shared" si="171"/>
        <v>507.27870887599425</v>
      </c>
      <c r="CC203" s="59">
        <f t="shared" si="195"/>
        <v>800.61204220932757</v>
      </c>
      <c r="CD203" s="59">
        <f ca="1">AVERAGE(OFFSET($CC$3,0,0,'Données projet'!$E$12+1,1))-AVERAGE(OFFSET($H$3,0,0,'Données projet'!$E$12+1,1))</f>
        <v>448.94764480536713</v>
      </c>
      <c r="CE203" s="59">
        <f t="shared" si="207"/>
        <v>469.26760321719695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14.484434032702405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14.484434032702405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187.80389738728508</v>
      </c>
      <c r="CZ203" s="59">
        <f t="shared" si="208"/>
        <v>439.28159165815265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4.2614357585896974</v>
      </c>
      <c r="DG203" s="21">
        <f>EXP(-LN(2)/25)*DG202+(1-EXP(-LN(2)/25))/(LN(2)/25)*Calculateur!DB203*Calculateur!DD203*VLOOKUP('Données projet'!$B$13,Paramètres!$A$1:$I$89,3,0)*0.475*44/12</f>
        <v>0.12902493659760642</v>
      </c>
      <c r="DH203" s="21">
        <f>EXP(-LN(2)/2)*DH202+(1-EXP(-LN(2)/2))/(LN(2)/2)*DB203*DE203*VLOOKUP('Données projet'!$B$13,Paramètres!$A$1:$I$89,3,0)*0.475*44/12</f>
        <v>1.1622406145876957E-27</v>
      </c>
      <c r="DI203" s="22">
        <f t="shared" si="175"/>
        <v>4.3904606951873042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255.00000000000006</v>
      </c>
      <c r="DP203" s="17">
        <f>DO203*VLOOKUP('Données projet'!$B$14,Paramètres!$A$1:$I$89,3,0)*VLOOKUP('Données projet'!$B$14,Paramètres!$A$1:$I$89,5,0)</f>
        <v>186.96600000000004</v>
      </c>
      <c r="DQ203" s="13">
        <f t="shared" si="176"/>
        <v>46.868551400324648</v>
      </c>
      <c r="DR203" s="20">
        <f t="shared" si="177"/>
        <v>407.26184368889881</v>
      </c>
      <c r="DS203" s="59">
        <f t="shared" si="197"/>
        <v>700.59517702223206</v>
      </c>
      <c r="DT203" s="59">
        <f ca="1">AVERAGE(OFFSET($DS$3,0,0,'Données projet'!$E$14+1,1))-AVERAGE(OFFSET($H$3,0,0,'Données projet'!$E$14+1,1))</f>
        <v>239.25212250019609</v>
      </c>
      <c r="DU203" s="59">
        <f t="shared" si="209"/>
        <v>213.58492101729695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689</v>
      </c>
      <c r="EK203" s="17">
        <f>EJ203*VLOOKUP('Données projet'!$B$15,Paramètres!$A$1:$I$89,3,0)*VLOOKUP('Données projet'!$B$15,Paramètres!$A$1:$I$89,5,0)</f>
        <v>412.02199999999999</v>
      </c>
      <c r="EL203" s="13">
        <f t="shared" si="179"/>
        <v>94.209724877926391</v>
      </c>
      <c r="EM203" s="20">
        <f t="shared" si="180"/>
        <v>881.686920829055</v>
      </c>
      <c r="EN203" s="59">
        <f t="shared" si="198"/>
        <v>1175.0202541623883</v>
      </c>
      <c r="EO203" s="59">
        <f ca="1">AVERAGE(OFFSET($EN$3,0,0,'Données projet'!$E$15+1,1))-AVERAGE(OFFSET($H$3,0,0,'Données projet'!$E$15+1,1))</f>
        <v>504.81063008331739</v>
      </c>
      <c r="EP203" s="59">
        <f t="shared" si="210"/>
        <v>441.82647565372287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9.0897715407700002</v>
      </c>
      <c r="EW203" s="21">
        <f>EXP(-LN(2)/25)*EW202+(1-EXP(-LN(2)/25))/(LN(2)/25)*Calculateur!ER203*Calculateur!ET203*VLOOKUP('Données projet'!$B$15,Paramètres!$A$1:$I$89,3,0)*0.475*44/12</f>
        <v>0.52839438660394233</v>
      </c>
      <c r="EX203" s="21">
        <f>EXP(-LN(2)/2)*EX202+(1-EXP(-LN(2)/2))/(LN(2)/2)*ER203*EU203*VLOOKUP('Données projet'!$B$15,Paramètres!$A$1:$I$89,3,0)*0.475*44/12</f>
        <v>1.3535994210865099E-27</v>
      </c>
      <c r="EY203" s="22">
        <f t="shared" si="181"/>
        <v>9.6181659273739424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541.99999999999989</v>
      </c>
      <c r="FF203" s="17">
        <f>FE203*VLOOKUP('Données projet'!$B$16,Paramètres!$A$1:$I$89,3,0)*VLOOKUP('Données projet'!$B$16,Paramètres!$A$1:$I$89,5,0)</f>
        <v>310.02399999999994</v>
      </c>
      <c r="FG203" s="13">
        <f t="shared" si="182"/>
        <v>73.27384230442388</v>
      </c>
      <c r="FH203" s="20">
        <f t="shared" si="183"/>
        <v>667.57707534687154</v>
      </c>
      <c r="FI203" s="59">
        <f t="shared" si="199"/>
        <v>960.91040868020491</v>
      </c>
      <c r="FJ203" s="59">
        <f ca="1">AVERAGE(OFFSET($FI$3,0,0,'Données projet'!$E$16+1,1))-AVERAGE(OFFSET($H$3,0,0,'Données projet'!$E$16+1,1))</f>
        <v>393.41577134252316</v>
      </c>
      <c r="FK203" s="59">
        <f t="shared" si="211"/>
        <v>255.54039659391475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10.64371059231595</v>
      </c>
      <c r="FR203" s="21">
        <f>EXP(-LN(2)/25)*FR202+(1-EXP(-LN(2)/25))/(LN(2)/25)*Calculateur!FM203*Calculateur!FO203*VLOOKUP('Données projet'!$B$16,Paramètres!$A$1:$I$89,3,0)*0.475*44/12</f>
        <v>0.23979400041163151</v>
      </c>
      <c r="FS203" s="21">
        <f>EXP(-LN(2)/2)*FS202+(1-EXP(-LN(2)/2))/(LN(2)/2)*FM203*FP203*VLOOKUP('Données projet'!$B$16,Paramètres!$A$1:$I$89,3,0)*0.475*44/12</f>
        <v>9.416824212311562E-27</v>
      </c>
      <c r="FT203" s="22">
        <f t="shared" si="184"/>
        <v>10.883504592727581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853.00000000000011</v>
      </c>
      <c r="GA203" s="17">
        <f>FZ203*VLOOKUP('Données projet'!$B$17,Paramètres!$A$1:$I$89,3,0)*VLOOKUP('Données projet'!$B$17,Paramètres!$A$1:$I$89,5,0)</f>
        <v>399.20400000000006</v>
      </c>
      <c r="GB203" s="13">
        <f t="shared" si="185"/>
        <v>91.615269732888521</v>
      </c>
      <c r="GC203" s="20">
        <f t="shared" si="186"/>
        <v>854.8435614514475</v>
      </c>
      <c r="GD203" s="59">
        <f t="shared" si="200"/>
        <v>1148.1768947847809</v>
      </c>
      <c r="GE203" s="59">
        <f ca="1">AVERAGE(OFFSET($GD$3,0,0,'Données projet'!$E$17+1,1))-AVERAGE(OFFSET($H$3,0,0,'Données projet'!$E$17+1,1))</f>
        <v>488.67934252295686</v>
      </c>
      <c r="GF203" s="59">
        <f t="shared" si="212"/>
        <v>424.50324471331095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12.871731759227794</v>
      </c>
      <c r="GM203" s="21">
        <f>EXP(-LN(2)/25)*GM202+(1-EXP(-LN(2)/25))/(LN(2)/25)*Calculateur!GH203*Calculateur!GJ203*VLOOKUP('Données projet'!$B$17,Paramètres!$A$1:$I$89,3,0)*0.475*44/12</f>
        <v>0.43962233408799145</v>
      </c>
      <c r="GN203" s="21">
        <f>EXP(-LN(2)/2)*GN202+(1-EXP(-LN(2)/2))/(LN(2)/2)*GH203*GK203*VLOOKUP('Données projet'!$B$17,Paramètres!$A$1:$I$89,3,0)*0.475*44/12</f>
        <v>2.0973835745603018E-26</v>
      </c>
      <c r="GO203" s="21">
        <f t="shared" si="187"/>
        <v>13.311354093315785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789</v>
      </c>
      <c r="GV203" s="17">
        <f>GU203*VLOOKUP('Données projet'!$B$18,Paramètres!$A$1:$I$89,3,0)*VLOOKUP('Données projet'!$B$18,Paramètres!$A$1:$I$89,5,0)</f>
        <v>379.50900000000001</v>
      </c>
      <c r="GW203" s="13">
        <f t="shared" si="188"/>
        <v>87.609801106074272</v>
      </c>
      <c r="GX203" s="20">
        <f t="shared" si="189"/>
        <v>813.56524525974601</v>
      </c>
      <c r="GY203" s="59">
        <f t="shared" si="201"/>
        <v>1106.8985785930793</v>
      </c>
      <c r="GZ203" s="59">
        <f ca="1">AVERAGE(OFFSET($GY$3,0,0,'Données projet'!$E$18+1,1))-AVERAGE(OFFSET($H$3,0,0,'Données projet'!$E$18+1,1))</f>
        <v>458.80976193248841</v>
      </c>
      <c r="HA203" s="59">
        <f t="shared" si="213"/>
        <v>396.07405370178759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13.033630525445282</v>
      </c>
      <c r="HH203" s="21">
        <f>EXP(-LN(2)/25)*HH202+(1-EXP(-LN(2)/25))/(LN(2)/25)*Calculateur!HC203*Calculateur!HE203*VLOOKUP('Données projet'!$B$18,Paramètres!$A$1:$I$89,3,0)*0.475*44/12</f>
        <v>0.41075824144585077</v>
      </c>
      <c r="HI203" s="21">
        <f>EXP(-LN(2)/2)*HI202+(1-EXP(-LN(2)/2))/(LN(2)/2)*HC203*HF203*VLOOKUP('Données projet'!$B$18,Paramètres!$A$1:$I$89,3,0)*0.475*44/12</f>
        <v>9.6784026626535571E-27</v>
      </c>
      <c r="HJ203" s="22">
        <f t="shared" si="190"/>
        <v>13.444388766891134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1.2054868146447177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1.3070441688874561</v>
      </c>
      <c r="BA205" s="81">
        <f>EXP(LN('Données projet'!B88)/'Données projet'!A88)</f>
        <v>1.189207115002721</v>
      </c>
      <c r="BV205" s="81">
        <f>EXP(LN('Données projet'!B114)/'Données projet'!A114)</f>
        <v>1.522675921848786</v>
      </c>
      <c r="CQ205" s="81">
        <f>EXP(LN('Données projet'!B140)/'Données projet'!A140)</f>
        <v>1.4943820583928935</v>
      </c>
      <c r="DL205" s="81">
        <f>EXP(LN('Données projet'!B166)/'Données projet'!A166)</f>
        <v>1.6071994829923506</v>
      </c>
      <c r="EG205" s="81">
        <f>EXP(LN('Données projet'!B192)/'Données projet'!A192)</f>
        <v>1.3680212568593273</v>
      </c>
      <c r="FB205" s="81">
        <f>EXP(LN('Données projet'!B218)/'Données projet'!A218)</f>
        <v>1.2907749310619425</v>
      </c>
      <c r="FW205" s="81">
        <f>EXP(LN('Données projet'!B244)/'Données projet'!A244)</f>
        <v>1.3370253457396568</v>
      </c>
      <c r="GR205" s="81">
        <f>EXP(LN('Données projet'!B270)/'Données projet'!A270)</f>
        <v>1.282970348825361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8.7542000000000009</v>
      </c>
      <c r="C6" s="145">
        <f ca="1">IF(OR('Données projet'!B9="",'Données projet'!C9="",'Données projet'!C9=0%),0,Calculateur!S3)</f>
        <v>364.3481978218424</v>
      </c>
      <c r="D6" s="145">
        <f>IF(OR('Données projet'!B9="",'Données projet'!C9="",'Données projet'!C9=0%),0,Calculateur!T3)</f>
        <v>231.36959598460686</v>
      </c>
      <c r="E6" s="145">
        <f ca="1">MIN(C6,D6)</f>
        <v>231.36959598460686</v>
      </c>
      <c r="F6" s="145">
        <f ca="1">E6*B6</f>
        <v>2025.4557171684455</v>
      </c>
      <c r="G6" s="145">
        <f ca="1">F6*(100%-'Données projet'!$C$24)*(100%-'Données projet'!$C$25)*(100%-'Données projet'!$C$26)*(100%-'Données projet'!$C$27)</f>
        <v>1822.910145451601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63.467950000000009</v>
      </c>
      <c r="K6" s="149">
        <f>J6*(100%-'Données projet'!$C$24)*(100%-'Données projet'!$C$25)*(100%-'Données projet'!$C$26)*(100%-'Données projet'!$C$27)</f>
        <v>57.121155000000009</v>
      </c>
      <c r="L6" s="150">
        <f ca="1">G6+I6+K6</f>
        <v>1880.0313004516011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Douglas</v>
      </c>
      <c r="B7" s="152">
        <f>'Données projet'!D10</f>
        <v>3.8399570354457566</v>
      </c>
      <c r="C7" s="145">
        <f ca="1">IF(OR('Données projet'!B10="",'Données projet'!C10="",'Données projet'!C10=0%),0,Calculateur!AN3)</f>
        <v>443.34220761968419</v>
      </c>
      <c r="D7" s="145">
        <f>IF(OR('Données projet'!B10="",'Données projet'!C10="",'Données projet'!C10=0%),0,Calculateur!AO3)</f>
        <v>546.58234447298014</v>
      </c>
      <c r="E7" s="145">
        <f t="shared" ref="E7:E15" ca="1" si="0">MIN(C7,D7)</f>
        <v>443.34220761968419</v>
      </c>
      <c r="F7" s="145">
        <f t="shared" ref="F7:F15" ca="1" si="1">E7*B7</f>
        <v>1702.4150292592597</v>
      </c>
      <c r="G7" s="145">
        <f ca="1">F7*(100%-'Données projet'!$C$24)*(100%-'Données projet'!$C$25)*(100%-'Données projet'!$C$26)*(100%-'Données projet'!$C$27)</f>
        <v>1532.1735263333337</v>
      </c>
      <c r="H7" s="153">
        <f>IF(OR('Données projet'!B10="",'Données projet'!C10="",'Données projet'!C10=0%),0,AVERAGE(Calculateur!$AX$3:$AX$33)*B7)</f>
        <v>15.364859626836356</v>
      </c>
      <c r="I7" s="147">
        <f>H7*(100%-'Données projet'!$C$24)*(100%-'Données projet'!$C$25)*(100%-'Données projet'!$C$26)*(100%-'Données projet'!$C$27)</f>
        <v>13.828373664152721</v>
      </c>
      <c r="J7" s="148">
        <f>IF(OR('Données projet'!B10="",'Données projet'!C10="",'Données projet'!C10=0%),0,SUM(Calculateur!$AQ$3:$AQ$33)*VLOOKUP('Données projet'!$B$10,Paramètres!$A$1:$I$89,9,0)*B7)</f>
        <v>178.32760472610093</v>
      </c>
      <c r="K7" s="149">
        <f>J7*(100%-'Données projet'!$C$24)*(100%-'Données projet'!$C$25)*(100%-'Données projet'!$C$26)*(100%-'Données projet'!$C$27)</f>
        <v>160.49484425349084</v>
      </c>
      <c r="L7" s="150">
        <f t="shared" ref="L7:L15" ca="1" si="2">G7+I7+K7</f>
        <v>1706.4967442509771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Hêtre</v>
      </c>
      <c r="B8" s="152">
        <f>'Données projet'!D11</f>
        <v>2.9323308270676693</v>
      </c>
      <c r="C8" s="145">
        <f ca="1">IF(OR('Données projet'!B11="",'Données projet'!C11="",'Données projet'!C11=0%),0,Calculateur!BI3)</f>
        <v>447.15627913956871</v>
      </c>
      <c r="D8" s="145">
        <f>IF(OR('Données projet'!B11="",'Données projet'!C11="",'Données projet'!C11=0%),0,Calculateur!BJ3)</f>
        <v>256.77417912163997</v>
      </c>
      <c r="E8" s="145">
        <f t="shared" ca="1" si="0"/>
        <v>256.77417912163997</v>
      </c>
      <c r="F8" s="145">
        <f t="shared" ca="1" si="1"/>
        <v>752.94684103338045</v>
      </c>
      <c r="G8" s="145">
        <f ca="1">F8*(100%-'Données projet'!$C$24)*(100%-'Données projet'!$C$25)*(100%-'Données projet'!$C$26)*(100%-'Données projet'!$C$27)</f>
        <v>677.65215693004245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25.657894736842106</v>
      </c>
      <c r="K8" s="149">
        <f>J8*(100%-'Données projet'!$C$24)*(100%-'Données projet'!$C$25)*(100%-'Données projet'!$C$26)*(100%-'Données projet'!$C$27)</f>
        <v>23.092105263157897</v>
      </c>
      <c r="L8" s="150">
        <f t="shared" ca="1" si="2"/>
        <v>700.74426219320037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Charme</v>
      </c>
      <c r="B9" s="152">
        <f>'Données projet'!D12</f>
        <v>2.9323308270676693</v>
      </c>
      <c r="C9" s="145">
        <f ca="1">IF(OR('Données projet'!B12="",'Données projet'!C12="",'Données projet'!C12=0%),0,Calculateur!CD3)</f>
        <v>448.94764480536713</v>
      </c>
      <c r="D9" s="145">
        <f>IF(OR('Données projet'!B12="",'Données projet'!C12="",'Données projet'!C12=0%),0,Calculateur!CE3)</f>
        <v>469.26760321719695</v>
      </c>
      <c r="E9" s="145">
        <f t="shared" ca="1" si="0"/>
        <v>448.94764480536713</v>
      </c>
      <c r="F9" s="145">
        <f t="shared" ca="1" si="1"/>
        <v>1316.4630186022046</v>
      </c>
      <c r="G9" s="145">
        <f ca="1">F9*(100%-'Données projet'!$C$24)*(100%-'Données projet'!$C$25)*(100%-'Données projet'!$C$26)*(100%-'Données projet'!$C$27)</f>
        <v>1184.8167167419842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75.507518796992485</v>
      </c>
      <c r="K9" s="149">
        <f>J9*(100%-'Données projet'!$C$24)*(100%-'Données projet'!$C$25)*(100%-'Données projet'!$C$26)*(100%-'Données projet'!$C$27)</f>
        <v>67.956766917293237</v>
      </c>
      <c r="L9" s="150">
        <f t="shared" ca="1" si="2"/>
        <v>1252.7734836592774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Pin maritime</v>
      </c>
      <c r="B10" s="152">
        <f>'Données projet'!D13</f>
        <v>2.7926960257787323</v>
      </c>
      <c r="C10" s="145">
        <f ca="1">IF(OR('Données projet'!B13="",'Données projet'!C13="",'Données projet'!C13=0%),0,Calculateur!CY3)</f>
        <v>187.80389738728508</v>
      </c>
      <c r="D10" s="145">
        <f>IF(OR('Données projet'!B13="",'Données projet'!C13="",'Données projet'!C13=0%),0,Calculateur!CZ3)</f>
        <v>439.28159165815265</v>
      </c>
      <c r="E10" s="145">
        <f t="shared" ca="1" si="0"/>
        <v>187.80389738728508</v>
      </c>
      <c r="F10" s="145">
        <f t="shared" ca="1" si="1"/>
        <v>524.47919785922784</v>
      </c>
      <c r="G10" s="145">
        <f ca="1">F10*(100%-'Données projet'!$C$24)*(100%-'Données projet'!$C$25)*(100%-'Données projet'!$C$26)*(100%-'Données projet'!$C$27)</f>
        <v>472.03127807330509</v>
      </c>
      <c r="H10" s="153">
        <f>IF(OR('Données projet'!B13="",'Données projet'!C13="",'Données projet'!C13=0%),0,AVERAGE(Calculateur!$DI$3:$DI$33)*B10)</f>
        <v>48.220734071616683</v>
      </c>
      <c r="I10" s="147">
        <f>H10*(100%-'Données projet'!$C$24)*(100%-'Données projet'!$C$25)*(100%-'Données projet'!$C$26)*(100%-'Données projet'!$C$27)</f>
        <v>43.398660664455015</v>
      </c>
      <c r="J10" s="148">
        <f>IF(OR('Données projet'!B13="",'Données projet'!C13="",'Données projet'!C13=0%),0,SUM(Calculateur!$DB$3:$DB$33)*VLOOKUP('Données projet'!$B$13,Paramètres!$A$1:$I$89,9,0)*B10)</f>
        <v>728.27926960257776</v>
      </c>
      <c r="K10" s="149">
        <f>J10*(100%-'Données projet'!$C$24)*(100%-'Données projet'!$C$25)*(100%-'Données projet'!$C$26)*(100%-'Données projet'!$C$27)</f>
        <v>655.45134264232001</v>
      </c>
      <c r="L10" s="150">
        <f t="shared" ca="1" si="2"/>
        <v>1170.8812813800801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Châtaignier</v>
      </c>
      <c r="B11" s="152">
        <f>'Données projet'!D14</f>
        <v>2.4436090225563909</v>
      </c>
      <c r="C11" s="145">
        <f ca="1">IF(OR('Données projet'!B14="",'Données projet'!C14="",'Données projet'!C14=0%),0,Calculateur!DT3)</f>
        <v>239.25212250019609</v>
      </c>
      <c r="D11" s="145">
        <f>IF(OR('Données projet'!B14="",'Données projet'!C14="",'Données projet'!C14=0%),0,Calculateur!DU3)</f>
        <v>213.58492101729695</v>
      </c>
      <c r="E11" s="145">
        <f t="shared" ca="1" si="0"/>
        <v>213.58492101729695</v>
      </c>
      <c r="F11" s="145">
        <f t="shared" ca="1" si="1"/>
        <v>521.91804007986093</v>
      </c>
      <c r="G11" s="145">
        <f ca="1">F11*(100%-'Données projet'!$C$24)*(100%-'Données projet'!$C$25)*(100%-'Données projet'!$C$26)*(100%-'Données projet'!$C$27)</f>
        <v>469.72623607187484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113.62781954887218</v>
      </c>
      <c r="K11" s="149">
        <f>J11*(100%-'Données projet'!$C$24)*(100%-'Données projet'!$C$25)*(100%-'Données projet'!$C$26)*(100%-'Données projet'!$C$27)</f>
        <v>102.26503759398497</v>
      </c>
      <c r="L11" s="150">
        <f t="shared" ca="1" si="2"/>
        <v>571.99127366585981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Pin noir d'Autriche</v>
      </c>
      <c r="B12" s="152">
        <f>'Données projet'!D15</f>
        <v>0.97744360902255634</v>
      </c>
      <c r="C12" s="145">
        <f ca="1">IF(OR('Données projet'!B15="",'Données projet'!C15="",'Données projet'!C15=0%),0,Calculateur!EO3)</f>
        <v>504.81063008331739</v>
      </c>
      <c r="D12" s="145">
        <f>IF(OR('Données projet'!B15="",'Données projet'!C15="",'Données projet'!C15=0%),0,Calculateur!EP3)</f>
        <v>441.82647565372287</v>
      </c>
      <c r="E12" s="145">
        <f t="shared" ca="1" si="0"/>
        <v>441.82647565372287</v>
      </c>
      <c r="F12" s="145">
        <f t="shared" ca="1" si="1"/>
        <v>431.86046492469148</v>
      </c>
      <c r="G12" s="145">
        <f ca="1">F12*(100%-'Données projet'!$C$24)*(100%-'Données projet'!$C$25)*(100%-'Données projet'!$C$26)*(100%-'Données projet'!$C$27)</f>
        <v>388.67441843222235</v>
      </c>
      <c r="H12" s="153">
        <f>IF(OR('Données projet'!B15="",'Données projet'!C15="",'Données projet'!C15=0%),0,AVERAGE(Calculateur!$EY$3:$EY$33)*B12)</f>
        <v>12.47105051625819</v>
      </c>
      <c r="I12" s="147">
        <f>H12*(100%-'Données projet'!$C$24)*(100%-'Données projet'!$C$25)*(100%-'Données projet'!$C$26)*(100%-'Données projet'!$C$27)</f>
        <v>11.22394546463237</v>
      </c>
      <c r="J12" s="148">
        <f>IF(OR('Données projet'!B15="",'Données projet'!C15="",'Données projet'!C15=0%),0,SUM(Calculateur!$ER$3:$ER$33)*VLOOKUP('Données projet'!$B$15,Paramètres!$A$1:$I$89,9,0)*B12)</f>
        <v>85.321052631578937</v>
      </c>
      <c r="K12" s="149">
        <f>J12*(100%-'Données projet'!$C$24)*(100%-'Données projet'!$C$25)*(100%-'Données projet'!$C$26)*(100%-'Données projet'!$C$27)</f>
        <v>76.788947368421049</v>
      </c>
      <c r="L12" s="150">
        <f t="shared" ca="1" si="2"/>
        <v>476.68731126527575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Pin sylvestre</v>
      </c>
      <c r="B13" s="152">
        <f>'Données projet'!D16</f>
        <v>0.55853920515574651</v>
      </c>
      <c r="C13" s="145">
        <f ca="1">IF(OR('Données projet'!B16="",'Données projet'!C16="",'Données projet'!C16=0%),0,Calculateur!FJ3)</f>
        <v>393.41577134252316</v>
      </c>
      <c r="D13" s="145">
        <f>IF(OR('Données projet'!B16="",'Données projet'!C16="",'Données projet'!C16=0%),0,Calculateur!FK3)</f>
        <v>255.54039659391475</v>
      </c>
      <c r="E13" s="145">
        <f t="shared" ca="1" si="0"/>
        <v>255.54039659391475</v>
      </c>
      <c r="F13" s="145">
        <f t="shared" ca="1" si="1"/>
        <v>142.72932999874936</v>
      </c>
      <c r="G13" s="145">
        <f ca="1">F13*(100%-'Données projet'!$C$24)*(100%-'Données projet'!$C$25)*(100%-'Données projet'!$C$26)*(100%-'Données projet'!$C$27)</f>
        <v>128.45639699887442</v>
      </c>
      <c r="H13" s="153">
        <f>IF(OR('Données projet'!B16="",'Données projet'!C16="",'Données projet'!C16=0%),0,AVERAGE(Calculateur!$FT$3:$FT$33)*B13)</f>
        <v>2.4010863614336628</v>
      </c>
      <c r="I13" s="147">
        <f>H13*(100%-'Données projet'!$C$24)*(100%-'Données projet'!$C$25)*(100%-'Données projet'!$C$26)*(100%-'Données projet'!$C$27)</f>
        <v>2.1609777252902966</v>
      </c>
      <c r="J13" s="148">
        <f>IF(OR('Données projet'!C16="",'Données projet'!C16=0%),0,SUM(Calculateur!$FM$3:$FM$33)*VLOOKUP('Données projet'!$B$16,Paramètres!$A$1:$I$89,9,0)*B13)</f>
        <v>24.49752953813104</v>
      </c>
      <c r="K13" s="149">
        <f>J13*(100%-'Données projet'!$C$24)*(100%-'Données projet'!$C$25)*(100%-'Données projet'!$C$26)*(100%-'Données projet'!$C$27)</f>
        <v>22.047776584317937</v>
      </c>
      <c r="L13" s="150">
        <f t="shared" ca="1" si="2"/>
        <v>152.66515130848268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>Cèdre de l'Atlas</v>
      </c>
      <c r="B14" s="152">
        <f>'Données projet'!D17</f>
        <v>0.41890440386680994</v>
      </c>
      <c r="C14" s="145">
        <f ca="1">IF(OR('Données projet'!B17="",'Données projet'!C17="",'Données projet'!C17=0%),0,Calculateur!GE3)</f>
        <v>488.67934252295686</v>
      </c>
      <c r="D14" s="145">
        <f>IF(OR('Données projet'!B17="",'Données projet'!C17="",'Données projet'!C17=0%),0,Calculateur!GF3)</f>
        <v>424.50324471331095</v>
      </c>
      <c r="E14" s="145">
        <f t="shared" ca="1" si="0"/>
        <v>424.50324471331095</v>
      </c>
      <c r="F14" s="145">
        <f t="shared" ca="1" si="1"/>
        <v>177.82627866615607</v>
      </c>
      <c r="G14" s="145">
        <f ca="1">F14*(100%-'Données projet'!$C$24)*(100%-'Données projet'!$C$25)*(100%-'Données projet'!$C$26)*(100%-'Données projet'!$C$27)</f>
        <v>160.04365079954047</v>
      </c>
      <c r="H14" s="153">
        <f>IF(OR('Données projet'!B17="",'Données projet'!C17="",'Données projet'!C17=0%),0,AVERAGE(Calculateur!$GO$3:$GO$33)*B14)</f>
        <v>3.5086858224185691</v>
      </c>
      <c r="I14" s="147">
        <f>H14*(100%-'Données projet'!$C$24)*(100%-'Données projet'!$C$25)*(100%-'Données projet'!$C$26)*(100%-'Données projet'!$C$27)</f>
        <v>3.1578172401767124</v>
      </c>
      <c r="J14" s="148">
        <f>IF(OR('Données projet'!B17="",'Données projet'!C17="",'Données projet'!C17=0%),0,SUM(Calculateur!$GH$3:$GH$33)*VLOOKUP('Données projet'!$B$17,Paramètres!$A$1:$I$89,9,0)*B14)</f>
        <v>36.566165413533838</v>
      </c>
      <c r="K14" s="149">
        <f>J14*(100%-'Données projet'!$C$24)*(100%-'Données projet'!$C$25)*(100%-'Données projet'!$C$26)*(100%-'Données projet'!$C$27)</f>
        <v>32.909548872180459</v>
      </c>
      <c r="L14" s="150">
        <f t="shared" ca="1" si="2"/>
        <v>196.11101691189765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>Sapin de Nordmann</v>
      </c>
      <c r="B15" s="155">
        <f>'Données projet'!D18</f>
        <v>0.34908700322234154</v>
      </c>
      <c r="C15" s="156">
        <f ca="1">IF(OR('Données projet'!B18="",'Données projet'!C18="",'Données projet'!C18=0%),0,Calculateur!GZ3)</f>
        <v>458.80976193248841</v>
      </c>
      <c r="D15" s="156">
        <f>IF(OR('Données projet'!B18="",'Données projet'!C18="",'Données projet'!C18=0%),0,Calculateur!HA3)</f>
        <v>396.07405370178759</v>
      </c>
      <c r="E15" s="156">
        <f t="shared" ca="1" si="0"/>
        <v>396.07405370178759</v>
      </c>
      <c r="F15" s="157">
        <f t="shared" ca="1" si="1"/>
        <v>138.26430446088179</v>
      </c>
      <c r="G15" s="157">
        <f ca="1">F15*(100%-'Données projet'!$C$24)*(100%-'Données projet'!$C$25)*(100%-'Données projet'!$C$26)*(100%-'Données projet'!$C$27)</f>
        <v>124.43787401479361</v>
      </c>
      <c r="H15" s="158">
        <f>IF(OR('Données projet'!B18="",'Données projet'!C18="",'Données projet'!C18=0%),0,AVERAGE(Calculateur!$HJ$3:$HJ$33)*B15)</f>
        <v>2.2702970537711926</v>
      </c>
      <c r="I15" s="159">
        <f>H15*(100%-'Données projet'!$C$24)*(100%-'Données projet'!$C$25)*(100%-'Données projet'!$C$26)*(100%-'Données projet'!$C$27)</f>
        <v>2.0432673483940733</v>
      </c>
      <c r="J15" s="160">
        <f>IF(OR('Données projet'!B18="",'Données projet'!C18="",'Données projet'!C18=0%),0,SUM(Calculateur!$HC$3:$HC$33)*VLOOKUP('Données projet'!$B$18,Paramètres!$A$1:$I$89,9,0)*B15)</f>
        <v>24.317400644468311</v>
      </c>
      <c r="K15" s="161">
        <f>J15*(100%-'Données projet'!$C$24)*(100%-'Données projet'!$C$25)*(100%-'Données projet'!$C$26)*(100%-'Données projet'!$C$27)</f>
        <v>21.885660580021479</v>
      </c>
      <c r="L15" s="162">
        <f t="shared" ca="1" si="2"/>
        <v>148.36680194320917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7734.3582220528588</v>
      </c>
      <c r="G16" s="164">
        <f t="shared" ca="1" si="3"/>
        <v>6960.9223998475727</v>
      </c>
      <c r="H16" s="165">
        <f t="shared" si="3"/>
        <v>84.236713452334641</v>
      </c>
      <c r="I16" s="165">
        <f t="shared" si="3"/>
        <v>75.813042107101182</v>
      </c>
      <c r="J16" s="166">
        <f t="shared" si="3"/>
        <v>1355.5702056390974</v>
      </c>
      <c r="K16" s="166">
        <f t="shared" si="3"/>
        <v>1220.0131850751879</v>
      </c>
      <c r="L16" s="167">
        <f t="shared" ca="1" si="3"/>
        <v>8256.7486270298596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Pin maritime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Pin noir d'Autriche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Pin sylvestre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>Cèdre de l'Atlas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>Sapin de Nordmann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3" zoomScale="90" zoomScaleNormal="90" workbookViewId="0">
      <selection activeCell="S34" sqref="S3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-2859.7950137120833</v>
      </c>
      <c r="U10" s="176">
        <f>'Données projet'!D9</f>
        <v>8.7542000000000009</v>
      </c>
      <c r="V10" s="175">
        <f>U10*T10</f>
        <v>-25035.217509038321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Douglas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-1782.2699916262184</v>
      </c>
      <c r="U11" s="176">
        <f>'Données projet'!D10</f>
        <v>3.8399570354457566</v>
      </c>
      <c r="V11" s="175">
        <f t="shared" ref="V11" si="0">U11*T11</f>
        <v>-6843.840193408947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Hêtre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-1798.9835100577593</v>
      </c>
      <c r="U12" s="176">
        <f>'Données projet'!D11</f>
        <v>2.9323308270676693</v>
      </c>
      <c r="V12" s="175">
        <f t="shared" ref="V12:V19" si="1">U12*T12</f>
        <v>-5275.2148039287686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Charme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-1463.3353783928289</v>
      </c>
      <c r="U13" s="176">
        <f>'Données projet'!D12</f>
        <v>2.9323308270676693</v>
      </c>
      <c r="V13" s="175">
        <f t="shared" si="1"/>
        <v>-4290.9834404000248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Pin maritime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1805.7061175740459</v>
      </c>
      <c r="U14" s="176">
        <f>'Données projet'!D13</f>
        <v>2.7926960257787323</v>
      </c>
      <c r="V14" s="175">
        <f t="shared" si="1"/>
        <v>5042.7882982733827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Châtaignier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-1838.3703892245037</v>
      </c>
      <c r="U15" s="176">
        <f>'Données projet'!D14</f>
        <v>2.4436090225563909</v>
      </c>
      <c r="V15" s="175">
        <f t="shared" si="1"/>
        <v>-4492.2584699095014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>Pin noir d'Autriche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-962.97385079799551</v>
      </c>
      <c r="U16" s="176">
        <f>'Données projet'!D15</f>
        <v>0.97744360902255634</v>
      </c>
      <c r="V16" s="175">
        <f t="shared" si="1"/>
        <v>-941.25263611834146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2967.29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Pin sylvestre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-1395.1074281391027</v>
      </c>
      <c r="U17" s="176">
        <f>'Données projet'!D16</f>
        <v>0.55853920515574651</v>
      </c>
      <c r="V17" s="175">
        <f t="shared" si="1"/>
        <v>-779.22219401969221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>Cèdre de l'Atlas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-2679.4724273721545</v>
      </c>
      <c r="U18" s="176">
        <f>'Données projet'!D17</f>
        <v>0.41890440386680994</v>
      </c>
      <c r="V18" s="175">
        <f t="shared" si="1"/>
        <v>-1122.4427998658866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>Sapin de Nordmann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-1506.6585714705461</v>
      </c>
      <c r="U19" s="176">
        <f>'Données projet'!D18</f>
        <v>0.34908700322234154</v>
      </c>
      <c r="V19" s="175">
        <f t="shared" si="1"/>
        <v>-525.95492559390709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5465.82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20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-186374.91867401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8</v>
      </c>
      <c r="C24" s="191">
        <v>13</v>
      </c>
      <c r="D24" s="180">
        <f t="shared" ref="D24:D42" si="2">B24*C24</f>
        <v>104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21</v>
      </c>
      <c r="C25" s="191">
        <v>13</v>
      </c>
      <c r="D25" s="180">
        <f t="shared" si="2"/>
        <v>273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-186374.91867401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21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21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21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21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21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21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65</v>
      </c>
      <c r="B32" s="179">
        <f>'Données projet'!D45</f>
        <v>21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70</v>
      </c>
      <c r="B33" s="179">
        <f>'Données projet'!D46</f>
        <v>21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75</v>
      </c>
      <c r="B34" s="179">
        <f>'Données projet'!D47</f>
        <v>21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80</v>
      </c>
      <c r="B35" s="179">
        <f>'Données projet'!D48</f>
        <v>21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85</v>
      </c>
      <c r="B36" s="179">
        <f>'Données projet'!D49</f>
        <v>21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90</v>
      </c>
      <c r="B37" s="179">
        <f>'Données projet'!D50</f>
        <v>21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95</v>
      </c>
      <c r="B38" s="179">
        <f>'Données projet'!D51</f>
        <v>21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100</v>
      </c>
      <c r="B39" s="179">
        <f>'Données projet'!D52</f>
        <v>21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105</v>
      </c>
      <c r="B40" s="179">
        <f>'Données projet'!D53</f>
        <v>20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110</v>
      </c>
      <c r="B41" s="179">
        <f>'Données projet'!D54</f>
        <v>19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115</v>
      </c>
      <c r="B42" s="179">
        <f>'Données projet'!D55</f>
        <v>18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Douglas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1926.45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19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54</v>
      </c>
      <c r="C55" s="189">
        <v>10</v>
      </c>
      <c r="D55" s="177">
        <f t="shared" ref="D55:D73" si="4">B55*C55</f>
        <v>540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54</v>
      </c>
      <c r="C56" s="189">
        <v>10</v>
      </c>
      <c r="D56" s="177">
        <f t="shared" si="4"/>
        <v>540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69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72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66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48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35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29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Hêtre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1926.45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25</v>
      </c>
      <c r="B86" s="179">
        <f>'Données projet'!D89</f>
        <v>7</v>
      </c>
      <c r="C86" s="189">
        <v>13</v>
      </c>
      <c r="D86" s="177">
        <f t="shared" ref="D86:D104" si="6">B86*C86</f>
        <v>91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28</v>
      </c>
      <c r="C87" s="189">
        <v>13</v>
      </c>
      <c r="D87" s="177">
        <f t="shared" si="6"/>
        <v>364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28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40</v>
      </c>
      <c r="B89" s="179">
        <f>'Données projet'!D92</f>
        <v>28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45</v>
      </c>
      <c r="B90" s="179">
        <f>'Données projet'!D93</f>
        <v>28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50</v>
      </c>
      <c r="B91" s="179">
        <f>'Données projet'!D94</f>
        <v>28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55</v>
      </c>
      <c r="B92" s="179">
        <f>'Données projet'!D95</f>
        <v>28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60</v>
      </c>
      <c r="B93" s="179">
        <f>'Données projet'!D96</f>
        <v>28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65</v>
      </c>
      <c r="B94" s="179">
        <f>'Données projet'!D97</f>
        <v>28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70</v>
      </c>
      <c r="B95" s="179">
        <f>'Données projet'!D98</f>
        <v>28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75</v>
      </c>
      <c r="B96" s="179">
        <f>'Données projet'!D99</f>
        <v>28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80</v>
      </c>
      <c r="B97" s="179">
        <f>'Données projet'!D100</f>
        <v>28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85</v>
      </c>
      <c r="B98" s="179">
        <f>'Données projet'!D101</f>
        <v>27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90</v>
      </c>
      <c r="B99" s="179">
        <f>'Données projet'!D102</f>
        <v>26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95</v>
      </c>
      <c r="B100" s="179">
        <f>'Données projet'!D103</f>
        <v>25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100</v>
      </c>
      <c r="B101" s="179">
        <f>'Données projet'!D104</f>
        <v>24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105</v>
      </c>
      <c r="B102" s="179">
        <f>'Données projet'!D105</f>
        <v>23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110</v>
      </c>
      <c r="B103" s="179">
        <f>'Données projet'!D106</f>
        <v>22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115</v>
      </c>
      <c r="B104" s="179">
        <f>'Données projet'!D107</f>
        <v>22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Charme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1989.48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10</v>
      </c>
      <c r="C116" s="189">
        <v>13</v>
      </c>
      <c r="D116" s="177">
        <f>B116*C116</f>
        <v>130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17</v>
      </c>
      <c r="C117" s="189">
        <v>13</v>
      </c>
      <c r="D117" s="177">
        <f t="shared" ref="D117:D135" si="8">B117*C117</f>
        <v>221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22</v>
      </c>
      <c r="C118" s="189">
        <v>13</v>
      </c>
      <c r="D118" s="177">
        <f t="shared" si="8"/>
        <v>286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26</v>
      </c>
      <c r="C119" s="189">
        <v>13</v>
      </c>
      <c r="D119" s="177">
        <f t="shared" si="8"/>
        <v>338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28</v>
      </c>
      <c r="C120" s="189">
        <v>13</v>
      </c>
      <c r="D120" s="177">
        <f t="shared" si="8"/>
        <v>364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29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30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30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30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30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29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29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28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27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26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85</v>
      </c>
      <c r="B131" s="179">
        <f>'Données projet'!D129</f>
        <v>25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90</v>
      </c>
      <c r="B132" s="179">
        <f>'Données projet'!D130</f>
        <v>24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95</v>
      </c>
      <c r="B133" s="179">
        <f>'Données projet'!D131</f>
        <v>23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100</v>
      </c>
      <c r="B134" s="179">
        <f>'Données projet'!D132</f>
        <v>22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105</v>
      </c>
      <c r="B135" s="179">
        <f>'Données projet'!D133</f>
        <v>21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Pin maritime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1642.86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11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12</v>
      </c>
      <c r="B148" s="173">
        <f>'Données projet'!D141</f>
        <v>34</v>
      </c>
      <c r="C148" s="189">
        <v>10</v>
      </c>
      <c r="D148" s="180">
        <f t="shared" ref="D148:D166" si="10">B148*C148</f>
        <v>340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13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14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15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16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17</v>
      </c>
      <c r="B153" s="173">
        <f>'Données projet'!D146</f>
        <v>43</v>
      </c>
      <c r="C153" s="189">
        <v>15</v>
      </c>
      <c r="D153" s="180">
        <f t="shared" si="10"/>
        <v>645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18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19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20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21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22</v>
      </c>
      <c r="B158" s="173">
        <f>'Données projet'!D151</f>
        <v>56</v>
      </c>
      <c r="C158" s="189">
        <v>22</v>
      </c>
      <c r="D158" s="180">
        <f t="shared" si="10"/>
        <v>1232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23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24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25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26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27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28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29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30</v>
      </c>
      <c r="B166" s="173">
        <f>'Données projet'!D159</f>
        <v>309</v>
      </c>
      <c r="C166" s="189">
        <v>30</v>
      </c>
      <c r="D166" s="180">
        <f t="shared" si="10"/>
        <v>9270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Châtaignier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2808.76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15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18</v>
      </c>
      <c r="B180" s="179">
        <f>'Données projet'!D168</f>
        <v>94</v>
      </c>
      <c r="C180" s="191">
        <v>13</v>
      </c>
      <c r="D180" s="177">
        <f t="shared" si="11"/>
        <v>1222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22</v>
      </c>
      <c r="B181" s="179">
        <f>'Données projet'!D169</f>
        <v>54</v>
      </c>
      <c r="C181" s="191">
        <v>13</v>
      </c>
      <c r="D181" s="177">
        <f t="shared" si="11"/>
        <v>702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27</v>
      </c>
      <c r="B182" s="179">
        <f>'Données projet'!D170</f>
        <v>38</v>
      </c>
      <c r="C182" s="191">
        <v>13</v>
      </c>
      <c r="D182" s="177">
        <f t="shared" si="11"/>
        <v>494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35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45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Pin noir d'Autriche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1674.37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15</v>
      </c>
      <c r="B209" s="179">
        <f>'Données projet'!D192</f>
        <v>14</v>
      </c>
      <c r="C209" s="191">
        <v>10</v>
      </c>
      <c r="D209" s="177">
        <f>B209*C209</f>
        <v>140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20</v>
      </c>
      <c r="B210" s="179">
        <f>'Données projet'!D193</f>
        <v>63</v>
      </c>
      <c r="C210" s="191">
        <v>10</v>
      </c>
      <c r="D210" s="177">
        <f t="shared" ref="D210:D228" si="12">B210*C210</f>
        <v>630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25</v>
      </c>
      <c r="B211" s="179">
        <f>'Données projet'!D194</f>
        <v>63</v>
      </c>
      <c r="C211" s="191">
        <v>10</v>
      </c>
      <c r="D211" s="177">
        <f t="shared" si="12"/>
        <v>630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30</v>
      </c>
      <c r="B212" s="179">
        <f>'Données projet'!D195</f>
        <v>63</v>
      </c>
      <c r="C212" s="191">
        <v>10</v>
      </c>
      <c r="D212" s="177">
        <f t="shared" si="12"/>
        <v>630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35</v>
      </c>
      <c r="B213" s="179">
        <f>'Données projet'!D196</f>
        <v>63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40</v>
      </c>
      <c r="B214" s="179">
        <f>'Données projet'!D197</f>
        <v>63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45</v>
      </c>
      <c r="B215" s="179">
        <f>'Données projet'!D198</f>
        <v>60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50</v>
      </c>
      <c r="B216" s="179">
        <f>'Données projet'!D199</f>
        <v>53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55</v>
      </c>
      <c r="B217" s="179">
        <f>'Données projet'!D200</f>
        <v>45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60</v>
      </c>
      <c r="B218" s="179">
        <f>'Données projet'!D201</f>
        <v>39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65</v>
      </c>
      <c r="B219" s="179">
        <f>'Données projet'!D202</f>
        <v>34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70</v>
      </c>
      <c r="B220" s="179">
        <f>'Données projet'!D203</f>
        <v>31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75</v>
      </c>
      <c r="B221" s="179">
        <f>'Données projet'!D204</f>
        <v>30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80</v>
      </c>
      <c r="B222" s="179">
        <f>'Données projet'!D205</f>
        <v>29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Pin sylvestre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1721.63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15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20</v>
      </c>
      <c r="B241" s="179">
        <f>'Données projet'!D219</f>
        <v>18</v>
      </c>
      <c r="C241" s="191">
        <v>10</v>
      </c>
      <c r="D241" s="177">
        <f t="shared" ref="D241:D259" si="13">B241*C241</f>
        <v>180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25</v>
      </c>
      <c r="B242" s="179">
        <f>'Données projet'!D220</f>
        <v>42</v>
      </c>
      <c r="C242" s="191">
        <v>10</v>
      </c>
      <c r="D242" s="177">
        <f t="shared" si="13"/>
        <v>420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30</v>
      </c>
      <c r="B243" s="179">
        <f>'Données projet'!D221</f>
        <v>42</v>
      </c>
      <c r="C243" s="191">
        <v>10</v>
      </c>
      <c r="D243" s="177">
        <f t="shared" si="13"/>
        <v>420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35</v>
      </c>
      <c r="B244" s="179">
        <f>'Données projet'!D222</f>
        <v>42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40</v>
      </c>
      <c r="B245" s="179">
        <f>'Données projet'!D223</f>
        <v>42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45</v>
      </c>
      <c r="B246" s="179">
        <f>'Données projet'!D224</f>
        <v>42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50</v>
      </c>
      <c r="B247" s="179">
        <f>'Données projet'!D225</f>
        <v>42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55</v>
      </c>
      <c r="B248" s="179">
        <f>'Données projet'!D226</f>
        <v>42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60</v>
      </c>
      <c r="B249" s="179">
        <f>'Données projet'!D227</f>
        <v>40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65</v>
      </c>
      <c r="B250" s="179">
        <f>'Données projet'!D228</f>
        <v>37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70</v>
      </c>
      <c r="B251" s="179">
        <f>'Données projet'!D229</f>
        <v>33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75</v>
      </c>
      <c r="B252" s="179">
        <f>'Données projet'!D230</f>
        <v>30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80</v>
      </c>
      <c r="B253" s="179">
        <f>'Données projet'!D231</f>
        <v>26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85</v>
      </c>
      <c r="B254" s="179">
        <f>'Données projet'!D232</f>
        <v>23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90</v>
      </c>
      <c r="B255" s="179">
        <f>'Données projet'!D233</f>
        <v>20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95</v>
      </c>
      <c r="B256" s="179">
        <f>'Données projet'!D234</f>
        <v>17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100</v>
      </c>
      <c r="B257" s="179">
        <f>'Données projet'!D235</f>
        <v>15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Cèdre de l'Atlas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3344.44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15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20</v>
      </c>
      <c r="B272" s="179">
        <f>'Données projet'!D245</f>
        <v>49</v>
      </c>
      <c r="C272" s="191">
        <v>10</v>
      </c>
      <c r="D272" s="177">
        <f t="shared" ref="D272:D290" si="14">B272*C272</f>
        <v>490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25</v>
      </c>
      <c r="B273" s="179">
        <f>'Données projet'!D246</f>
        <v>77</v>
      </c>
      <c r="C273" s="191">
        <v>10</v>
      </c>
      <c r="D273" s="177">
        <f t="shared" si="14"/>
        <v>770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30</v>
      </c>
      <c r="B274" s="179">
        <f>'Données projet'!D247</f>
        <v>77</v>
      </c>
      <c r="C274" s="191">
        <v>10</v>
      </c>
      <c r="D274" s="177">
        <f t="shared" si="14"/>
        <v>770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35</v>
      </c>
      <c r="B275" s="179">
        <f>'Données projet'!D248</f>
        <v>77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40</v>
      </c>
      <c r="B276" s="179">
        <f>'Données projet'!D249</f>
        <v>77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45</v>
      </c>
      <c r="B277" s="179">
        <f>'Données projet'!D250</f>
        <v>77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50</v>
      </c>
      <c r="B278" s="179">
        <f>'Données projet'!D251</f>
        <v>76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55</v>
      </c>
      <c r="B279" s="179">
        <f>'Données projet'!D252</f>
        <v>66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60</v>
      </c>
      <c r="B280" s="179">
        <f>'Données projet'!D253</f>
        <v>60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65</v>
      </c>
      <c r="B281" s="179">
        <f>'Données projet'!D254</f>
        <v>56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70</v>
      </c>
      <c r="B282" s="179">
        <f>'Données projet'!D255</f>
        <v>53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75</v>
      </c>
      <c r="B283" s="179">
        <f>'Données projet'!D256</f>
        <v>50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80</v>
      </c>
      <c r="B284" s="179">
        <f>'Données projet'!D257</f>
        <v>48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>Sapin de Nordmann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1926.47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15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20</v>
      </c>
      <c r="B303" s="179">
        <f>'Données projet'!D271</f>
        <v>22</v>
      </c>
      <c r="C303" s="189">
        <v>10</v>
      </c>
      <c r="D303" s="180">
        <f t="shared" ref="D303:D321" si="15">B303*C303</f>
        <v>220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25</v>
      </c>
      <c r="B304" s="179">
        <f>'Données projet'!D272</f>
        <v>70</v>
      </c>
      <c r="C304" s="189">
        <v>10</v>
      </c>
      <c r="D304" s="180">
        <f t="shared" si="15"/>
        <v>700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30</v>
      </c>
      <c r="B305" s="179">
        <f>'Données projet'!D273</f>
        <v>70</v>
      </c>
      <c r="C305" s="189">
        <v>10</v>
      </c>
      <c r="D305" s="180">
        <f t="shared" si="15"/>
        <v>700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35</v>
      </c>
      <c r="B306" s="179">
        <f>'Données projet'!D274</f>
        <v>70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40</v>
      </c>
      <c r="B307" s="179">
        <f>'Données projet'!D275</f>
        <v>70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45</v>
      </c>
      <c r="B308" s="179">
        <f>'Données projet'!D276</f>
        <v>70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50</v>
      </c>
      <c r="B309" s="179">
        <f>'Données projet'!D277</f>
        <v>70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55</v>
      </c>
      <c r="B310" s="179">
        <f>'Données projet'!D278</f>
        <v>68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60</v>
      </c>
      <c r="B311" s="179">
        <f>'Données projet'!D279</f>
        <v>60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65</v>
      </c>
      <c r="B312" s="179">
        <f>'Données projet'!D280</f>
        <v>56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70</v>
      </c>
      <c r="B313" s="179">
        <f>'Données projet'!D281</f>
        <v>54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75</v>
      </c>
      <c r="B314" s="179">
        <f>'Données projet'!D282</f>
        <v>52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80</v>
      </c>
      <c r="B315" s="179">
        <f>'Données projet'!D283</f>
        <v>51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2023-07-18T08:00:08Z</dcterms:modified>
</cp:coreProperties>
</file>