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Teréga\Saint-Pardon-de-Conques\Montage\"/>
    </mc:Choice>
  </mc:AlternateContent>
  <bookViews>
    <workbookView xWindow="0" yWindow="0" windowWidth="23040" windowHeight="7365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<sst xmlns="http://schemas.openxmlformats.org/spreadsheetml/2006/main" count="1170" uniqueCount="324">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</sst>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2.0703332205472811</c:v>
                </c:pt>
                <c:pt idx="2">
                  <c:v>3.2312268892770528</c:v>
                </c:pt>
                <c:pt idx="3">
                  <c:v>5.0461836196591845</c:v>
                </c:pt>
                <c:pt idx="4">
                  <c:v>7.8853581939146267</c:v>
                </c:pt>
                <c:pt idx="5">
                  <c:v>12.329253421121036</c:v>
                </c:pt>
                <c:pt idx="6">
                  <c:v>19.288707888490986</c:v>
                </c:pt>
                <c:pt idx="7">
                  <c:v>50.34361284528881</c:v>
                </c:pt>
                <c:pt idx="8">
                  <c:v>81.977990575782101</c:v>
                </c:pt>
                <c:pt idx="9">
                  <c:v>114.41113969011224</c:v>
                </c:pt>
                <c:pt idx="10">
                  <c:v>148.83130663476479</c:v>
                </c:pt>
                <c:pt idx="11">
                  <c:v>177.55061600794588</c:v>
                </c:pt>
                <c:pt idx="12">
                  <c:v>207.25922872395259</c:v>
                </c:pt>
                <c:pt idx="13">
                  <c:v>233.5837311632458</c:v>
                </c:pt>
                <c:pt idx="14">
                  <c:v>258.74769419360268</c:v>
                </c:pt>
                <c:pt idx="15">
                  <c:v>278.40234905498409</c:v>
                </c:pt>
                <c:pt idx="16">
                  <c:v>295.84694717617253</c:v>
                </c:pt>
                <c:pt idx="17">
                  <c:v>314.35673738028549</c:v>
                </c:pt>
                <c:pt idx="18">
                  <c:v>327.40783481230579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81200"/>
        <c:axId val="1334976848"/>
      </c:scatterChart>
      <c:valAx>
        <c:axId val="1334981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6848"/>
        <c:crosses val="autoZero"/>
        <c:crossBetween val="midCat"/>
      </c:valAx>
      <c:valAx>
        <c:axId val="1334976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1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054720"/>
        <c:axId val="1094050368"/>
      </c:scatterChart>
      <c:valAx>
        <c:axId val="1094054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4050368"/>
        <c:crosses val="autoZero"/>
        <c:crossBetween val="midCat"/>
      </c:valAx>
      <c:valAx>
        <c:axId val="109405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94054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76304"/>
        <c:axId val="1334973040"/>
      </c:scatterChart>
      <c:valAx>
        <c:axId val="1334976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3040"/>
        <c:crosses val="autoZero"/>
        <c:crossBetween val="midCat"/>
      </c:valAx>
      <c:valAx>
        <c:axId val="1334973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84464"/>
        <c:axId val="1334974128"/>
      </c:scatterChart>
      <c:valAx>
        <c:axId val="133498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4128"/>
        <c:crosses val="autoZero"/>
        <c:crossBetween val="midCat"/>
      </c:valAx>
      <c:valAx>
        <c:axId val="1334974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75216"/>
        <c:axId val="1334985552"/>
      </c:scatterChart>
      <c:valAx>
        <c:axId val="1334975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5552"/>
        <c:crosses val="autoZero"/>
        <c:crossBetween val="midCat"/>
      </c:valAx>
      <c:valAx>
        <c:axId val="133498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5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85008"/>
        <c:axId val="1334982288"/>
      </c:scatterChart>
      <c:valAx>
        <c:axId val="1334985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2288"/>
        <c:crosses val="autoZero"/>
        <c:crossBetween val="midCat"/>
      </c:valAx>
      <c:valAx>
        <c:axId val="133498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80656"/>
        <c:axId val="1334971408"/>
      </c:scatterChart>
      <c:valAx>
        <c:axId val="1334980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1408"/>
        <c:crosses val="autoZero"/>
        <c:crossBetween val="midCat"/>
      </c:valAx>
      <c:valAx>
        <c:axId val="1334971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0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77392"/>
        <c:axId val="1334977936"/>
      </c:scatterChart>
      <c:valAx>
        <c:axId val="1334977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7936"/>
        <c:crosses val="autoZero"/>
        <c:crossBetween val="midCat"/>
      </c:valAx>
      <c:valAx>
        <c:axId val="133497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7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81744"/>
        <c:axId val="1334979024"/>
      </c:scatterChart>
      <c:valAx>
        <c:axId val="1334981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9024"/>
        <c:crosses val="autoZero"/>
        <c:crossBetween val="midCat"/>
      </c:valAx>
      <c:valAx>
        <c:axId val="133497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1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4979568"/>
        <c:axId val="1334983376"/>
      </c:scatterChart>
      <c:valAx>
        <c:axId val="1334979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83376"/>
        <c:crosses val="autoZero"/>
        <c:crossBetween val="midCat"/>
      </c:valAx>
      <c:valAx>
        <c:axId val="133498337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34979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"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1.1299999999999999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1</v>
      </c>
      <c r="D9" s="36">
        <f t="shared" ref="D9:D18" si="0">C9*$C$5</f>
        <v>1.1299999999999999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1.1299999999999999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6</v>
      </c>
      <c r="B36" s="63">
        <v>16</v>
      </c>
      <c r="C36" s="63"/>
      <c r="D36" s="63"/>
      <c r="E36" s="54"/>
      <c r="F36" s="54"/>
      <c r="G36" s="54"/>
      <c r="H36" s="54"/>
      <c r="I36" s="52">
        <f>IFERROR(B36/A36,"")</f>
        <v>2.6666666666666665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7</v>
      </c>
      <c r="B37" s="63">
        <v>43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8</v>
      </c>
      <c r="B38" s="63">
        <v>71</v>
      </c>
      <c r="C38" s="63"/>
      <c r="D38" s="63"/>
      <c r="E38" s="54"/>
      <c r="F38" s="54"/>
      <c r="G38" s="54"/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9</v>
      </c>
      <c r="B39" s="63">
        <v>100</v>
      </c>
      <c r="C39" s="63"/>
      <c r="D39" s="63"/>
      <c r="E39" s="54"/>
      <c r="F39" s="54"/>
      <c r="G39" s="54"/>
      <c r="H39" s="54"/>
      <c r="I39" s="52">
        <f t="shared" si="1"/>
        <v>29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10</v>
      </c>
      <c r="B40" s="63">
        <v>131</v>
      </c>
      <c r="C40" s="63"/>
      <c r="D40" s="63"/>
      <c r="E40" s="54"/>
      <c r="F40" s="54"/>
      <c r="G40" s="54"/>
      <c r="H40" s="54"/>
      <c r="I40" s="52">
        <f t="shared" si="1"/>
        <v>31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11</v>
      </c>
      <c r="B41" s="63">
        <v>157</v>
      </c>
      <c r="C41" s="63"/>
      <c r="D41" s="63"/>
      <c r="E41" s="54"/>
      <c r="F41" s="54"/>
      <c r="G41" s="54"/>
      <c r="H41" s="54"/>
      <c r="I41" s="56">
        <f t="shared" si="1"/>
        <v>26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12</v>
      </c>
      <c r="B42" s="63">
        <v>184</v>
      </c>
      <c r="C42" s="63"/>
      <c r="D42" s="63"/>
      <c r="E42" s="54"/>
      <c r="F42" s="54"/>
      <c r="G42" s="54"/>
      <c r="H42" s="54"/>
      <c r="I42" s="56">
        <f t="shared" si="1"/>
        <v>27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13</v>
      </c>
      <c r="B43" s="63">
        <v>208</v>
      </c>
      <c r="C43" s="63"/>
      <c r="D43" s="63"/>
      <c r="E43" s="54"/>
      <c r="F43" s="54"/>
      <c r="G43" s="54"/>
      <c r="H43" s="54"/>
      <c r="I43" s="52">
        <f t="shared" si="1"/>
        <v>24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14</v>
      </c>
      <c r="B44" s="63">
        <v>231</v>
      </c>
      <c r="C44" s="63"/>
      <c r="D44" s="63"/>
      <c r="E44" s="54"/>
      <c r="F44" s="54"/>
      <c r="G44" s="54"/>
      <c r="H44" s="54"/>
      <c r="I44" s="52">
        <f t="shared" si="1"/>
        <v>23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15</v>
      </c>
      <c r="B45" s="63">
        <v>249</v>
      </c>
      <c r="C45" s="63"/>
      <c r="D45" s="63"/>
      <c r="E45" s="54"/>
      <c r="F45" s="54"/>
      <c r="G45" s="54"/>
      <c r="H45" s="54"/>
      <c r="I45" s="52">
        <f t="shared" si="1"/>
        <v>18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16</v>
      </c>
      <c r="B46" s="63">
        <v>265</v>
      </c>
      <c r="C46" s="63"/>
      <c r="D46" s="63"/>
      <c r="E46" s="54"/>
      <c r="F46" s="54"/>
      <c r="G46" s="54"/>
      <c r="H46" s="54"/>
      <c r="I46" s="52">
        <f t="shared" si="1"/>
        <v>16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17</v>
      </c>
      <c r="B47" s="63">
        <v>282</v>
      </c>
      <c r="C47" s="63"/>
      <c r="D47" s="63"/>
      <c r="E47" s="54"/>
      <c r="F47" s="54"/>
      <c r="G47" s="54"/>
      <c r="H47" s="54"/>
      <c r="I47" s="52">
        <f t="shared" si="1"/>
        <v>17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18</v>
      </c>
      <c r="B48" s="63">
        <v>294</v>
      </c>
      <c r="C48" s="63">
        <v>1</v>
      </c>
      <c r="D48" s="63">
        <f>B48</f>
        <v>294</v>
      </c>
      <c r="E48" s="54">
        <v>0.77</v>
      </c>
      <c r="F48" s="54"/>
      <c r="G48" s="54">
        <v>0.11</v>
      </c>
      <c r="H48" s="54">
        <v>0.12</v>
      </c>
      <c r="I48" s="52">
        <f t="shared" si="1"/>
        <v>12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139.27336115755156</v>
      </c>
      <c r="T3" s="62">
        <f>IF('Données projet'!E9&gt;30,$R$33-$H$33,LOOKUP('Données projet'!$E$9,$A$3:$A$203,R3:R203)-LOOKUP('Données projet'!$E$9,$A$3:$A$203,$H$3:$H$203))</f>
        <v>355.84385467097547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2.6666666666666665</v>
      </c>
      <c r="N4" s="14">
        <f>IF('Données projet'!$A$36&gt;35,N3+M4-V3,IF(A4&lt;'Données projet'!$A$36,$K$205^A4,IF(A4='Données projet'!$A$36,'Données projet'!$B$36,N3+M4-V3)))</f>
        <v>1.5874010519681994</v>
      </c>
      <c r="O4" s="14">
        <f>N4*VLOOKUP('Données projet'!$B$9,Paramètres!$A$1:$I$89,3,0)*VLOOKUP('Données projet'!$B$9,Paramètres!$A$1:$I$89,5,0)</f>
        <v>0.80728867898894763</v>
      </c>
      <c r="P4" s="14">
        <f>EXP(-1.0587+0.8836*LN(O4)+0.284)</f>
        <v>0.38141939022480248</v>
      </c>
      <c r="Q4" s="22">
        <f t="shared" ref="Q4:Q34" si="2">(O4+P4)*0.475*44/12</f>
        <v>2.0703332205472811</v>
      </c>
      <c r="R4" s="62">
        <f t="shared" si="0"/>
        <v>169.88276717347111</v>
      </c>
      <c r="S4" s="62">
        <f ca="1">AVERAGE(OFFSET($R$3,0,0,'Données projet'!$E$9+1,1))-AVERAGE(OFFSET($H$3,0,0,'Données projet'!$E$9+1,1))</f>
        <v>139.27336115755156</v>
      </c>
      <c r="T4" s="62">
        <f>$T$3</f>
        <v>355.84385467097547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2.6666666666666665</v>
      </c>
      <c r="N5" s="14">
        <f>IF('Données projet'!$A$36&gt;35,N4+M5-V4,IF(A5&lt;'Données projet'!$A$36,$K$205^A5,IF(A5='Données projet'!$A$36,'Données projet'!$B$36,N4+M5-V4)))</f>
        <v>2.5198420997897459</v>
      </c>
      <c r="O5" s="14">
        <f>N5*VLOOKUP('Données projet'!$B$9,Paramètres!$A$1:$I$89,3,0)*VLOOKUP('Données projet'!$B$9,Paramètres!$A$1:$I$89,5,0)</f>
        <v>1.2814908982690734</v>
      </c>
      <c r="P5" s="14">
        <f t="shared" ref="P5:P68" si="33">EXP(-1.0587+0.8836*LN(O5)+0.284)</f>
        <v>0.57375899031105282</v>
      </c>
      <c r="Q5" s="22">
        <f t="shared" si="2"/>
        <v>3.2312268892770528</v>
      </c>
      <c r="R5" s="62">
        <f t="shared" si="0"/>
        <v>173.82850817677789</v>
      </c>
      <c r="S5" s="62">
        <f ca="1">AVERAGE(OFFSET($R$3,0,0,'Données projet'!$E$9+1,1))-AVERAGE(OFFSET($H$3,0,0,'Données projet'!$E$9+1,1))</f>
        <v>139.27336115755156</v>
      </c>
      <c r="T5" s="62">
        <f t="shared" ref="T5:T68" si="34">$T$3</f>
        <v>355.84385467097547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2.6666666666666665</v>
      </c>
      <c r="N6" s="14">
        <f>IF('Données projet'!$A$36&gt;35,N5+M6-V5,IF(A6&lt;'Données projet'!$A$36,$K$205^A6,IF(A6='Données projet'!$A$36,'Données projet'!$B$36,N5+M6-V5)))</f>
        <v>3.9999999999999991</v>
      </c>
      <c r="O6" s="14">
        <f>N6*VLOOKUP('Données projet'!$B$9,Paramètres!$A$1:$I$89,3,0)*VLOOKUP('Données projet'!$B$9,Paramètres!$A$1:$I$89,5,0)</f>
        <v>2.0342399999999996</v>
      </c>
      <c r="P6" s="14">
        <f t="shared" si="33"/>
        <v>0.86309030793828789</v>
      </c>
      <c r="Q6" s="22">
        <f t="shared" si="2"/>
        <v>5.0461836196591845</v>
      </c>
      <c r="R6" s="62">
        <f t="shared" si="0"/>
        <v>178.40120418954407</v>
      </c>
      <c r="S6" s="62">
        <f ca="1">AVERAGE(OFFSET($R$3,0,0,'Données projet'!$E$9+1,1))-AVERAGE(OFFSET($H$3,0,0,'Données projet'!$E$9+1,1))</f>
        <v>139.27336115755156</v>
      </c>
      <c r="T6" s="62">
        <f t="shared" si="34"/>
        <v>355.84385467097547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2.6666666666666665</v>
      </c>
      <c r="N7" s="14">
        <f>IF('Données projet'!$A$36&gt;35,N6+M7-V6,IF(A7&lt;'Données projet'!$A$36,$K$205^A7,IF(A7='Données projet'!$A$36,'Données projet'!$B$36,N6+M7-V6)))</f>
        <v>6.3496042078727957</v>
      </c>
      <c r="O7" s="14">
        <f>N7*VLOOKUP('Données projet'!$B$9,Paramètres!$A$1:$I$89,3,0)*VLOOKUP('Données projet'!$B$9,Paramètres!$A$1:$I$89,5,0)</f>
        <v>3.2291547159557892</v>
      </c>
      <c r="P7" s="14">
        <f t="shared" si="33"/>
        <v>1.2983236728947141</v>
      </c>
      <c r="Q7" s="22">
        <f t="shared" si="2"/>
        <v>7.8853581939146267</v>
      </c>
      <c r="R7" s="62">
        <f t="shared" si="0"/>
        <v>183.97148025809156</v>
      </c>
      <c r="S7" s="62">
        <f ca="1">AVERAGE(OFFSET($R$3,0,0,'Données projet'!$E$9+1,1))-AVERAGE(OFFSET($H$3,0,0,'Données projet'!$E$9+1,1))</f>
        <v>139.27336115755156</v>
      </c>
      <c r="T7" s="62">
        <f t="shared" si="34"/>
        <v>355.84385467097547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2.6666666666666665</v>
      </c>
      <c r="N8" s="14">
        <f>IF('Données projet'!$A$36&gt;35,N7+M8-V7,IF(A8&lt;'Données projet'!$A$36,$K$205^A8,IF(A8='Données projet'!$A$36,'Données projet'!$B$36,N7+M8-V7)))</f>
        <v>10.07936839915898</v>
      </c>
      <c r="O8" s="14">
        <f>N8*VLOOKUP('Données projet'!$B$9,Paramètres!$A$1:$I$89,3,0)*VLOOKUP('Données projet'!$B$9,Paramètres!$A$1:$I$89,5,0)</f>
        <v>5.1259635930762917</v>
      </c>
      <c r="P8" s="14">
        <f t="shared" si="33"/>
        <v>1.9530335865147339</v>
      </c>
      <c r="Q8" s="22">
        <f t="shared" si="2"/>
        <v>12.329253421121036</v>
      </c>
      <c r="R8" s="62">
        <f t="shared" si="0"/>
        <v>191.12030129756837</v>
      </c>
      <c r="S8" s="62">
        <f ca="1">AVERAGE(OFFSET($R$3,0,0,'Données projet'!$E$9+1,1))-AVERAGE(OFFSET($H$3,0,0,'Données projet'!$E$9+1,1))</f>
        <v>139.27336115755156</v>
      </c>
      <c r="T8" s="62">
        <f t="shared" si="34"/>
        <v>355.84385467097547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16</v>
      </c>
      <c r="L9" s="13">
        <f>VLOOKUP(A9,'Données projet'!$A$35:$I$55,9,0)</f>
        <v>2.6666666666666665</v>
      </c>
      <c r="M9" s="13">
        <f t="array" ref="M9">INDEX(L:L,MIN(IF(ISNUMBER(L9:L205),ROW(L9:L205),"")))</f>
        <v>2.6666666666666665</v>
      </c>
      <c r="N9" s="14">
        <f>IF('Données projet'!$A$36&gt;35,N8+M9-V8,IF(A9&lt;'Données projet'!$A$36,$K$205^A9,IF(A9='Données projet'!$A$36,'Données projet'!$B$36,N8+M9-V8)))</f>
        <v>16</v>
      </c>
      <c r="O9" s="14">
        <f>N9*VLOOKUP('Données projet'!$B$9,Paramètres!$A$1:$I$89,3,0)*VLOOKUP('Données projet'!$B$9,Paramètres!$A$1:$I$89,5,0)</f>
        <v>8.1369600000000002</v>
      </c>
      <c r="P9" s="14">
        <f t="shared" si="33"/>
        <v>2.9378962039182688</v>
      </c>
      <c r="Q9" s="22">
        <f t="shared" si="2"/>
        <v>19.288707888490986</v>
      </c>
      <c r="R9" s="62">
        <f t="shared" si="0"/>
        <v>200.75895998474996</v>
      </c>
      <c r="S9" s="62">
        <f ca="1">AVERAGE(OFFSET($R$3,0,0,'Données projet'!$E$9+1,1))-AVERAGE(OFFSET($H$3,0,0,'Données projet'!$E$9+1,1))</f>
        <v>139.27336115755156</v>
      </c>
      <c r="T9" s="62">
        <f t="shared" si="34"/>
        <v>355.84385467097547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43</v>
      </c>
      <c r="L10" s="13">
        <f>VLOOKUP(A10,'Données projet'!$A$35:$I$55,9,0)</f>
        <v>27</v>
      </c>
      <c r="M10" s="13">
        <f t="array" ref="M10">INDEX(L:L,MIN(IF(ISNUMBER(L10:L206),ROW(L10:L206),"")))</f>
        <v>27</v>
      </c>
      <c r="N10" s="14">
        <f>IF('Données projet'!$A$36&gt;35,N9+M10-V9,IF(A10&lt;'Données projet'!$A$36,$K$205^A10,IF(A10='Données projet'!$A$36,'Données projet'!$B$36,N9+M10-V9)))</f>
        <v>43</v>
      </c>
      <c r="O10" s="14">
        <f>N10*VLOOKUP('Données projet'!$B$9,Paramètres!$A$1:$I$89,3,0)*VLOOKUP('Données projet'!$B$9,Paramètres!$A$1:$I$89,5,0)</f>
        <v>21.868080000000003</v>
      </c>
      <c r="P10" s="14">
        <f t="shared" si="33"/>
        <v>7.0373436432280201</v>
      </c>
      <c r="Q10" s="22">
        <f t="shared" si="2"/>
        <v>50.34361284528881</v>
      </c>
      <c r="R10" s="62">
        <f t="shared" si="0"/>
        <v>234.46779378102505</v>
      </c>
      <c r="S10" s="62">
        <f ca="1">AVERAGE(OFFSET($R$3,0,0,'Données projet'!$E$9+1,1))-AVERAGE(OFFSET($H$3,0,0,'Données projet'!$E$9+1,1))</f>
        <v>139.27336115755156</v>
      </c>
      <c r="T10" s="62">
        <f t="shared" si="34"/>
        <v>355.84385467097547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71</v>
      </c>
      <c r="L11" s="13">
        <f>VLOOKUP(A11,'Données projet'!$A$35:$I$55,9,0)</f>
        <v>28</v>
      </c>
      <c r="M11" s="13">
        <f t="array" ref="M11">INDEX(L:L,MIN(IF(ISNUMBER(L11:L207),ROW(L11:L207),"")))</f>
        <v>28</v>
      </c>
      <c r="N11" s="14">
        <f>IF('Données projet'!$A$36&gt;35,N10+M11-V10,IF(A11&lt;'Données projet'!$A$36,$K$205^A11,IF(A11='Données projet'!$A$36,'Données projet'!$B$36,N10+M11-V10)))</f>
        <v>71</v>
      </c>
      <c r="O11" s="14">
        <f>N11*VLOOKUP('Données projet'!$B$9,Paramètres!$A$1:$I$89,3,0)*VLOOKUP('Données projet'!$B$9,Paramètres!$A$1:$I$89,5,0)</f>
        <v>36.107759999999999</v>
      </c>
      <c r="P11" s="14">
        <f t="shared" si="33"/>
        <v>10.960942722937094</v>
      </c>
      <c r="Q11" s="22">
        <f t="shared" si="2"/>
        <v>81.977990575782101</v>
      </c>
      <c r="R11" s="62">
        <f t="shared" si="0"/>
        <v>268.73126344200267</v>
      </c>
      <c r="S11" s="62">
        <f ca="1">AVERAGE(OFFSET($R$3,0,0,'Données projet'!$E$9+1,1))-AVERAGE(OFFSET($H$3,0,0,'Données projet'!$E$9+1,1))</f>
        <v>139.27336115755156</v>
      </c>
      <c r="T11" s="62">
        <f t="shared" si="34"/>
        <v>355.84385467097547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100</v>
      </c>
      <c r="L12" s="13">
        <f>VLOOKUP(A12,'Données projet'!$A$35:$I$55,9,0)</f>
        <v>29</v>
      </c>
      <c r="M12" s="13">
        <f t="array" ref="M12">INDEX(L:L,MIN(IF(ISNUMBER(L12:L208),ROW(L12:L208),"")))</f>
        <v>29</v>
      </c>
      <c r="N12" s="14">
        <f>IF('Données projet'!$A$36&gt;35,N11+M12-V11,IF(A12&lt;'Données projet'!$A$36,$K$205^A12,IF(A12='Données projet'!$A$36,'Données projet'!$B$36,N11+M12-V11)))</f>
        <v>100</v>
      </c>
      <c r="O12" s="14">
        <f>N12*VLOOKUP('Données projet'!$B$9,Paramètres!$A$1:$I$89,3,0)*VLOOKUP('Données projet'!$B$9,Paramètres!$A$1:$I$89,5,0)</f>
        <v>50.856000000000002</v>
      </c>
      <c r="P12" s="14">
        <f t="shared" si="33"/>
        <v>14.83460652063861</v>
      </c>
      <c r="Q12" s="22">
        <f t="shared" si="2"/>
        <v>114.41113969011224</v>
      </c>
      <c r="R12" s="62">
        <f t="shared" si="0"/>
        <v>303.76909844266834</v>
      </c>
      <c r="S12" s="62">
        <f ca="1">AVERAGE(OFFSET($R$3,0,0,'Données projet'!$E$9+1,1))-AVERAGE(OFFSET($H$3,0,0,'Données projet'!$E$9+1,1))</f>
        <v>139.27336115755156</v>
      </c>
      <c r="T12" s="62">
        <f t="shared" si="34"/>
        <v>355.84385467097547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131</v>
      </c>
      <c r="L13" s="13">
        <f>VLOOKUP(A13,'Données projet'!$A$35:$I$55,9,0)</f>
        <v>31</v>
      </c>
      <c r="M13" s="13">
        <f t="array" ref="M13">INDEX(L:L,MIN(IF(ISNUMBER(L13:L209),ROW(L13:L209),"")))</f>
        <v>31</v>
      </c>
      <c r="N13" s="14">
        <f>IF('Données projet'!$A$36&gt;35,N12+M13-V12,IF(A13&lt;'Données projet'!$A$36,$K$205^A13,IF(A13='Données projet'!$A$36,'Données projet'!$B$36,N12+M13-V12)))</f>
        <v>131</v>
      </c>
      <c r="O13" s="14">
        <f>N13*VLOOKUP('Données projet'!$B$9,Paramètres!$A$1:$I$89,3,0)*VLOOKUP('Données projet'!$B$9,Paramètres!$A$1:$I$89,5,0)</f>
        <v>66.62136000000001</v>
      </c>
      <c r="P13" s="14">
        <f t="shared" si="33"/>
        <v>18.832021799864954</v>
      </c>
      <c r="Q13" s="22">
        <f t="shared" si="2"/>
        <v>148.83130663476479</v>
      </c>
      <c r="R13" s="62">
        <f t="shared" si="0"/>
        <v>340.76996861980967</v>
      </c>
      <c r="S13" s="62">
        <f ca="1">AVERAGE(OFFSET($R$3,0,0,'Données projet'!$E$9+1,1))-AVERAGE(OFFSET($H$3,0,0,'Données projet'!$E$9+1,1))</f>
        <v>139.27336115755156</v>
      </c>
      <c r="T13" s="62">
        <f t="shared" si="34"/>
        <v>355.84385467097547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157</v>
      </c>
      <c r="L14" s="13">
        <f>VLOOKUP(A14,'Données projet'!$A$35:$I$55,9,0)</f>
        <v>26</v>
      </c>
      <c r="M14" s="13">
        <f t="array" ref="M14">INDEX(L:L,MIN(IF(ISNUMBER(L14:L210),ROW(L14:L210),"")))</f>
        <v>26</v>
      </c>
      <c r="N14" s="14">
        <f>IF('Données projet'!$A$36&gt;35,N13+M14-V13,IF(A14&lt;'Données projet'!$A$36,$K$205^A14,IF(A14='Données projet'!$A$36,'Données projet'!$B$36,N13+M14-V13)))</f>
        <v>157</v>
      </c>
      <c r="O14" s="14">
        <f>N14*VLOOKUP('Données projet'!$B$9,Paramètres!$A$1:$I$89,3,0)*VLOOKUP('Données projet'!$B$9,Paramètres!$A$1:$I$89,5,0)</f>
        <v>79.843920000000011</v>
      </c>
      <c r="P14" s="14">
        <f t="shared" si="33"/>
        <v>22.099017420830169</v>
      </c>
      <c r="Q14" s="22">
        <f t="shared" si="2"/>
        <v>177.55061600794588</v>
      </c>
      <c r="R14" s="62">
        <f t="shared" si="0"/>
        <v>372.04641461706001</v>
      </c>
      <c r="S14" s="62">
        <f ca="1">AVERAGE(OFFSET($R$3,0,0,'Données projet'!$E$9+1,1))-AVERAGE(OFFSET($H$3,0,0,'Données projet'!$E$9+1,1))</f>
        <v>139.27336115755156</v>
      </c>
      <c r="T14" s="62">
        <f t="shared" si="34"/>
        <v>355.84385467097547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184</v>
      </c>
      <c r="L15" s="13">
        <f>VLOOKUP(A15,'Données projet'!$A$35:$I$55,9,0)</f>
        <v>27</v>
      </c>
      <c r="M15" s="13">
        <f t="array" ref="M15">INDEX(L:L,MIN(IF(ISNUMBER(L15:L211),ROW(L15:L211),"")))</f>
        <v>27</v>
      </c>
      <c r="N15" s="14">
        <f>IF('Données projet'!$A$36&gt;35,N14+M15-V14,IF(A15&lt;'Données projet'!$A$36,$K$205^A15,IF(A15='Données projet'!$A$36,'Données projet'!$B$36,N14+M15-V14)))</f>
        <v>184</v>
      </c>
      <c r="O15" s="14">
        <f>N15*VLOOKUP('Données projet'!$B$9,Paramètres!$A$1:$I$89,3,0)*VLOOKUP('Données projet'!$B$9,Paramètres!$A$1:$I$89,5,0)</f>
        <v>93.575040000000001</v>
      </c>
      <c r="P15" s="14">
        <f t="shared" si="33"/>
        <v>25.425474099877103</v>
      </c>
      <c r="Q15" s="22">
        <f t="shared" si="2"/>
        <v>207.25922872395259</v>
      </c>
      <c r="R15" s="62">
        <f t="shared" si="0"/>
        <v>404.28900617668546</v>
      </c>
      <c r="S15" s="62">
        <f ca="1">AVERAGE(OFFSET($R$3,0,0,'Données projet'!$E$9+1,1))-AVERAGE(OFFSET($H$3,0,0,'Données projet'!$E$9+1,1))</f>
        <v>139.27336115755156</v>
      </c>
      <c r="T15" s="62">
        <f t="shared" si="34"/>
        <v>355.84385467097547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208</v>
      </c>
      <c r="L16" s="13">
        <f>VLOOKUP(A16,'Données projet'!$A$35:$I$55,9,0)</f>
        <v>24</v>
      </c>
      <c r="M16" s="13">
        <f t="array" ref="M16">INDEX(L:L,MIN(IF(ISNUMBER(L16:L212),ROW(L16:L212),"")))</f>
        <v>24</v>
      </c>
      <c r="N16" s="14">
        <f>IF('Données projet'!$A$36&gt;35,N15+M16-V15,IF(A16&lt;'Données projet'!$A$36,$K$205^A16,IF(A16='Données projet'!$A$36,'Données projet'!$B$36,N15+M16-V15)))</f>
        <v>208</v>
      </c>
      <c r="O16" s="14">
        <f>N16*VLOOKUP('Données projet'!$B$9,Paramètres!$A$1:$I$89,3,0)*VLOOKUP('Données projet'!$B$9,Paramètres!$A$1:$I$89,5,0)</f>
        <v>105.78048000000001</v>
      </c>
      <c r="P16" s="14">
        <f t="shared" si="33"/>
        <v>28.334580954973664</v>
      </c>
      <c r="Q16" s="22">
        <f t="shared" si="2"/>
        <v>233.5837311632458</v>
      </c>
      <c r="R16" s="62">
        <f t="shared" si="0"/>
        <v>433.12473141486464</v>
      </c>
      <c r="S16" s="62">
        <f ca="1">AVERAGE(OFFSET($R$3,0,0,'Données projet'!$E$9+1,1))-AVERAGE(OFFSET($H$3,0,0,'Données projet'!$E$9+1,1))</f>
        <v>139.27336115755156</v>
      </c>
      <c r="T16" s="62">
        <f t="shared" si="34"/>
        <v>355.84385467097547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231</v>
      </c>
      <c r="L17" s="13">
        <f>VLOOKUP(A17,'Données projet'!$A$35:$I$55,9,0)</f>
        <v>23</v>
      </c>
      <c r="M17" s="13">
        <f t="array" ref="M17">INDEX(L:L,MIN(IF(ISNUMBER(L17:L213),ROW(L17:L213),"")))</f>
        <v>23</v>
      </c>
      <c r="N17" s="14">
        <f>IF('Données projet'!$A$36&gt;35,N16+M17-V16,IF(A17&lt;'Données projet'!$A$36,$K$205^A17,IF(A17='Données projet'!$A$36,'Données projet'!$B$36,N16+M17-V16)))</f>
        <v>231</v>
      </c>
      <c r="O17" s="14">
        <f>N17*VLOOKUP('Données projet'!$B$9,Paramètres!$A$1:$I$89,3,0)*VLOOKUP('Données projet'!$B$9,Paramètres!$A$1:$I$89,5,0)</f>
        <v>117.47736</v>
      </c>
      <c r="P17" s="14">
        <f t="shared" si="33"/>
        <v>31.085909393456056</v>
      </c>
      <c r="Q17" s="22">
        <f t="shared" si="2"/>
        <v>258.74769419360268</v>
      </c>
      <c r="R17" s="62">
        <f t="shared" si="0"/>
        <v>460.77755596587588</v>
      </c>
      <c r="S17" s="62">
        <f ca="1">AVERAGE(OFFSET($R$3,0,0,'Données projet'!$E$9+1,1))-AVERAGE(OFFSET($H$3,0,0,'Données projet'!$E$9+1,1))</f>
        <v>139.27336115755156</v>
      </c>
      <c r="T17" s="62">
        <f t="shared" si="34"/>
        <v>355.84385467097547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249</v>
      </c>
      <c r="L18" s="13">
        <f>VLOOKUP(A18,'Données projet'!$A$35:$I$55,9,0)</f>
        <v>18</v>
      </c>
      <c r="M18" s="13">
        <f t="array" ref="M18">INDEX(L:L,MIN(IF(ISNUMBER(L18:L214),ROW(L18:L214),"")))</f>
        <v>18</v>
      </c>
      <c r="N18" s="14">
        <f>IF('Données projet'!$A$36&gt;35,N17+M18-V17,IF(A18&lt;'Données projet'!$A$36,$K$205^A18,IF(A18='Données projet'!$A$36,'Données projet'!$B$36,N17+M18-V17)))</f>
        <v>249</v>
      </c>
      <c r="O18" s="14">
        <f>N18*VLOOKUP('Données projet'!$B$9,Paramètres!$A$1:$I$89,3,0)*VLOOKUP('Données projet'!$B$9,Paramètres!$A$1:$I$89,5,0)</f>
        <v>126.63144000000001</v>
      </c>
      <c r="P18" s="14">
        <f t="shared" si="33"/>
        <v>33.216798691856866</v>
      </c>
      <c r="Q18" s="22">
        <f t="shared" si="2"/>
        <v>278.40234905498409</v>
      </c>
      <c r="R18" s="62">
        <f t="shared" si="0"/>
        <v>482.89909898786516</v>
      </c>
      <c r="S18" s="62">
        <f ca="1">AVERAGE(OFFSET($R$3,0,0,'Données projet'!$E$9+1,1))-AVERAGE(OFFSET($H$3,0,0,'Données projet'!$E$9+1,1))</f>
        <v>139.27336115755156</v>
      </c>
      <c r="T18" s="62">
        <f t="shared" si="34"/>
        <v>355.84385467097547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265</v>
      </c>
      <c r="L19" s="13">
        <f>VLOOKUP(A19,'Données projet'!$A$35:$I$55,9,0)</f>
        <v>16</v>
      </c>
      <c r="M19" s="13">
        <f t="array" ref="M19">INDEX(L:L,MIN(IF(ISNUMBER(L19:L215),ROW(L19:L215),"")))</f>
        <v>16</v>
      </c>
      <c r="N19" s="14">
        <f>IF('Données projet'!$A$36&gt;35,N18+M19-V18,IF(A19&lt;'Données projet'!$A$36,$K$205^A19,IF(A19='Données projet'!$A$36,'Données projet'!$B$36,N18+M19-V18)))</f>
        <v>265</v>
      </c>
      <c r="O19" s="14">
        <f>N19*VLOOKUP('Données projet'!$B$9,Paramètres!$A$1:$I$89,3,0)*VLOOKUP('Données projet'!$B$9,Paramètres!$A$1:$I$89,5,0)</f>
        <v>134.76840000000001</v>
      </c>
      <c r="P19" s="14">
        <f t="shared" si="33"/>
        <v>35.095875890625372</v>
      </c>
      <c r="Q19" s="22">
        <f t="shared" si="2"/>
        <v>295.84694717617253</v>
      </c>
      <c r="R19" s="62">
        <f t="shared" si="0"/>
        <v>502.7889930982866</v>
      </c>
      <c r="S19" s="62">
        <f ca="1">AVERAGE(OFFSET($R$3,0,0,'Données projet'!$E$9+1,1))-AVERAGE(OFFSET($H$3,0,0,'Données projet'!$E$9+1,1))</f>
        <v>139.27336115755156</v>
      </c>
      <c r="T19" s="62">
        <f t="shared" si="34"/>
        <v>355.84385467097547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282</v>
      </c>
      <c r="L20" s="13">
        <f>VLOOKUP(A20,'Données projet'!$A$35:$I$55,9,0)</f>
        <v>17</v>
      </c>
      <c r="M20" s="13">
        <f t="array" ref="M20">INDEX(L:L,MIN(IF(ISNUMBER(L20:L216),ROW(L20:L216),"")))</f>
        <v>17</v>
      </c>
      <c r="N20" s="14">
        <f>IF('Données projet'!$A$36&gt;35,N19+M20-V19,IF(A20&lt;'Données projet'!$A$36,$K$205^A20,IF(A20='Données projet'!$A$36,'Données projet'!$B$36,N19+M20-V19)))</f>
        <v>282</v>
      </c>
      <c r="O20" s="14">
        <f>N20*VLOOKUP('Données projet'!$B$9,Paramètres!$A$1:$I$89,3,0)*VLOOKUP('Données projet'!$B$9,Paramètres!$A$1:$I$89,5,0)</f>
        <v>143.41392000000002</v>
      </c>
      <c r="P20" s="14">
        <f t="shared" si="33"/>
        <v>37.077986629828985</v>
      </c>
      <c r="Q20" s="22">
        <f t="shared" si="2"/>
        <v>314.35673738028549</v>
      </c>
      <c r="R20" s="62">
        <f t="shared" si="0"/>
        <v>523.72286169615825</v>
      </c>
      <c r="S20" s="62">
        <f ca="1">AVERAGE(OFFSET($R$3,0,0,'Données projet'!$E$9+1,1))-AVERAGE(OFFSET($H$3,0,0,'Données projet'!$E$9+1,1))</f>
        <v>139.27336115755156</v>
      </c>
      <c r="T20" s="62">
        <f t="shared" si="34"/>
        <v>355.84385467097547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294</v>
      </c>
      <c r="L21" s="13">
        <f>VLOOKUP(A21,'Données projet'!$A$35:$I$55,9,0)</f>
        <v>12</v>
      </c>
      <c r="M21" s="13">
        <f t="array" ref="M21">INDEX(L:L,MIN(IF(ISNUMBER(L21:L217),ROW(L21:L217),"")))</f>
        <v>12</v>
      </c>
      <c r="N21" s="14">
        <f>IF('Données projet'!$A$36&gt;35,N20+M21-V20,IF(A21&lt;'Données projet'!$A$36,$K$205^A21,IF(A21='Données projet'!$A$36,'Données projet'!$B$36,N20+M21-V20)))</f>
        <v>294</v>
      </c>
      <c r="O21" s="14">
        <f>N21*VLOOKUP('Données projet'!$B$9,Paramètres!$A$1:$I$89,3,0)*VLOOKUP('Données projet'!$B$9,Paramètres!$A$1:$I$89,5,0)</f>
        <v>149.51664000000002</v>
      </c>
      <c r="P21" s="14">
        <f t="shared" si="33"/>
        <v>38.468719700845448</v>
      </c>
      <c r="Q21" s="22">
        <f t="shared" si="2"/>
        <v>327.40783481230579</v>
      </c>
      <c r="R21" s="62">
        <f t="shared" si="0"/>
        <v>539.17718800430885</v>
      </c>
      <c r="S21" s="62">
        <f ca="1">AVERAGE(OFFSET($R$3,0,0,'Données projet'!$E$9+1,1))-AVERAGE(OFFSET($H$3,0,0,'Données projet'!$E$9+1,1))</f>
        <v>139.27336115755156</v>
      </c>
      <c r="T21" s="62">
        <f t="shared" si="34"/>
        <v>355.84385467097547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294</v>
      </c>
      <c r="W21" s="17">
        <f>IF(ISNA(VLOOKUP(A21,'Données projet'!$A$35:$I$55,5,0)),0%,VLOOKUP(A21,'Données projet'!$A$35:$I$55,5,0)*VLOOKUP('Données projet'!$B$9,Paramètres!$A$1:$I$89,7,0))</f>
        <v>0.46199999999999997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0.11</v>
      </c>
      <c r="Z21" s="23">
        <f>EXP(-LN(2)/35)*Z20+(1-EXP(-LN(2)/35))/(LN(2)/35)*V21*W21*VLOOKUP('Données projet'!$B$9,Paramètres!$A$1:$I$89,3,0)*0.475*44/12</f>
        <v>76.36223214648868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15.518027142350105</v>
      </c>
      <c r="AC21" s="24">
        <f t="shared" si="3"/>
        <v>91.880259288838786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139.27336115755156</v>
      </c>
      <c r="T22" s="62">
        <f t="shared" si="34"/>
        <v>355.84385467097547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74.864815350458613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10.972902222992662</v>
      </c>
      <c r="AC22" s="24">
        <f t="shared" si="3"/>
        <v>85.837717573451272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139.27336115755156</v>
      </c>
      <c r="T23" s="62">
        <f t="shared" si="34"/>
        <v>355.84385467097547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73.396761984464632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7.7590135711750534</v>
      </c>
      <c r="AC23" s="24">
        <f t="shared" si="3"/>
        <v>81.155775555639678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139.27336115755156</v>
      </c>
      <c r="T24" s="62">
        <f t="shared" si="34"/>
        <v>355.84385467097547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71.957496249553657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5.4864511114963319</v>
      </c>
      <c r="AC24" s="24">
        <f t="shared" si="3"/>
        <v>77.443947361049993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139.27336115755156</v>
      </c>
      <c r="T25" s="62">
        <f t="shared" si="34"/>
        <v>355.84385467097547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70.546453637838866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3.8795067855875276</v>
      </c>
      <c r="AC25" s="24">
        <f t="shared" si="3"/>
        <v>74.425960423426389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139.27336115755156</v>
      </c>
      <c r="T26" s="62">
        <f t="shared" si="34"/>
        <v>355.84385467097547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69.163080711088796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2.7432255557481664</v>
      </c>
      <c r="AC26" s="24">
        <f t="shared" si="3"/>
        <v>71.906306266836964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139.27336115755156</v>
      </c>
      <c r="T27" s="62">
        <f t="shared" si="34"/>
        <v>355.84385467097547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67.806834883658127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1.939753392793764</v>
      </c>
      <c r="AC27" s="24">
        <f t="shared" si="3"/>
        <v>69.746588276451888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139.27336115755156</v>
      </c>
      <c r="T28" s="62">
        <f t="shared" si="34"/>
        <v>355.84385467097547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66.477184209675102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1.3716127778740834</v>
      </c>
      <c r="AC28" s="24">
        <f t="shared" si="3"/>
        <v>67.848796987549179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139.27336115755156</v>
      </c>
      <c r="T29" s="62">
        <f t="shared" si="34"/>
        <v>355.84385467097547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65.173607174402051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0.96987669639688223</v>
      </c>
      <c r="AC29" s="24">
        <f t="shared" si="3"/>
        <v>66.143483870798931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139.27336115755156</v>
      </c>
      <c r="T30" s="62">
        <f t="shared" si="34"/>
        <v>355.84385467097547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63.895592489687225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0.68580638893704182</v>
      </c>
      <c r="AC30" s="24">
        <f t="shared" si="3"/>
        <v>64.58139887862427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139.27336115755156</v>
      </c>
      <c r="T31" s="62">
        <f t="shared" si="34"/>
        <v>355.84385467097547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62.642638893427666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0.48493834819844117</v>
      </c>
      <c r="AC31" s="24">
        <f t="shared" si="3"/>
        <v>63.127577241626106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139.27336115755156</v>
      </c>
      <c r="T32" s="62">
        <f t="shared" si="34"/>
        <v>355.84385467097547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61.414254952964527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0.34290319446852097</v>
      </c>
      <c r="AC32" s="24">
        <f t="shared" si="3"/>
        <v>61.757158147433046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139.27336115755156</v>
      </c>
      <c r="T33" s="62">
        <f t="shared" si="34"/>
        <v>355.84385467097547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60.209958872333644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0.24246917409922061</v>
      </c>
      <c r="AC33" s="24">
        <f t="shared" si="3"/>
        <v>60.452428046432864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139.27336115755156</v>
      </c>
      <c r="T34" s="62">
        <f t="shared" si="34"/>
        <v>355.84385467097547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59.029278303295854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0.17145159723426051</v>
      </c>
      <c r="AC34" s="24">
        <f t="shared" si="3"/>
        <v>59.200729900530114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139.27336115755156</v>
      </c>
      <c r="T35" s="62">
        <f t="shared" si="34"/>
        <v>355.84385467097547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57.871750160072857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0.12123458704961033</v>
      </c>
      <c r="AC35" s="24">
        <f t="shared" si="3"/>
        <v>57.99298474712247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139.27336115755156</v>
      </c>
      <c r="T36" s="62">
        <f t="shared" si="34"/>
        <v>355.84385467097547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56.736920437716009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8.5725798617130269E-2</v>
      </c>
      <c r="AC36" s="24">
        <f t="shared" si="3"/>
        <v>56.822646236333142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139.27336115755156</v>
      </c>
      <c r="T37" s="62">
        <f t="shared" si="34"/>
        <v>355.84385467097547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55.624344034036795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6.0617293524805174E-2</v>
      </c>
      <c r="AC37" s="24">
        <f t="shared" si="3"/>
        <v>55.684961327561602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139.27336115755156</v>
      </c>
      <c r="T38" s="62">
        <f t="shared" si="34"/>
        <v>355.84385467097547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54.533584575029131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4.2862899308565142E-2</v>
      </c>
      <c r="AC38" s="24">
        <f t="shared" si="3"/>
        <v>54.576447474337698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139.27336115755156</v>
      </c>
      <c r="T39" s="62">
        <f t="shared" si="34"/>
        <v>355.84385467097547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53.464214243715034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3.0308646762402594E-2</v>
      </c>
      <c r="AC39" s="24">
        <f t="shared" si="3"/>
        <v>53.494522890477434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139.27336115755156</v>
      </c>
      <c r="T40" s="62">
        <f t="shared" si="34"/>
        <v>355.84385467097547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52.415813612346504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2.1431449654282574E-2</v>
      </c>
      <c r="AC40" s="24">
        <f t="shared" si="3"/>
        <v>52.437245062000784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139.27336115755156</v>
      </c>
      <c r="T41" s="62">
        <f t="shared" si="34"/>
        <v>355.84385467097547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51.387971477897871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1.5154323381201299E-2</v>
      </c>
      <c r="AC41" s="24">
        <f t="shared" si="3"/>
        <v>51.403125801279074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139.27336115755156</v>
      </c>
      <c r="T42" s="62">
        <f t="shared" si="34"/>
        <v>355.84385467097547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50.380284700783974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1.0715724827141289E-2</v>
      </c>
      <c r="AC42" s="24">
        <f t="shared" si="3"/>
        <v>50.391000425611118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139.27336115755156</v>
      </c>
      <c r="T43" s="62">
        <f t="shared" si="34"/>
        <v>355.84385467097547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49.392358046741037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7.5771616906006502E-3</v>
      </c>
      <c r="AC43" s="24">
        <f t="shared" si="3"/>
        <v>49.399935208431636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139.27336115755156</v>
      </c>
      <c r="T44" s="62">
        <f t="shared" si="34"/>
        <v>355.84385467097547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48.423804031808125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5.3578624135706444E-3</v>
      </c>
      <c r="AC44" s="24">
        <f t="shared" si="3"/>
        <v>48.429161894221693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139.27336115755156</v>
      </c>
      <c r="T45" s="62">
        <f t="shared" si="34"/>
        <v>355.84385467097547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47.474242770348425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3.7885808453003251E-3</v>
      </c>
      <c r="AC45" s="24">
        <f t="shared" si="3"/>
        <v>47.478031351193728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139.27336115755156</v>
      </c>
      <c r="T46" s="62">
        <f t="shared" si="34"/>
        <v>355.84385467097547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46.543301826050772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2.6789312067853222E-3</v>
      </c>
      <c r="AC46" s="24">
        <f t="shared" si="3"/>
        <v>46.54598075725756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139.27336115755156</v>
      </c>
      <c r="T47" s="62">
        <f t="shared" si="34"/>
        <v>355.84385467097547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45.630616065852891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1.8942904226501626E-3</v>
      </c>
      <c r="AC47" s="24">
        <f t="shared" si="3"/>
        <v>45.632510356275539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139.27336115755156</v>
      </c>
      <c r="T48" s="62">
        <f t="shared" si="34"/>
        <v>355.84385467097547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44.735827516729138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1.3394656033926611E-3</v>
      </c>
      <c r="AC48" s="24">
        <f t="shared" si="3"/>
        <v>44.737166982332532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139.27336115755156</v>
      </c>
      <c r="T49" s="62">
        <f t="shared" si="34"/>
        <v>355.84385467097547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43.858585225286582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9.4714521132508128E-4</v>
      </c>
      <c r="AC49" s="24">
        <f t="shared" si="3"/>
        <v>43.859532370497909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139.27336115755156</v>
      </c>
      <c r="T50" s="62">
        <f t="shared" si="34"/>
        <v>355.84385467097547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42.998545120114251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6.6973280169633055E-4</v>
      </c>
      <c r="AC50" s="24">
        <f t="shared" si="3"/>
        <v>42.999214852915948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139.27336115755156</v>
      </c>
      <c r="T51" s="62">
        <f t="shared" si="34"/>
        <v>355.84385467097547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42.155369876831678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4.7357260566254064E-4</v>
      </c>
      <c r="AC51" s="24">
        <f t="shared" si="3"/>
        <v>42.155843449437342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139.27336115755156</v>
      </c>
      <c r="T52" s="62">
        <f t="shared" si="34"/>
        <v>355.84385467097547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41.32872878578376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3.3486640084816528E-4</v>
      </c>
      <c r="AC52" s="24">
        <f t="shared" si="3"/>
        <v>41.329063652184608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139.27336115755156</v>
      </c>
      <c r="T53" s="62">
        <f t="shared" si="34"/>
        <v>355.84385467097547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40.51829762233001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2.3678630283127032E-4</v>
      </c>
      <c r="AC53" s="24">
        <f t="shared" si="3"/>
        <v>40.518534408632839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139.27336115755156</v>
      </c>
      <c r="T54" s="62">
        <f t="shared" si="34"/>
        <v>355.84385467097547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39.723758519677389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1.6743320042408264E-4</v>
      </c>
      <c r="AC54" s="24">
        <f t="shared" si="3"/>
        <v>39.723925952877813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139.27336115755156</v>
      </c>
      <c r="T55" s="62">
        <f t="shared" si="34"/>
        <v>355.84385467097547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38.944799844206784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1.1839315141563516E-4</v>
      </c>
      <c r="AC55" s="24">
        <f t="shared" si="3"/>
        <v>38.944918237358202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139.27336115755156</v>
      </c>
      <c r="T56" s="62">
        <f t="shared" si="34"/>
        <v>355.84385467097547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38.181116073244283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8.3716600212041319E-5</v>
      </c>
      <c r="AC56" s="24">
        <f t="shared" si="3"/>
        <v>38.181199789844491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139.27336115755156</v>
      </c>
      <c r="T57" s="62">
        <f t="shared" si="34"/>
        <v>355.84385467097547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37.43240767522925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5.919657570781758E-5</v>
      </c>
      <c r="AC57" s="24">
        <f t="shared" si="3"/>
        <v>37.432466871804955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139.27336115755156</v>
      </c>
      <c r="T58" s="62">
        <f t="shared" si="34"/>
        <v>355.84385467097547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36.698380992232259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4.185830010602066E-5</v>
      </c>
      <c r="AC58" s="24">
        <f t="shared" si="3"/>
        <v>36.698422850532367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139.27336115755156</v>
      </c>
      <c r="T59" s="62">
        <f t="shared" si="34"/>
        <v>355.84385467097547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35.978748124776772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2.959828785390879E-5</v>
      </c>
      <c r="AC59" s="24">
        <f t="shared" si="3"/>
        <v>35.978777723064624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139.27336115755156</v>
      </c>
      <c r="T60" s="62">
        <f t="shared" si="34"/>
        <v>355.84385467097547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35.273226818919376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2.092915005301033E-5</v>
      </c>
      <c r="AC60" s="24">
        <f t="shared" si="3"/>
        <v>35.27324774806943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139.27336115755156</v>
      </c>
      <c r="T61" s="62">
        <f t="shared" si="34"/>
        <v>355.84385467097547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34.581540355544341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1.4799143926954395E-5</v>
      </c>
      <c r="AC61" s="24">
        <f t="shared" si="3"/>
        <v>34.581555154688267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139.27336115755156</v>
      </c>
      <c r="T62" s="62">
        <f t="shared" si="34"/>
        <v>355.84385467097547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33.903417441829006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1.0464575026505165E-5</v>
      </c>
      <c r="AC62" s="24">
        <f t="shared" si="3"/>
        <v>33.903427906404033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139.27336115755156</v>
      </c>
      <c r="T63" s="62">
        <f t="shared" si="34"/>
        <v>355.84385467097547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33.238592104837494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7.3995719634771975E-6</v>
      </c>
      <c r="AC63" s="24">
        <f t="shared" si="3"/>
        <v>33.238599504409457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139.27336115755156</v>
      </c>
      <c r="T64" s="62">
        <f t="shared" si="34"/>
        <v>355.84385467097547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32.586803587200968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5.2322875132525825E-6</v>
      </c>
      <c r="AC64" s="24">
        <f t="shared" si="3"/>
        <v>32.586808819488482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139.27336115755156</v>
      </c>
      <c r="T65" s="62">
        <f t="shared" si="34"/>
        <v>355.84385467097547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31.947796244843556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3.6997859817385988E-6</v>
      </c>
      <c r="AC65" s="24">
        <f t="shared" si="3"/>
        <v>31.947799944629537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139.27336115755156</v>
      </c>
      <c r="T66" s="62">
        <f t="shared" si="34"/>
        <v>355.84385467097547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31.321319446713776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2.6161437566262912E-6</v>
      </c>
      <c r="AC66" s="24">
        <f t="shared" si="3"/>
        <v>31.321322062857533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139.27336115755156</v>
      </c>
      <c r="T67" s="62">
        <f t="shared" si="34"/>
        <v>355.84385467097547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30.707127476482206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1.8498929908692994E-6</v>
      </c>
      <c r="AC67" s="24">
        <f t="shared" si="3"/>
        <v>30.707129326375199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139.27336115755156</v>
      </c>
      <c r="T68" s="62">
        <f t="shared" si="34"/>
        <v>355.84385467097547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30.104979436166765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1.3080718783131456E-6</v>
      </c>
      <c r="AC68" s="24">
        <f t="shared" ref="AC68:AC131" si="57">SUM(Z68:AB68)</f>
        <v>30.104980744238642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139.27336115755156</v>
      </c>
      <c r="T69" s="62">
        <f t="shared" ref="T69:T132" si="88">$T$3</f>
        <v>355.84385467097547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29.51463915164787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9.2494649543464969E-7</v>
      </c>
      <c r="AC69" s="24">
        <f t="shared" si="57"/>
        <v>29.514640076594365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139.27336115755156</v>
      </c>
      <c r="T70" s="62">
        <f t="shared" si="88"/>
        <v>355.84385467097547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28.935875080036372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6.5403593915657281E-7</v>
      </c>
      <c r="AC70" s="24">
        <f t="shared" si="57"/>
        <v>28.935875734072312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139.27336115755156</v>
      </c>
      <c r="T71" s="62">
        <f t="shared" si="88"/>
        <v>355.84385467097547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28.368460218857948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4.6247324771732484E-7</v>
      </c>
      <c r="AC71" s="24">
        <f t="shared" si="57"/>
        <v>28.368460681331197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139.27336115755156</v>
      </c>
      <c r="T72" s="62">
        <f t="shared" si="88"/>
        <v>355.84385467097547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27.812172017018341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3.270179695782864E-7</v>
      </c>
      <c r="AC72" s="24">
        <f t="shared" si="57"/>
        <v>27.812172344036309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139.27336115755156</v>
      </c>
      <c r="T73" s="62">
        <f t="shared" si="88"/>
        <v>355.84385467097547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27.266792287514509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2.3123662385866242E-7</v>
      </c>
      <c r="AC73" s="24">
        <f t="shared" si="57"/>
        <v>27.266792518751132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139.27336115755156</v>
      </c>
      <c r="T74" s="62">
        <f t="shared" si="88"/>
        <v>355.84385467097547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26.73210712185746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1.635089847891432E-7</v>
      </c>
      <c r="AC74" s="24">
        <f t="shared" si="57"/>
        <v>26.732107285366446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139.27336115755156</v>
      </c>
      <c r="T75" s="62">
        <f t="shared" si="88"/>
        <v>355.84385467097547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26.207906806173199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1.1561831192933121E-7</v>
      </c>
      <c r="AC75" s="24">
        <f t="shared" si="57"/>
        <v>26.207906921791512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139.27336115755156</v>
      </c>
      <c r="T76" s="62">
        <f t="shared" si="88"/>
        <v>355.84385467097547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25.693985738948882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8.1754492394571601E-8</v>
      </c>
      <c r="AC76" s="24">
        <f t="shared" si="57"/>
        <v>25.693985820703375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139.27336115755156</v>
      </c>
      <c r="T77" s="62">
        <f t="shared" si="88"/>
        <v>355.84385467097547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25.190142350391934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5.7809155964665605E-8</v>
      </c>
      <c r="AC77" s="24">
        <f t="shared" si="57"/>
        <v>25.190142408201091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139.27336115755156</v>
      </c>
      <c r="T78" s="62">
        <f t="shared" si="88"/>
        <v>355.84385467097547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24.696179023370465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4.08772461972858E-8</v>
      </c>
      <c r="AC78" s="24">
        <f t="shared" si="57"/>
        <v>24.696179064247712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139.27336115755156</v>
      </c>
      <c r="T79" s="62">
        <f t="shared" si="88"/>
        <v>355.84385467097547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24.211902015904009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2.8904577982332803E-8</v>
      </c>
      <c r="AC79" s="24">
        <f t="shared" si="57"/>
        <v>24.211902044808586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139.27336115755156</v>
      </c>
      <c r="T80" s="62">
        <f t="shared" si="88"/>
        <v>355.84385467097547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23.737121385174163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2.04386230986429E-8</v>
      </c>
      <c r="AC80" s="24">
        <f t="shared" si="57"/>
        <v>23.737121405612786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139.27336115755156</v>
      </c>
      <c r="T81" s="62">
        <f t="shared" si="88"/>
        <v>355.84385467097547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23.271650913025336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1.4452288991166401E-8</v>
      </c>
      <c r="AC81" s="24">
        <f t="shared" si="57"/>
        <v>23.271650927477626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139.27336115755156</v>
      </c>
      <c r="T82" s="62">
        <f t="shared" si="88"/>
        <v>355.84385467097547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22.815308032926396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1.021931154932145E-8</v>
      </c>
      <c r="AC82" s="24">
        <f t="shared" si="57"/>
        <v>22.815308043145706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139.27336115755156</v>
      </c>
      <c r="T83" s="62">
        <f t="shared" si="88"/>
        <v>355.84385467097547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22.367913758364523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7.2261444955832007E-9</v>
      </c>
      <c r="AC83" s="24">
        <f t="shared" si="57"/>
        <v>22.367913765590668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139.27336115755156</v>
      </c>
      <c r="T84" s="62">
        <f t="shared" si="88"/>
        <v>355.84385467097547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21.929292612643245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5.1096557746607251E-9</v>
      </c>
      <c r="AC84" s="24">
        <f t="shared" si="57"/>
        <v>21.9292926177529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139.27336115755156</v>
      </c>
      <c r="T85" s="62">
        <f t="shared" si="88"/>
        <v>355.84385467097547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21.499272560057079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3.6130722477916003E-9</v>
      </c>
      <c r="AC85" s="24">
        <f t="shared" si="57"/>
        <v>21.49927256367015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139.27336115755156</v>
      </c>
      <c r="T86" s="62">
        <f t="shared" si="88"/>
        <v>355.84385467097547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21.077684938415796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2.5548278873303625E-9</v>
      </c>
      <c r="AC86" s="24">
        <f t="shared" si="57"/>
        <v>21.077684940970624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139.27336115755156</v>
      </c>
      <c r="T87" s="62">
        <f t="shared" si="88"/>
        <v>355.84385467097547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20.664364392891837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1.8065361238958002E-9</v>
      </c>
      <c r="AC87" s="24">
        <f t="shared" si="57"/>
        <v>20.664364394698374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139.27336115755156</v>
      </c>
      <c r="T88" s="62">
        <f t="shared" si="88"/>
        <v>355.84385467097547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20.259148811164966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1.2774139436651813E-9</v>
      </c>
      <c r="AC88" s="24">
        <f t="shared" si="57"/>
        <v>20.25914881244238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139.27336115755156</v>
      </c>
      <c r="T89" s="62">
        <f t="shared" si="88"/>
        <v>355.84385467097547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19.861879259838656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9.0326806194790009E-10</v>
      </c>
      <c r="AC89" s="24">
        <f t="shared" si="57"/>
        <v>19.861879260741922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139.27336115755156</v>
      </c>
      <c r="T90" s="62">
        <f t="shared" si="88"/>
        <v>355.84385467097547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19.472399922103357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6.3870697183259063E-10</v>
      </c>
      <c r="AC90" s="24">
        <f t="shared" si="57"/>
        <v>19.472399922742063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139.27336115755156</v>
      </c>
      <c r="T91" s="62">
        <f t="shared" si="88"/>
        <v>355.84385467097547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19.090558036622106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4.5163403097395004E-10</v>
      </c>
      <c r="AC91" s="24">
        <f t="shared" si="57"/>
        <v>19.090558037073741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139.27336115755156</v>
      </c>
      <c r="T92" s="62">
        <f t="shared" si="88"/>
        <v>355.84385467097547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18.716203837614589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3.1935348591629532E-10</v>
      </c>
      <c r="AC92" s="24">
        <f t="shared" si="57"/>
        <v>18.716203837933943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139.27336115755156</v>
      </c>
      <c r="T93" s="62">
        <f t="shared" si="88"/>
        <v>355.84385467097547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18.349190496116094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2.2581701548697502E-10</v>
      </c>
      <c r="AC93" s="24">
        <f t="shared" si="57"/>
        <v>18.349190496341912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139.27336115755156</v>
      </c>
      <c r="T94" s="62">
        <f t="shared" si="88"/>
        <v>355.84385467097547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17.98937406238835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1.5967674295814766E-10</v>
      </c>
      <c r="AC94" s="24">
        <f t="shared" si="57"/>
        <v>17.989374062548027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139.27336115755156</v>
      </c>
      <c r="T95" s="62">
        <f t="shared" si="88"/>
        <v>355.84385467097547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17.636613409459656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1.1290850774348751E-10</v>
      </c>
      <c r="AC95" s="24">
        <f t="shared" si="57"/>
        <v>17.636613409572565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139.27336115755156</v>
      </c>
      <c r="T96" s="62">
        <f t="shared" si="88"/>
        <v>355.84385467097547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17.290770177772139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7.9838371479073829E-11</v>
      </c>
      <c r="AC96" s="24">
        <f t="shared" si="57"/>
        <v>17.290770177851979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139.27336115755156</v>
      </c>
      <c r="T97" s="62">
        <f t="shared" si="88"/>
        <v>355.84385467097547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16.951708720914471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5.6454253871743755E-11</v>
      </c>
      <c r="AC97" s="24">
        <f t="shared" si="57"/>
        <v>16.951708720970924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139.27336115755156</v>
      </c>
      <c r="T98" s="62">
        <f t="shared" si="88"/>
        <v>355.84385467097547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16.619296052418715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3.9919185739536915E-11</v>
      </c>
      <c r="AC98" s="24">
        <f t="shared" si="57"/>
        <v>16.619296052458633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139.27336115755156</v>
      </c>
      <c r="T99" s="62">
        <f t="shared" si="88"/>
        <v>355.84385467097547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16.293401793600452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2.8227126935871878E-11</v>
      </c>
      <c r="AC99" s="24">
        <f t="shared" si="57"/>
        <v>16.293401793628679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139.27336115755156</v>
      </c>
      <c r="T100" s="62">
        <f t="shared" si="88"/>
        <v>355.84385467097547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15.973898122421746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1.9959592869768457E-11</v>
      </c>
      <c r="AC100" s="24">
        <f t="shared" si="57"/>
        <v>15.973898122441705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139.27336115755156</v>
      </c>
      <c r="T101" s="62">
        <f t="shared" si="88"/>
        <v>355.84385467097547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15.660659723356858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1.4113563467935939E-11</v>
      </c>
      <c r="AC101" s="24">
        <f t="shared" si="57"/>
        <v>15.660659723370971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139.27336115755156</v>
      </c>
      <c r="T102" s="62">
        <f t="shared" si="88"/>
        <v>355.84385467097547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15.353563738241073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9.9797964348842286E-12</v>
      </c>
      <c r="AC102" s="24">
        <f t="shared" si="57"/>
        <v>15.353563738251053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139.27336115755156</v>
      </c>
      <c r="T103" s="62">
        <f t="shared" si="88"/>
        <v>355.84385467097547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15.052489718083354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7.0567817339679694E-12</v>
      </c>
      <c r="AC103" s="24">
        <f t="shared" si="57"/>
        <v>15.052489718090412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139.27336115755156</v>
      </c>
      <c r="T104" s="62">
        <f t="shared" si="88"/>
        <v>355.84385467097547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14.757319575823908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4.9898982174421143E-12</v>
      </c>
      <c r="AC104" s="24">
        <f t="shared" si="57"/>
        <v>14.757319575828898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139.27336115755156</v>
      </c>
      <c r="T105" s="62">
        <f t="shared" si="88"/>
        <v>355.84385467097547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14.467937540018161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3.5283908669839847E-12</v>
      </c>
      <c r="AC105" s="24">
        <f t="shared" si="57"/>
        <v>14.467937540021689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139.27336115755156</v>
      </c>
      <c r="T106" s="62">
        <f t="shared" si="88"/>
        <v>355.84385467097547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14.184230109428951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2.4949491087210572E-12</v>
      </c>
      <c r="AC106" s="24">
        <f t="shared" si="57"/>
        <v>14.184230109431446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139.27336115755156</v>
      </c>
      <c r="T107" s="62">
        <f t="shared" si="88"/>
        <v>355.84385467097547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13.906086008509149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1.7641954334919924E-12</v>
      </c>
      <c r="AC107" s="24">
        <f t="shared" si="57"/>
        <v>13.906086008510913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139.27336115755156</v>
      </c>
      <c r="T108" s="62">
        <f t="shared" si="88"/>
        <v>355.84385467097547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13.633396143757235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1.2474745543605286E-12</v>
      </c>
      <c r="AC108" s="24">
        <f t="shared" si="57"/>
        <v>13.633396143758482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139.27336115755156</v>
      </c>
      <c r="T109" s="62">
        <f t="shared" si="88"/>
        <v>355.84385467097547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13.366053560928711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8.8209771674599618E-13</v>
      </c>
      <c r="AC109" s="24">
        <f t="shared" si="57"/>
        <v>13.366053560929593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139.27336115755156</v>
      </c>
      <c r="T110" s="62">
        <f t="shared" si="88"/>
        <v>355.84385467097547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13.10395340308658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6.2373727718026429E-13</v>
      </c>
      <c r="AC110" s="24">
        <f t="shared" si="57"/>
        <v>13.103953403087203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139.27336115755156</v>
      </c>
      <c r="T111" s="62">
        <f t="shared" si="88"/>
        <v>355.84385467097547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12.846992869474422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4.4104885837299809E-13</v>
      </c>
      <c r="AC111" s="24">
        <f t="shared" si="57"/>
        <v>12.846992869474862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139.27336115755156</v>
      </c>
      <c r="T112" s="62">
        <f t="shared" si="88"/>
        <v>355.84385467097547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12.595071175195949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3.1186863859013214E-13</v>
      </c>
      <c r="AC112" s="24">
        <f t="shared" si="57"/>
        <v>12.595071175196262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139.27336115755156</v>
      </c>
      <c r="T113" s="62">
        <f t="shared" si="88"/>
        <v>355.84385467097547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12.348089511685215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2.2052442918649904E-13</v>
      </c>
      <c r="AC113" s="24">
        <f t="shared" si="57"/>
        <v>12.348089511685435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139.27336115755156</v>
      </c>
      <c r="T114" s="62">
        <f t="shared" si="88"/>
        <v>355.84385467097547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12.105951007951987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1.5593431929506607E-13</v>
      </c>
      <c r="AC114" s="24">
        <f t="shared" si="57"/>
        <v>12.105951007952143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139.27336115755156</v>
      </c>
      <c r="T115" s="62">
        <f t="shared" si="88"/>
        <v>355.84385467097547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11.868560692587064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1.1026221459324952E-13</v>
      </c>
      <c r="AC115" s="24">
        <f t="shared" si="57"/>
        <v>11.868560692587174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139.27336115755156</v>
      </c>
      <c r="T116" s="62">
        <f t="shared" si="88"/>
        <v>355.84385467097547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11.635825456512652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7.7967159647533036E-14</v>
      </c>
      <c r="AC116" s="24">
        <f t="shared" si="57"/>
        <v>11.63582545651273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139.27336115755156</v>
      </c>
      <c r="T117" s="62">
        <f t="shared" si="88"/>
        <v>355.84385467097547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11.407654016463182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5.5131107296624761E-14</v>
      </c>
      <c r="AC117" s="24">
        <f t="shared" si="57"/>
        <v>11.407654016463237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139.27336115755156</v>
      </c>
      <c r="T118" s="62">
        <f t="shared" si="88"/>
        <v>355.84385467097547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11.183956879182245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3.8983579823766518E-14</v>
      </c>
      <c r="AC118" s="24">
        <f t="shared" si="57"/>
        <v>11.183956879182285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139.27336115755156</v>
      </c>
      <c r="T119" s="62">
        <f t="shared" si="88"/>
        <v>355.84385467097547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10.964646306321606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2.7565553648312381E-14</v>
      </c>
      <c r="AC119" s="24">
        <f t="shared" si="57"/>
        <v>10.964646306321635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139.27336115755156</v>
      </c>
      <c r="T120" s="62">
        <f t="shared" si="88"/>
        <v>355.84385467097547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10.749636280028524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1.9491789911883259E-14</v>
      </c>
      <c r="AC120" s="24">
        <f t="shared" si="57"/>
        <v>10.749636280028543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139.27336115755156</v>
      </c>
      <c r="T121" s="62">
        <f t="shared" si="88"/>
        <v>355.84385467097547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10.538842469207882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1.378277682415619E-14</v>
      </c>
      <c r="AC121" s="24">
        <f t="shared" si="57"/>
        <v>10.538842469207896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139.27336115755156</v>
      </c>
      <c r="T122" s="62">
        <f t="shared" si="88"/>
        <v>355.84385467097547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10.332182196445904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9.7458949559416295E-15</v>
      </c>
      <c r="AC122" s="24">
        <f t="shared" si="57"/>
        <v>10.332182196445913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139.27336115755156</v>
      </c>
      <c r="T123" s="62">
        <f t="shared" si="88"/>
        <v>355.84385467097547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10.129574405582469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6.8913884120780951E-15</v>
      </c>
      <c r="AC123" s="24">
        <f t="shared" si="57"/>
        <v>10.129574405582476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139.27336115755156</v>
      </c>
      <c r="T124" s="62">
        <f t="shared" si="88"/>
        <v>355.84385467097547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9.9309396299193153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4.8729474779708148E-15</v>
      </c>
      <c r="AC124" s="24">
        <f t="shared" si="57"/>
        <v>9.9309396299193207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139.27336115755156</v>
      </c>
      <c r="T125" s="62">
        <f t="shared" si="88"/>
        <v>355.84385467097547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9.7361999610516659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3.4456942060390476E-15</v>
      </c>
      <c r="AC125" s="24">
        <f t="shared" si="57"/>
        <v>9.7361999610516694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139.27336115755156</v>
      </c>
      <c r="T126" s="62">
        <f t="shared" si="88"/>
        <v>355.84385467097547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9.5452790183110405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2.4364737389854074E-15</v>
      </c>
      <c r="AC126" s="24">
        <f t="shared" si="57"/>
        <v>9.5452790183110423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139.27336115755156</v>
      </c>
      <c r="T127" s="62">
        <f t="shared" si="88"/>
        <v>355.84385467097547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9.3581019188072823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1.7228471030195238E-15</v>
      </c>
      <c r="AC127" s="24">
        <f t="shared" si="57"/>
        <v>9.358101918807284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139.27336115755156</v>
      </c>
      <c r="T128" s="62">
        <f t="shared" si="88"/>
        <v>355.84385467097547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9.1745952480580364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1.2182368694927037E-15</v>
      </c>
      <c r="AC128" s="24">
        <f t="shared" si="57"/>
        <v>9.1745952480580382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139.27336115755156</v>
      </c>
      <c r="T129" s="62">
        <f t="shared" si="88"/>
        <v>355.84385467097547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8.9946870311941662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8.6142355150976189E-16</v>
      </c>
      <c r="AC129" s="24">
        <f t="shared" si="57"/>
        <v>8.9946870311941662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139.27336115755156</v>
      </c>
      <c r="T130" s="62">
        <f t="shared" si="88"/>
        <v>355.84385467097547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8.8183067047298191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6.0911843474635185E-16</v>
      </c>
      <c r="AC130" s="24">
        <f t="shared" si="57"/>
        <v>8.8183067047298191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139.27336115755156</v>
      </c>
      <c r="T131" s="62">
        <f t="shared" si="88"/>
        <v>355.84385467097547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8.6453850888860604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4.3071177575488095E-16</v>
      </c>
      <c r="AC131" s="24">
        <f t="shared" si="57"/>
        <v>8.6453850888860604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139.27336115755156</v>
      </c>
      <c r="T132" s="62">
        <f t="shared" si="88"/>
        <v>355.84385467097547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8.4758543604572267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3.0455921737317592E-16</v>
      </c>
      <c r="AC132" s="24">
        <f t="shared" ref="AC132:AC153" si="111">SUM(Z132:AB132)</f>
        <v>8.4758543604572267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139.27336115755156</v>
      </c>
      <c r="T133" s="62">
        <f t="shared" ref="T133:T196" si="142">$T$3</f>
        <v>355.84385467097547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8.3096480262093486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2.1535588787744047E-16</v>
      </c>
      <c r="AC133" s="24">
        <f t="shared" si="111"/>
        <v>8.3096480262093486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139.27336115755156</v>
      </c>
      <c r="T134" s="62">
        <f t="shared" si="142"/>
        <v>355.84385467097547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8.1467008968002173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1.5227960868658796E-16</v>
      </c>
      <c r="AC134" s="24">
        <f t="shared" si="111"/>
        <v>8.1467008968002173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139.27336115755156</v>
      </c>
      <c r="T135" s="62">
        <f t="shared" si="142"/>
        <v>355.84385467097547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7.986949061210864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1.0767794393872024E-16</v>
      </c>
      <c r="AC135" s="24">
        <f t="shared" si="111"/>
        <v>7.986949061210864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139.27336115755156</v>
      </c>
      <c r="T136" s="62">
        <f t="shared" si="142"/>
        <v>355.84385467097547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7.83032986167842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7.6139804343293981E-17</v>
      </c>
      <c r="AC136" s="24">
        <f t="shared" si="111"/>
        <v>7.83032986167842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139.27336115755156</v>
      </c>
      <c r="T137" s="62">
        <f t="shared" si="142"/>
        <v>355.84385467097547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7.6767818691205285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5.3838971969360118E-17</v>
      </c>
      <c r="AC137" s="24">
        <f t="shared" si="111"/>
        <v>7.6767818691205285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139.27336115755156</v>
      </c>
      <c r="T138" s="62">
        <f t="shared" si="142"/>
        <v>355.84385467097547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7.5262448590416691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3.806990217164699E-17</v>
      </c>
      <c r="AC138" s="24">
        <f t="shared" si="111"/>
        <v>7.5262448590416691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139.27336115755156</v>
      </c>
      <c r="T139" s="62">
        <f t="shared" si="142"/>
        <v>355.84385467097547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7.3786597879119462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2.6919485984680059E-17</v>
      </c>
      <c r="AC139" s="24">
        <f t="shared" si="111"/>
        <v>7.3786597879119462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139.27336115755156</v>
      </c>
      <c r="T140" s="62">
        <f t="shared" si="142"/>
        <v>355.84385467097547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7.2339687700090725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1.9034951085823495E-17</v>
      </c>
      <c r="AC140" s="24">
        <f t="shared" si="111"/>
        <v>7.2339687700090725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139.27336115755156</v>
      </c>
      <c r="T141" s="62">
        <f t="shared" si="142"/>
        <v>355.84385467097547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7.0921150547144673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1.345974299234003E-17</v>
      </c>
      <c r="AC141" s="24">
        <f t="shared" si="111"/>
        <v>7.0921150547144673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139.27336115755156</v>
      </c>
      <c r="T142" s="62">
        <f t="shared" si="142"/>
        <v>355.84385467097547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6.9530430042545666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9.5174755429117476E-18</v>
      </c>
      <c r="AC142" s="24">
        <f t="shared" si="111"/>
        <v>6.9530430042545666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139.27336115755156</v>
      </c>
      <c r="T143" s="62">
        <f t="shared" si="142"/>
        <v>355.84385467097547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6.8166980718786094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6.7298714961700148E-18</v>
      </c>
      <c r="AC143" s="24">
        <f t="shared" si="111"/>
        <v>6.8166980718786094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139.27336115755156</v>
      </c>
      <c r="T144" s="62">
        <f t="shared" si="142"/>
        <v>355.84385467097547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6.6830267804643473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4.7587377714558738E-18</v>
      </c>
      <c r="AC144" s="24">
        <f t="shared" si="111"/>
        <v>6.6830267804643473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139.27336115755156</v>
      </c>
      <c r="T145" s="62">
        <f t="shared" si="142"/>
        <v>355.84385467097547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6.5519767015432819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3.3649357480850074E-18</v>
      </c>
      <c r="AC145" s="24">
        <f t="shared" si="111"/>
        <v>6.5519767015432819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139.27336115755156</v>
      </c>
      <c r="T146" s="62">
        <f t="shared" si="142"/>
        <v>355.84385467097547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6.4234964347372028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2.3793688857279369E-18</v>
      </c>
      <c r="AC146" s="24">
        <f t="shared" si="111"/>
        <v>6.4234964347372028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139.27336115755156</v>
      </c>
      <c r="T147" s="62">
        <f t="shared" si="142"/>
        <v>355.84385467097547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6.2975355875979666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1.6824678740425037E-18</v>
      </c>
      <c r="AC147" s="24">
        <f t="shared" si="111"/>
        <v>6.2975355875979666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139.27336115755156</v>
      </c>
      <c r="T148" s="62">
        <f t="shared" si="142"/>
        <v>355.84385467097547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6.1740447558426004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1.1896844428639684E-18</v>
      </c>
      <c r="AC148" s="24">
        <f t="shared" si="111"/>
        <v>6.1740447558426004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139.27336115755156</v>
      </c>
      <c r="T149" s="62">
        <f t="shared" si="142"/>
        <v>355.84385467097547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6.0529755039759863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8.4123393702125185E-19</v>
      </c>
      <c r="AC149" s="24">
        <f t="shared" si="111"/>
        <v>6.0529755039759863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139.27336115755156</v>
      </c>
      <c r="T150" s="62">
        <f t="shared" si="142"/>
        <v>355.84385467097547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5.9342803462935247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5.9484222143198422E-19</v>
      </c>
      <c r="AC150" s="24">
        <f t="shared" si="111"/>
        <v>5.9342803462935247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139.27336115755156</v>
      </c>
      <c r="T151" s="62">
        <f t="shared" si="142"/>
        <v>355.84385467097547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5.817912728256319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4.2061696851062592E-19</v>
      </c>
      <c r="AC151" s="24">
        <f t="shared" si="111"/>
        <v>5.817912728256319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139.27336115755156</v>
      </c>
      <c r="T152" s="62">
        <f t="shared" si="142"/>
        <v>355.84385467097547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5.7038270082315838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2.9742111071599211E-19</v>
      </c>
      <c r="AC152" s="24">
        <f t="shared" si="111"/>
        <v>5.7038270082315838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139.27336115755156</v>
      </c>
      <c r="T153" s="62">
        <f t="shared" si="142"/>
        <v>355.84385467097547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5.5919784395911156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2.1030848425531296E-19</v>
      </c>
      <c r="AC153" s="24">
        <f t="shared" si="111"/>
        <v>5.5919784395911156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139.27336115755156</v>
      </c>
      <c r="T154" s="62">
        <f t="shared" si="142"/>
        <v>355.84385467097547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5.4823231531607961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1.4871055535799606E-19</v>
      </c>
      <c r="AC154" s="24">
        <f t="shared" ref="AC154:AC203" si="163">SUM(Z154:AB154)</f>
        <v>5.4823231531607961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139.27336115755156</v>
      </c>
      <c r="T155" s="62">
        <f t="shared" si="142"/>
        <v>355.84385467097547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5.3748181400142547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1.0515424212765648E-19</v>
      </c>
      <c r="AC155" s="24">
        <f t="shared" si="163"/>
        <v>5.3748181400142547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139.27336115755156</v>
      </c>
      <c r="T156" s="62">
        <f t="shared" si="142"/>
        <v>355.84385467097547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5.269421234603934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7.4355277678998028E-20</v>
      </c>
      <c r="AC156" s="24">
        <f t="shared" si="163"/>
        <v>5.269421234603934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139.27336115755156</v>
      </c>
      <c r="T157" s="62">
        <f t="shared" si="142"/>
        <v>355.84385467097547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5.1660910982229451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5.257712106382824E-20</v>
      </c>
      <c r="AC157" s="24">
        <f t="shared" si="163"/>
        <v>5.1660910982229451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139.27336115755156</v>
      </c>
      <c r="T158" s="62">
        <f t="shared" si="142"/>
        <v>355.84385467097547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5.0647872027912273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3.7177638839499014E-20</v>
      </c>
      <c r="AC158" s="24">
        <f t="shared" si="163"/>
        <v>5.0647872027912273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139.27336115755156</v>
      </c>
      <c r="T159" s="62">
        <f t="shared" si="142"/>
        <v>355.84385467097547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4.9654698149596506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2.628856053191412E-20</v>
      </c>
      <c r="AC159" s="24">
        <f t="shared" si="163"/>
        <v>4.9654698149596506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139.27336115755156</v>
      </c>
      <c r="T160" s="62">
        <f t="shared" si="142"/>
        <v>355.84385467097547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4.8680999805258258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1.8588819419749507E-20</v>
      </c>
      <c r="AC160" s="24">
        <f t="shared" si="163"/>
        <v>4.8680999805258258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139.27336115755156</v>
      </c>
      <c r="T161" s="62">
        <f t="shared" si="142"/>
        <v>355.84385467097547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4.772639509155514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1.314428026595706E-20</v>
      </c>
      <c r="AC161" s="24">
        <f t="shared" si="163"/>
        <v>4.772639509155514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139.27336115755156</v>
      </c>
      <c r="T162" s="62">
        <f t="shared" si="142"/>
        <v>355.84385467097547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4.6790509594036358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9.2944097098747535E-21</v>
      </c>
      <c r="AC162" s="24">
        <f t="shared" si="163"/>
        <v>4.6790509594036358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139.27336115755156</v>
      </c>
      <c r="T163" s="62">
        <f t="shared" si="142"/>
        <v>355.84385467097547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4.5872976240290129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6.5721401329785301E-21</v>
      </c>
      <c r="AC163" s="24">
        <f t="shared" si="163"/>
        <v>4.5872976240290129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139.27336115755156</v>
      </c>
      <c r="T164" s="62">
        <f t="shared" si="142"/>
        <v>355.84385467097547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4.4973435155970778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4.6472048549373767E-21</v>
      </c>
      <c r="AC164" s="24">
        <f t="shared" si="163"/>
        <v>4.4973435155970778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139.27336115755156</v>
      </c>
      <c r="T165" s="62">
        <f t="shared" si="142"/>
        <v>355.84385467097547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4.4091533523649042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3.286070066489265E-21</v>
      </c>
      <c r="AC165" s="24">
        <f t="shared" si="163"/>
        <v>4.4091533523649042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139.27336115755156</v>
      </c>
      <c r="T166" s="62">
        <f t="shared" si="142"/>
        <v>355.84385467097547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4.3226925444430258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2.3236024274686884E-21</v>
      </c>
      <c r="AC166" s="24">
        <f t="shared" si="163"/>
        <v>4.3226925444430258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139.27336115755156</v>
      </c>
      <c r="T167" s="62">
        <f t="shared" si="142"/>
        <v>355.84385467097547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4.2379271802286089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1.6430350332446325E-21</v>
      </c>
      <c r="AC167" s="24">
        <f t="shared" si="163"/>
        <v>4.2379271802286089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139.27336115755156</v>
      </c>
      <c r="T168" s="62">
        <f t="shared" si="142"/>
        <v>355.84385467097547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4.1548240131046699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1.1618012137343442E-21</v>
      </c>
      <c r="AC168" s="24">
        <f t="shared" si="163"/>
        <v>4.1548240131046699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139.27336115755156</v>
      </c>
      <c r="T169" s="62">
        <f t="shared" si="142"/>
        <v>355.84385467097547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4.0733504484001042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8.2151751662231626E-22</v>
      </c>
      <c r="AC169" s="24">
        <f t="shared" si="163"/>
        <v>4.0733504484001042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139.27336115755156</v>
      </c>
      <c r="T170" s="62">
        <f t="shared" si="142"/>
        <v>355.84385467097547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3.993474530605428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5.8090060686717209E-22</v>
      </c>
      <c r="AC170" s="24">
        <f t="shared" si="163"/>
        <v>3.993474530605428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139.27336115755156</v>
      </c>
      <c r="T171" s="62">
        <f t="shared" si="142"/>
        <v>355.84385467097547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3.915164930839206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4.1075875831115813E-22</v>
      </c>
      <c r="AC171" s="24">
        <f t="shared" si="163"/>
        <v>3.915164930839206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139.27336115755156</v>
      </c>
      <c r="T172" s="62">
        <f t="shared" si="142"/>
        <v>355.84385467097547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3.8383909345602603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2.9045030343358605E-22</v>
      </c>
      <c r="AC172" s="24">
        <f t="shared" si="163"/>
        <v>3.8383909345602603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139.27336115755156</v>
      </c>
      <c r="T173" s="62">
        <f t="shared" si="142"/>
        <v>355.84385467097547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3.7631224295208305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2.0537937915557906E-22</v>
      </c>
      <c r="AC173" s="24">
        <f t="shared" si="163"/>
        <v>3.7631224295208305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139.27336115755156</v>
      </c>
      <c r="T174" s="62">
        <f t="shared" si="142"/>
        <v>355.84385467097547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3.6893298939559691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1.4522515171679302E-22</v>
      </c>
      <c r="AC174" s="24">
        <f t="shared" si="163"/>
        <v>3.6893298939559691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139.27336115755156</v>
      </c>
      <c r="T175" s="62">
        <f t="shared" si="142"/>
        <v>355.84385467097547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3.6169843850045322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1.0268968957778953E-22</v>
      </c>
      <c r="AC175" s="24">
        <f t="shared" si="163"/>
        <v>3.6169843850045322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139.27336115755156</v>
      </c>
      <c r="T176" s="62">
        <f t="shared" si="142"/>
        <v>355.84385467097547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3.5460575273572297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7.2612575858396512E-23</v>
      </c>
      <c r="AC176" s="24">
        <f t="shared" si="163"/>
        <v>3.5460575273572297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139.27336115755156</v>
      </c>
      <c r="T177" s="62">
        <f t="shared" si="142"/>
        <v>355.84385467097547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3.4765215021272793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5.1344844788894766E-23</v>
      </c>
      <c r="AC177" s="24">
        <f t="shared" si="163"/>
        <v>3.4765215021272793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139.27336115755156</v>
      </c>
      <c r="T178" s="62">
        <f t="shared" si="142"/>
        <v>355.84385467097547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3.4083490359393007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3.6306287929198256E-23</v>
      </c>
      <c r="AC178" s="24">
        <f t="shared" si="163"/>
        <v>3.4083490359393007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139.27336115755156</v>
      </c>
      <c r="T179" s="62">
        <f t="shared" si="142"/>
        <v>355.84385467097547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3.3415133902321696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2.5672422394447383E-23</v>
      </c>
      <c r="AC179" s="24">
        <f t="shared" si="163"/>
        <v>3.3415133902321696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139.27336115755156</v>
      </c>
      <c r="T180" s="62">
        <f t="shared" si="142"/>
        <v>355.84385467097547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3.275988350771637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1.8153143964599128E-23</v>
      </c>
      <c r="AC180" s="24">
        <f t="shared" si="163"/>
        <v>3.275988350771637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139.27336115755156</v>
      </c>
      <c r="T181" s="62">
        <f t="shared" si="142"/>
        <v>355.84385467097547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3.2117482173685978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1.2836211197223692E-23</v>
      </c>
      <c r="AC181" s="24">
        <f t="shared" si="163"/>
        <v>3.2117482173685978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139.27336115755156</v>
      </c>
      <c r="T182" s="62">
        <f t="shared" si="142"/>
        <v>355.84385467097547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3.1487677937989798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9.076571982299564E-24</v>
      </c>
      <c r="AC182" s="24">
        <f t="shared" si="163"/>
        <v>3.1487677937989798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139.27336115755156</v>
      </c>
      <c r="T183" s="62">
        <f t="shared" si="142"/>
        <v>355.84385467097547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3.0870223779212966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6.4181055986118458E-24</v>
      </c>
      <c r="AC183" s="24">
        <f t="shared" si="163"/>
        <v>3.0870223779212966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139.27336115755156</v>
      </c>
      <c r="T184" s="62">
        <f t="shared" si="142"/>
        <v>355.84385467097547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3.02648775198799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4.538285991149782E-24</v>
      </c>
      <c r="AC184" s="24">
        <f t="shared" si="163"/>
        <v>3.02648775198799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139.27336115755156</v>
      </c>
      <c r="T185" s="62">
        <f t="shared" si="142"/>
        <v>355.84385467097547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2.9671401731467593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3.2090527993059229E-24</v>
      </c>
      <c r="AC185" s="24">
        <f t="shared" si="163"/>
        <v>2.9671401731467593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139.27336115755156</v>
      </c>
      <c r="T186" s="62">
        <f t="shared" si="142"/>
        <v>355.84385467097547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2.9089563641281564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2.269142995574891E-24</v>
      </c>
      <c r="AC186" s="24">
        <f t="shared" si="163"/>
        <v>2.9089563641281564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139.27336115755156</v>
      </c>
      <c r="T187" s="62">
        <f t="shared" si="142"/>
        <v>355.84385467097547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2.8519135041157888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1.6045263996529614E-24</v>
      </c>
      <c r="AC187" s="24">
        <f t="shared" si="163"/>
        <v>2.8519135041157888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139.27336115755156</v>
      </c>
      <c r="T188" s="62">
        <f t="shared" si="142"/>
        <v>355.84385467097547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2.7959892197955547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1.1345714977874455E-24</v>
      </c>
      <c r="AC188" s="24">
        <f t="shared" si="163"/>
        <v>2.7959892197955547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139.27336115755156</v>
      </c>
      <c r="T189" s="62">
        <f t="shared" si="142"/>
        <v>355.84385467097547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2.7411615765803954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8.0226319982648072E-25</v>
      </c>
      <c r="AC189" s="24">
        <f t="shared" si="163"/>
        <v>2.7411615765803954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139.27336115755156</v>
      </c>
      <c r="T190" s="62">
        <f t="shared" si="142"/>
        <v>355.84385467097547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2.6874090700071247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5.6728574889372275E-25</v>
      </c>
      <c r="AC190" s="24">
        <f t="shared" si="163"/>
        <v>2.6874090700071247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139.27336115755156</v>
      </c>
      <c r="T191" s="62">
        <f t="shared" si="142"/>
        <v>355.84385467097547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2.6347106173019643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4.0113159991324036E-25</v>
      </c>
      <c r="AC191" s="24">
        <f t="shared" si="163"/>
        <v>2.6347106173019643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139.27336115755156</v>
      </c>
      <c r="T192" s="62">
        <f t="shared" si="142"/>
        <v>355.84385467097547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2.5830455491114699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2.8364287444686137E-25</v>
      </c>
      <c r="AC192" s="24">
        <f t="shared" si="163"/>
        <v>2.5830455491114699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139.27336115755156</v>
      </c>
      <c r="T193" s="62">
        <f t="shared" si="142"/>
        <v>355.84385467097547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2.532393601395611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2.0056579995662018E-25</v>
      </c>
      <c r="AC193" s="24">
        <f t="shared" si="163"/>
        <v>2.532393601395611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139.27336115755156</v>
      </c>
      <c r="T194" s="62">
        <f t="shared" si="142"/>
        <v>355.84385467097547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2.4827349074798226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1.4182143722343069E-25</v>
      </c>
      <c r="AC194" s="24">
        <f t="shared" si="163"/>
        <v>2.4827349074798226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139.27336115755156</v>
      </c>
      <c r="T195" s="62">
        <f t="shared" si="142"/>
        <v>355.84385467097547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2.4340499902629102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1.0028289997831009E-25</v>
      </c>
      <c r="AC195" s="24">
        <f t="shared" si="163"/>
        <v>2.4340499902629102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139.27336115755156</v>
      </c>
      <c r="T196" s="62">
        <f t="shared" si="142"/>
        <v>355.84385467097547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2.3863197545777544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7.0910718611715343E-26</v>
      </c>
      <c r="AC196" s="24">
        <f t="shared" si="163"/>
        <v>2.3863197545777544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139.27336115755156</v>
      </c>
      <c r="T197" s="62">
        <f t="shared" ref="T197:T203" si="204">$T$3</f>
        <v>355.84385467097547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2.3395254797018152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5.0141449989155045E-26</v>
      </c>
      <c r="AC197" s="24">
        <f t="shared" si="163"/>
        <v>2.3395254797018152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139.27336115755156</v>
      </c>
      <c r="T198" s="62">
        <f t="shared" si="204"/>
        <v>355.84385467097547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2.2936488120145038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3.5455359305857672E-26</v>
      </c>
      <c r="AC198" s="24">
        <f t="shared" si="163"/>
        <v>2.2936488120145038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139.27336115755156</v>
      </c>
      <c r="T199" s="62">
        <f t="shared" si="204"/>
        <v>355.84385467097547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2.2486717577985362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2.5070724994577523E-26</v>
      </c>
      <c r="AC199" s="24">
        <f t="shared" si="163"/>
        <v>2.2486717577985362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139.27336115755156</v>
      </c>
      <c r="T200" s="62">
        <f t="shared" si="204"/>
        <v>355.84385467097547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2.2045766761824495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1.7727679652928836E-26</v>
      </c>
      <c r="AC200" s="24">
        <f t="shared" si="163"/>
        <v>2.2045766761824495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139.27336115755156</v>
      </c>
      <c r="T201" s="62">
        <f t="shared" si="204"/>
        <v>355.84385467097547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2.1613462722215102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1.2535362497288761E-26</v>
      </c>
      <c r="AC201" s="24">
        <f t="shared" si="163"/>
        <v>2.1613462722215102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139.27336115755156</v>
      </c>
      <c r="T202" s="62">
        <f t="shared" si="204"/>
        <v>355.84385467097547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2.1189635901143022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8.8638398264644179E-27</v>
      </c>
      <c r="AC202" s="24">
        <f t="shared" si="163"/>
        <v>2.1189635901143022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139.27336115755156</v>
      </c>
      <c r="T203" s="62">
        <f t="shared" si="204"/>
        <v>355.84385467097547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2.0774120065523327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6.2676812486443806E-27</v>
      </c>
      <c r="AC203" s="24">
        <f t="shared" si="163"/>
        <v>2.0774120065523327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1.5874010519681994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90" zoomScaleNormal="90" workbookViewId="0">
      <selection activeCell="O21" sqref="O2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1.1299999999999999</v>
      </c>
      <c r="C6" s="156">
        <f ca="1">IF(OR('Données projet'!B9="",'Données projet'!C9="",'Données projet'!C9=0%),0,Calculateur!S3)</f>
        <v>139.27336115755156</v>
      </c>
      <c r="D6" s="156">
        <f>IF(OR('Données projet'!B9="",'Données projet'!C9="",'Données projet'!C9=0%),0,Calculateur!T3)</f>
        <v>355.84385467097547</v>
      </c>
      <c r="E6" s="156">
        <f ca="1">MIN(C6,D6)</f>
        <v>139.27336115755156</v>
      </c>
      <c r="F6" s="156">
        <f ca="1">E6*B6</f>
        <v>157.37889810803324</v>
      </c>
      <c r="G6" s="156">
        <f ca="1">F6*(100%-'Données projet'!$C$24)*(100%-'Données projet'!$C$25)*(100%-'Données projet'!$C$26)*(100%-'Données projet'!$C$27)</f>
        <v>134.55895788236842</v>
      </c>
      <c r="H6" s="157">
        <f>IF(OR('Données projet'!B9="",'Données projet'!C9="",'Données projet'!C9=0%),0,AVERAGE(Calculateur!$AC$3:$AC$33)*B6)</f>
        <v>34.129914827339356</v>
      </c>
      <c r="I6" s="158">
        <f>H6*(100%-'Données projet'!$C$24)*(100%-'Données projet'!$C$25)*(100%-'Données projet'!$C$26)*(100%-'Données projet'!$C$27)</f>
        <v>29.181077177375148</v>
      </c>
      <c r="J6" s="159">
        <f>IF(OR('Données projet'!B9="",'Données projet'!C9="",'Données projet'!C9=0%),0,SUM(Calculateur!$V$3:$V$33)*VLOOKUP('Données projet'!$B$9,Paramètres!$A$1:$I$89,9,0)*B6)</f>
        <v>342.18659999999994</v>
      </c>
      <c r="K6" s="160">
        <f>J6*(100%-'Données projet'!$C$24)*(100%-'Données projet'!$C$25)*(100%-'Données projet'!$C$26)*(100%-'Données projet'!$C$27)</f>
        <v>292.56954299999995</v>
      </c>
      <c r="L6" s="161">
        <f ca="1">G6+I6+K6</f>
        <v>456.30957805974356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157.37889810803324</v>
      </c>
      <c r="G16" s="175">
        <f t="shared" ca="1" si="3"/>
        <v>134.55895788236842</v>
      </c>
      <c r="H16" s="176">
        <f t="shared" si="3"/>
        <v>34.129914827339356</v>
      </c>
      <c r="I16" s="176">
        <f t="shared" si="3"/>
        <v>29.181077177375148</v>
      </c>
      <c r="J16" s="177">
        <f t="shared" si="3"/>
        <v>342.18659999999994</v>
      </c>
      <c r="K16" s="177">
        <f t="shared" si="3"/>
        <v>292.56954299999995</v>
      </c>
      <c r="L16" s="178">
        <f t="shared" ca="1" si="3"/>
        <v>456.30957805974356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B9" zoomScale="80" zoomScaleNormal="80" workbookViewId="0">
      <selection activeCell="C36" sqref="C3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5324.9323376414059</v>
      </c>
      <c r="U10" s="190">
        <f>'Données projet'!D9</f>
        <v>1.1299999999999999</v>
      </c>
      <c r="V10" s="189">
        <f>U10*T10</f>
        <v>6017.1735415347885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5000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5</v>
      </c>
      <c r="I21" s="204">
        <v>1000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6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-539.59614101098396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7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8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-539.59614101098396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9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10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11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12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13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14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15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16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17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18</v>
      </c>
      <c r="B35" s="193">
        <f>'Données projet'!D48</f>
        <v>294</v>
      </c>
      <c r="C35" s="206">
        <v>40</v>
      </c>
      <c r="D35" s="194">
        <f t="shared" si="2"/>
        <v>11760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2024-02-05T10:47:18Z</dcterms:modified>
</cp:coreProperties>
</file>