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3 femmes\Montirat\"/>
    </mc:Choice>
  </mc:AlternateContent>
  <bookViews>
    <workbookView xWindow="0" yWindow="0" windowWidth="20490" windowHeight="7155" tabRatio="866" firstSheet="1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B72" i="1" l="1"/>
  <c r="B176" i="1"/>
  <c r="D172" i="1"/>
  <c r="B172" i="1"/>
  <c r="B171" i="1"/>
  <c r="D170" i="1"/>
  <c r="B170" i="1"/>
  <c r="B169" i="1"/>
  <c r="B168" i="1"/>
  <c r="D79" i="1"/>
  <c r="B79" i="1"/>
  <c r="D78" i="1"/>
  <c r="B78" i="1"/>
  <c r="D77" i="1"/>
  <c r="B77" i="1"/>
  <c r="D76" i="1"/>
  <c r="B76" i="1"/>
  <c r="B75" i="1"/>
  <c r="D74" i="1"/>
  <c r="B74" i="1"/>
  <c r="B73" i="1"/>
  <c r="D72" i="1"/>
  <c r="B71" i="1"/>
  <c r="D70" i="1"/>
  <c r="B70" i="1"/>
  <c r="B69" i="1"/>
  <c r="D68" i="1"/>
  <c r="B68" i="1"/>
  <c r="B67" i="1"/>
  <c r="D66" i="1"/>
  <c r="B66" i="1"/>
  <c r="B65" i="1"/>
  <c r="B64" i="1"/>
  <c r="B153" i="1" l="1"/>
  <c r="D152" i="1"/>
  <c r="B152" i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D142" i="1"/>
  <c r="B142" i="1"/>
  <c r="B141" i="1"/>
  <c r="B140" i="1"/>
  <c r="D132" i="1"/>
  <c r="B132" i="1"/>
  <c r="B131" i="1"/>
  <c r="D130" i="1"/>
  <c r="B130" i="1"/>
  <c r="B129" i="1"/>
  <c r="D128" i="1"/>
  <c r="B128" i="1"/>
  <c r="B127" i="1"/>
  <c r="D126" i="1"/>
  <c r="B126" i="1"/>
  <c r="B125" i="1"/>
  <c r="D124" i="1"/>
  <c r="B124" i="1"/>
  <c r="B123" i="1"/>
  <c r="D122" i="1"/>
  <c r="B122" i="1"/>
  <c r="B121" i="1"/>
  <c r="D120" i="1"/>
  <c r="B120" i="1"/>
  <c r="B119" i="1"/>
  <c r="D118" i="1"/>
  <c r="B118" i="1"/>
  <c r="B117" i="1"/>
  <c r="D116" i="1"/>
  <c r="B116" i="1"/>
  <c r="B115" i="1"/>
  <c r="B114" i="1"/>
  <c r="D106" i="1"/>
  <c r="B106" i="1"/>
  <c r="B105" i="1"/>
  <c r="D104" i="1"/>
  <c r="B104" i="1"/>
  <c r="B103" i="1"/>
  <c r="D102" i="1"/>
  <c r="B102" i="1"/>
  <c r="B101" i="1"/>
  <c r="D100" i="1"/>
  <c r="B100" i="1"/>
  <c r="B99" i="1"/>
  <c r="D98" i="1"/>
  <c r="B98" i="1"/>
  <c r="B97" i="1"/>
  <c r="D96" i="1"/>
  <c r="B96" i="1"/>
  <c r="B95" i="1"/>
  <c r="D94" i="1"/>
  <c r="B94" i="1"/>
  <c r="B93" i="1"/>
  <c r="B9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B156" i="2" l="1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H164" i="2" l="1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A185" i="2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B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 l="1"/>
  <c r="EB201" i="2"/>
  <c r="EA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151" i="2" l="1" a="1"/>
  <c r="AH151" i="2" s="1"/>
  <c r="AH199" i="2" a="1"/>
  <c r="AH199" i="2" s="1"/>
  <c r="AH166" i="2" a="1"/>
  <c r="AH166" i="2" s="1"/>
  <c r="AH163" i="2" a="1"/>
  <c r="AH163" i="2" s="1"/>
  <c r="AH19" i="2" a="1"/>
  <c r="AH19" i="2" s="1"/>
  <c r="AH62" i="2" a="1"/>
  <c r="AH62" i="2" s="1"/>
  <c r="AH92" i="2" a="1"/>
  <c r="AH92" i="2" s="1"/>
  <c r="AH90" i="2" a="1"/>
  <c r="AH90" i="2" s="1"/>
  <c r="BX107" i="2" a="1"/>
  <c r="BX107" i="2" s="1"/>
  <c r="BC83" i="2" a="1"/>
  <c r="BC83" i="2" s="1"/>
  <c r="BC82" i="2" a="1"/>
  <c r="BC82" i="2" s="1"/>
  <c r="BC65" i="2" a="1"/>
  <c r="BC65" i="2" s="1"/>
  <c r="BC18" i="2" a="1"/>
  <c r="BC18" i="2" s="1"/>
  <c r="BC84" i="2" a="1"/>
  <c r="BC84" i="2" s="1"/>
  <c r="BC114" i="2" a="1"/>
  <c r="BC114" i="2" s="1"/>
  <c r="BC151" i="2" a="1"/>
  <c r="BC151" i="2" s="1"/>
  <c r="BC31" i="2" a="1"/>
  <c r="BC31" i="2" s="1"/>
  <c r="BC38" i="2" a="1"/>
  <c r="BC38" i="2" s="1"/>
  <c r="BC32" i="2" a="1"/>
  <c r="BC32" i="2" s="1"/>
  <c r="BC126" i="2" a="1"/>
  <c r="BC126" i="2" s="1"/>
  <c r="BC192" i="2" a="1"/>
  <c r="BC192" i="2" s="1"/>
  <c r="BC7" i="2" a="1"/>
  <c r="BC7" i="2" s="1"/>
  <c r="BC68" i="2" a="1"/>
  <c r="BC68" i="2" s="1"/>
  <c r="BC47" i="2" a="1"/>
  <c r="BC47" i="2" s="1"/>
  <c r="BC185" i="2" a="1"/>
  <c r="BC185" i="2" s="1"/>
  <c r="BC130" i="2" a="1"/>
  <c r="BC130" i="2" s="1"/>
  <c r="BC117" i="2" a="1"/>
  <c r="BC117" i="2" s="1"/>
  <c r="BC58" i="2" a="1"/>
  <c r="BC58" i="2" s="1"/>
  <c r="BC55" i="2" a="1"/>
  <c r="BC55" i="2" s="1"/>
  <c r="BC143" i="2" a="1"/>
  <c r="BC143" i="2" s="1"/>
  <c r="BC181" i="2" a="1"/>
  <c r="BC181" i="2" s="1"/>
  <c r="BC34" i="2" a="1"/>
  <c r="BC3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86" i="2" l="1"/>
  <c r="DT80" i="2"/>
  <c r="DT45" i="2"/>
  <c r="DT184" i="2"/>
  <c r="DT185" i="2"/>
  <c r="DT150" i="2"/>
  <c r="DT11" i="2"/>
  <c r="DT129" i="2"/>
  <c r="DT31" i="2"/>
  <c r="DT192" i="2"/>
  <c r="DT140" i="2"/>
  <c r="DT72" i="2"/>
  <c r="DT175" i="2"/>
  <c r="DT99" i="2"/>
  <c r="DT169" i="2"/>
  <c r="DT38" i="2"/>
  <c r="DT139" i="2"/>
  <c r="DT90" i="2"/>
  <c r="DT136" i="2"/>
  <c r="DT42" i="2"/>
  <c r="DT125" i="2"/>
  <c r="DT17" i="2"/>
  <c r="DT62" i="2"/>
  <c r="DT58" i="2"/>
  <c r="DT44" i="2"/>
  <c r="DT94" i="2"/>
  <c r="DT91" i="2"/>
  <c r="DT122" i="2"/>
  <c r="DT101" i="2"/>
  <c r="DT61" i="2"/>
  <c r="DT168" i="2"/>
  <c r="DT7" i="2"/>
  <c r="DT133" i="2"/>
  <c r="DT128" i="2"/>
  <c r="DT70" i="2"/>
  <c r="DT10" i="2"/>
  <c r="DT120" i="2"/>
  <c r="DT114" i="2"/>
  <c r="DT102" i="2"/>
  <c r="DT40" i="2"/>
  <c r="DT196" i="2"/>
  <c r="DT180" i="2"/>
  <c r="DT54" i="2"/>
  <c r="DT199" i="2"/>
  <c r="DT197" i="2"/>
  <c r="DT67" i="2"/>
  <c r="DT29" i="2"/>
  <c r="DT179" i="2"/>
  <c r="DT127" i="2"/>
  <c r="DT165" i="2"/>
  <c r="DT176" i="2"/>
  <c r="DT111" i="2"/>
  <c r="DT202" i="2"/>
  <c r="DT103" i="2"/>
  <c r="DT74" i="2"/>
  <c r="DT4" i="2"/>
  <c r="DT57" i="2"/>
  <c r="DT21" i="2"/>
  <c r="DT138" i="2"/>
  <c r="DT5" i="2"/>
  <c r="DT88" i="2"/>
  <c r="DT153" i="2"/>
  <c r="DT146" i="2"/>
  <c r="DT161" i="2"/>
  <c r="DT8" i="2"/>
  <c r="DT188" i="2"/>
  <c r="DT152" i="2"/>
  <c r="DT104" i="2"/>
  <c r="DT117" i="2"/>
  <c r="DT171" i="2"/>
  <c r="DT15" i="2"/>
  <c r="DT173" i="2"/>
  <c r="DT95" i="2"/>
  <c r="DT178" i="2"/>
  <c r="DT82" i="2"/>
  <c r="DT64" i="2"/>
  <c r="DT92" i="2"/>
  <c r="DT164" i="2"/>
  <c r="DT53" i="2"/>
  <c r="DT132" i="2"/>
  <c r="DT36" i="2"/>
  <c r="DT35" i="2"/>
  <c r="DT190" i="2"/>
  <c r="DT12" i="2"/>
  <c r="DT113" i="2"/>
  <c r="DT55" i="2"/>
  <c r="DT48" i="2"/>
  <c r="DT193" i="2"/>
  <c r="DT41" i="2"/>
  <c r="DT198" i="2"/>
  <c r="DT85" i="2"/>
  <c r="DT130" i="2"/>
  <c r="DT163" i="2"/>
  <c r="DT118" i="2"/>
  <c r="DT43" i="2"/>
  <c r="DT115" i="2"/>
  <c r="DT148" i="2"/>
  <c r="DT16" i="2"/>
  <c r="DT124" i="2"/>
  <c r="DT59" i="2"/>
  <c r="DT23" i="2"/>
  <c r="DT147" i="2"/>
  <c r="DT126" i="2"/>
  <c r="DT142" i="2"/>
  <c r="DT27" i="2"/>
  <c r="DT56" i="2"/>
  <c r="DT183" i="2"/>
  <c r="DT14" i="2"/>
  <c r="DT76" i="2"/>
  <c r="DT68" i="2"/>
  <c r="DT46" i="2"/>
  <c r="DT186" i="2"/>
  <c r="DT75" i="2"/>
  <c r="DT112" i="2"/>
  <c r="DT135" i="2"/>
  <c r="DT194" i="2"/>
  <c r="DT187" i="2"/>
  <c r="DT108" i="2"/>
  <c r="DT167" i="2"/>
  <c r="DT52" i="2"/>
  <c r="DT22" i="2"/>
  <c r="DT119" i="2"/>
  <c r="DT93" i="2"/>
  <c r="DT39" i="2"/>
  <c r="DT26" i="2"/>
  <c r="DT60" i="2"/>
  <c r="DT154" i="2"/>
  <c r="DT191" i="2"/>
  <c r="DT105" i="2"/>
  <c r="DT172" i="2"/>
  <c r="DT20" i="2"/>
  <c r="DT87" i="2"/>
  <c r="DT83" i="2"/>
  <c r="DT25" i="2"/>
  <c r="DT24" i="2"/>
  <c r="DT33" i="2"/>
  <c r="DT34" i="2"/>
  <c r="DT131" i="2"/>
  <c r="DT195" i="2"/>
  <c r="DT47" i="2"/>
  <c r="DT71" i="2"/>
  <c r="DT123" i="2"/>
  <c r="DT141" i="2"/>
  <c r="DT37" i="2"/>
  <c r="DT19" i="2"/>
  <c r="DT203" i="2"/>
  <c r="DT30" i="2"/>
  <c r="DT79" i="2"/>
  <c r="DT78" i="2"/>
  <c r="DT159" i="2"/>
  <c r="DT96" i="2"/>
  <c r="DT109" i="2"/>
  <c r="DT66" i="2"/>
  <c r="DT89" i="2"/>
  <c r="DT177" i="2"/>
  <c r="DT107" i="2"/>
  <c r="DT3" i="2"/>
  <c r="C11" i="4" s="1"/>
  <c r="E11" i="4" s="1"/>
  <c r="F11" i="4" s="1"/>
  <c r="G11" i="4" s="1"/>
  <c r="L11" i="4" s="1"/>
  <c r="DT182" i="2"/>
  <c r="DT156" i="2"/>
  <c r="DT201" i="2"/>
  <c r="DT116" i="2"/>
  <c r="DT155" i="2"/>
  <c r="DT162" i="2"/>
  <c r="DT73" i="2"/>
  <c r="DT166" i="2"/>
  <c r="DT149" i="2"/>
  <c r="DT158" i="2"/>
  <c r="DT145" i="2"/>
  <c r="DT100" i="2"/>
  <c r="DT18" i="2"/>
  <c r="DT137" i="2"/>
  <c r="DT51" i="2"/>
  <c r="DT106" i="2"/>
  <c r="DT49" i="2"/>
  <c r="DT32" i="2"/>
  <c r="DT174" i="2"/>
  <c r="DT170" i="2"/>
  <c r="DT157" i="2"/>
  <c r="DT13" i="2"/>
  <c r="DT6" i="2"/>
  <c r="DT144" i="2"/>
  <c r="DT189" i="2"/>
  <c r="DT143" i="2"/>
  <c r="DT121" i="2"/>
  <c r="DT9" i="2"/>
  <c r="DT151" i="2"/>
  <c r="DT160" i="2"/>
  <c r="DT81" i="2"/>
  <c r="DT181" i="2"/>
  <c r="DT97" i="2"/>
  <c r="DT63" i="2"/>
  <c r="DT50" i="2"/>
  <c r="DT84" i="2"/>
  <c r="DT69" i="2"/>
  <c r="DT65" i="2"/>
  <c r="DT98" i="2"/>
  <c r="DT28" i="2"/>
  <c r="DT110" i="2"/>
  <c r="DT77" i="2"/>
  <c r="DT134" i="2"/>
  <c r="DT20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<sst xmlns="http://schemas.openxmlformats.org/spreadsheetml/2006/main" count="1175" uniqueCount="324">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</sst>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2.0363074596506814</c:v>
                </c:pt>
                <c:pt idx="2">
                  <c:v>2.6739372127882373</c:v>
                </c:pt>
                <c:pt idx="3">
                  <c:v>3.5120485252879514</c:v>
                </c:pt>
                <c:pt idx="4">
                  <c:v>4.6139193907103957</c:v>
                </c:pt>
                <c:pt idx="5">
                  <c:v>6.0628720470428705</c:v>
                </c:pt>
                <c:pt idx="6">
                  <c:v>7.9686434112049715</c:v>
                </c:pt>
                <c:pt idx="7">
                  <c:v>10.475786346950477</c:v>
                </c:pt>
                <c:pt idx="8">
                  <c:v>13.774750984690558</c:v>
                </c:pt>
                <c:pt idx="9">
                  <c:v>18.116503381105261</c:v>
                </c:pt>
                <c:pt idx="10">
                  <c:v>23.831813713245442</c:v>
                </c:pt>
                <c:pt idx="11">
                  <c:v>31.35670946046541</c:v>
                </c:pt>
                <c:pt idx="12">
                  <c:v>41.266069090317508</c:v>
                </c:pt>
                <c:pt idx="13">
                  <c:v>58.795046195669869</c:v>
                </c:pt>
                <c:pt idx="14">
                  <c:v>76.18607486224613</c:v>
                </c:pt>
                <c:pt idx="15">
                  <c:v>97.554514250101889</c:v>
                </c:pt>
                <c:pt idx="16">
                  <c:v>118.80601546035552</c:v>
                </c:pt>
                <c:pt idx="17">
                  <c:v>101.56363095908013</c:v>
                </c:pt>
                <c:pt idx="18">
                  <c:v>114.61617271372639</c:v>
                </c:pt>
                <c:pt idx="19">
                  <c:v>129.65696584758876</c:v>
                </c:pt>
                <c:pt idx="20">
                  <c:v>144.65554079472784</c:v>
                </c:pt>
                <c:pt idx="21">
                  <c:v>164.68302430052464</c:v>
                </c:pt>
                <c:pt idx="22">
                  <c:v>184.65292865116098</c:v>
                </c:pt>
                <c:pt idx="23">
                  <c:v>158.12231537454977</c:v>
                </c:pt>
                <c:pt idx="24">
                  <c:v>178.17503537456423</c:v>
                </c:pt>
                <c:pt idx="25">
                  <c:v>198.17482342435164</c:v>
                </c:pt>
                <c:pt idx="26">
                  <c:v>218.12777482817626</c:v>
                </c:pt>
                <c:pt idx="27">
                  <c:v>240.16288844163589</c:v>
                </c:pt>
                <c:pt idx="28">
                  <c:v>262.15197379573078</c:v>
                </c:pt>
                <c:pt idx="29">
                  <c:v>284.09943356664854</c:v>
                </c:pt>
                <c:pt idx="30">
                  <c:v>232.30794578251718</c:v>
                </c:pt>
                <c:pt idx="31">
                  <c:v>250.58421937612465</c:v>
                </c:pt>
                <c:pt idx="32">
                  <c:v>268.83027828848697</c:v>
                </c:pt>
                <c:pt idx="33">
                  <c:v>287.5612665062128</c:v>
                </c:pt>
                <c:pt idx="34">
                  <c:v>306.2649740399246</c:v>
                </c:pt>
                <c:pt idx="35">
                  <c:v>243.92730997062753</c:v>
                </c:pt>
                <c:pt idx="36">
                  <c:v>258.87563824909631</c:v>
                </c:pt>
                <c:pt idx="37">
                  <c:v>273.80446489155833</c:v>
                </c:pt>
                <c:pt idx="38">
                  <c:v>288.71500303129199</c:v>
                </c:pt>
                <c:pt idx="39">
                  <c:v>303.80039405917961</c:v>
                </c:pt>
                <c:pt idx="40">
                  <c:v>318.86912718593561</c:v>
                </c:pt>
                <c:pt idx="41">
                  <c:v>333.92210044844745</c:v>
                </c:pt>
                <c:pt idx="42">
                  <c:v>348.96012430270792</c:v>
                </c:pt>
                <c:pt idx="43">
                  <c:v>364.04132309389939</c:v>
                </c:pt>
                <c:pt idx="44">
                  <c:v>379.10887535976013</c:v>
                </c:pt>
                <c:pt idx="45">
                  <c:v>394.16339978566788</c:v>
                </c:pt>
                <c:pt idx="46">
                  <c:v>409.2054639463301</c:v>
                </c:pt>
                <c:pt idx="47">
                  <c:v>424.23559029093599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85795680"/>
        <c:axId val="-1787359024"/>
      </c:scatterChart>
      <c:valAx>
        <c:axId val="-1785795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7359024"/>
        <c:crosses val="autoZero"/>
        <c:crossBetween val="midCat"/>
      </c:valAx>
      <c:valAx>
        <c:axId val="-178735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5795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74412464"/>
        <c:axId val="-1574408112"/>
      </c:scatterChart>
      <c:valAx>
        <c:axId val="-1574412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08112"/>
        <c:crosses val="autoZero"/>
        <c:crossBetween val="midCat"/>
      </c:valAx>
      <c:valAx>
        <c:axId val="-157440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12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221.08320971383424</c:v>
                </c:pt>
                <c:pt idx="42">
                  <c:v>233.32164253354549</c:v>
                </c:pt>
                <c:pt idx="43">
                  <c:v>245.54542201156013</c:v>
                </c:pt>
                <c:pt idx="44">
                  <c:v>257.75538075421986</c:v>
                </c:pt>
                <c:pt idx="45">
                  <c:v>269.95226599479992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282.13675189211079</c:v>
                </c:pt>
                <c:pt idx="52">
                  <c:v>294.30944959160263</c:v>
                </c:pt>
                <c:pt idx="53">
                  <c:v>306.47091553365243</c:v>
                </c:pt>
                <c:pt idx="54">
                  <c:v>318.62165837327234</c:v>
                </c:pt>
                <c:pt idx="55">
                  <c:v>330.76214478850397</c:v>
                </c:pt>
                <c:pt idx="56">
                  <c:v>281.70179813149139</c:v>
                </c:pt>
                <c:pt idx="57">
                  <c:v>293.44034996889701</c:v>
                </c:pt>
                <c:pt idx="58">
                  <c:v>305.16842283850025</c:v>
                </c:pt>
                <c:pt idx="59">
                  <c:v>316.8864763741696</c:v>
                </c:pt>
                <c:pt idx="60">
                  <c:v>328.5949334270008</c:v>
                </c:pt>
                <c:pt idx="61">
                  <c:v>340.29418424269653</c:v>
                </c:pt>
                <c:pt idx="62">
                  <c:v>351.98459003420857</c:v>
                </c:pt>
                <c:pt idx="63">
                  <c:v>363.66648605477604</c:v>
                </c:pt>
                <c:pt idx="64">
                  <c:v>375.34018425536198</c:v>
                </c:pt>
                <c:pt idx="65">
                  <c:v>387.0059755941316</c:v>
                </c:pt>
                <c:pt idx="66">
                  <c:v>337.26190853958735</c:v>
                </c:pt>
                <c:pt idx="67">
                  <c:v>348.08874968614623</c:v>
                </c:pt>
                <c:pt idx="68">
                  <c:v>358.90820183854044</c:v>
                </c:pt>
                <c:pt idx="69">
                  <c:v>369.72051922288409</c:v>
                </c:pt>
                <c:pt idx="70">
                  <c:v>380.52593997693936</c:v>
                </c:pt>
                <c:pt idx="71">
                  <c:v>391.32468760597868</c:v>
                </c:pt>
                <c:pt idx="72">
                  <c:v>402.11697226951816</c:v>
                </c:pt>
                <c:pt idx="73">
                  <c:v>412.90299192267594</c:v>
                </c:pt>
                <c:pt idx="74">
                  <c:v>423.68293333202695</c:v>
                </c:pt>
                <c:pt idx="75">
                  <c:v>434.45697298266236</c:v>
                </c:pt>
                <c:pt idx="76">
                  <c:v>383.98225493635573</c:v>
                </c:pt>
                <c:pt idx="77">
                  <c:v>393.91541769108943</c:v>
                </c:pt>
                <c:pt idx="78">
                  <c:v>403.84315144097854</c:v>
                </c:pt>
                <c:pt idx="79">
                  <c:v>413.76560851360483</c:v>
                </c:pt>
                <c:pt idx="80">
                  <c:v>423.68293333202695</c:v>
                </c:pt>
                <c:pt idx="81">
                  <c:v>433.16439422753189</c:v>
                </c:pt>
                <c:pt idx="82">
                  <c:v>442.64139911407329</c:v>
                </c:pt>
                <c:pt idx="83">
                  <c:v>452.11405687747123</c:v>
                </c:pt>
                <c:pt idx="84">
                  <c:v>461.58247146723471</c:v>
                </c:pt>
                <c:pt idx="85">
                  <c:v>471.04674221919896</c:v>
                </c:pt>
                <c:pt idx="86">
                  <c:v>419.80284331345229</c:v>
                </c:pt>
                <c:pt idx="87">
                  <c:v>428.85519840828562</c:v>
                </c:pt>
                <c:pt idx="88">
                  <c:v>437.9034467468835</c:v>
                </c:pt>
                <c:pt idx="89">
                  <c:v>446.94768518373354</c:v>
                </c:pt>
                <c:pt idx="90">
                  <c:v>455.98800633231934</c:v>
                </c:pt>
                <c:pt idx="91">
                  <c:v>463.94892385676326</c:v>
                </c:pt>
                <c:pt idx="92">
                  <c:v>471.90692830623613</c:v>
                </c:pt>
                <c:pt idx="93">
                  <c:v>479.86207575399197</c:v>
                </c:pt>
                <c:pt idx="94">
                  <c:v>487.81442026172414</c:v>
                </c:pt>
                <c:pt idx="95">
                  <c:v>495.76401398405795</c:v>
                </c:pt>
                <c:pt idx="96">
                  <c:v>503.71090726599067</c:v>
                </c:pt>
                <c:pt idx="97">
                  <c:v>511.65514873386093</c:v>
                </c:pt>
                <c:pt idx="98">
                  <c:v>519.59678538037383</c:v>
                </c:pt>
                <c:pt idx="99">
                  <c:v>527.53586264415628</c:v>
                </c:pt>
                <c:pt idx="100">
                  <c:v>535.4724244842738</c:v>
                </c:pt>
                <c:pt idx="101">
                  <c:v>451.82706949726935</c:v>
                </c:pt>
                <c:pt idx="102">
                  <c:v>458.42679851096153</c:v>
                </c:pt>
                <c:pt idx="103">
                  <c:v>465.02449883304183</c:v>
                </c:pt>
                <c:pt idx="104">
                  <c:v>471.62020332386783</c:v>
                </c:pt>
                <c:pt idx="105">
                  <c:v>478.2139438491601</c:v>
                </c:pt>
                <c:pt idx="106">
                  <c:v>484.80575132371035</c:v>
                </c:pt>
                <c:pt idx="107">
                  <c:v>491.39565575258717</c:v>
                </c:pt>
                <c:pt idx="108">
                  <c:v>497.9836862700156</c:v>
                </c:pt>
                <c:pt idx="109">
                  <c:v>504.56987117609265</c:v>
                </c:pt>
                <c:pt idx="110">
                  <c:v>511.15423797148287</c:v>
                </c:pt>
                <c:pt idx="111">
                  <c:v>517.73681339023585</c:v>
                </c:pt>
                <c:pt idx="112">
                  <c:v>524.31762343084449</c:v>
                </c:pt>
                <c:pt idx="113">
                  <c:v>530.89669338566466</c:v>
                </c:pt>
                <c:pt idx="114">
                  <c:v>537.47404786879952</c:v>
                </c:pt>
                <c:pt idx="115">
                  <c:v>544.04971084254623</c:v>
                </c:pt>
                <c:pt idx="116">
                  <c:v>463.16013507440977</c:v>
                </c:pt>
                <c:pt idx="117">
                  <c:v>468.17921322374468</c:v>
                </c:pt>
                <c:pt idx="118">
                  <c:v>473.19714485434048</c:v>
                </c:pt>
                <c:pt idx="119">
                  <c:v>478.2139438491601</c:v>
                </c:pt>
                <c:pt idx="120">
                  <c:v>483.22962377589562</c:v>
                </c:pt>
                <c:pt idx="121">
                  <c:v>488.24419789739909</c:v>
                </c:pt>
                <c:pt idx="122">
                  <c:v>493.25767918166156</c:v>
                </c:pt>
                <c:pt idx="123">
                  <c:v>498.2700803113662</c:v>
                </c:pt>
                <c:pt idx="124">
                  <c:v>503.28141369303694</c:v>
                </c:pt>
                <c:pt idx="125">
                  <c:v>508.29169146580165</c:v>
                </c:pt>
                <c:pt idx="126">
                  <c:v>513.30092550979384</c:v>
                </c:pt>
                <c:pt idx="127">
                  <c:v>518.30912745420756</c:v>
                </c:pt>
                <c:pt idx="128">
                  <c:v>523.31630868502668</c:v>
                </c:pt>
                <c:pt idx="129">
                  <c:v>528.32248035244015</c:v>
                </c:pt>
                <c:pt idx="130">
                  <c:v>533.32765337796297</c:v>
                </c:pt>
                <c:pt idx="131">
                  <c:v>464.8093880865456</c:v>
                </c:pt>
                <c:pt idx="132">
                  <c:v>467.17548976530173</c:v>
                </c:pt>
                <c:pt idx="133">
                  <c:v>469.54133601514451</c:v>
                </c:pt>
                <c:pt idx="134">
                  <c:v>471.90692830623601</c:v>
                </c:pt>
                <c:pt idx="135">
                  <c:v>474.27226809277937</c:v>
                </c:pt>
                <c:pt idx="136">
                  <c:v>476.63735681327239</c:v>
                </c:pt>
                <c:pt idx="137">
                  <c:v>479.00219589075596</c:v>
                </c:pt>
                <c:pt idx="138">
                  <c:v>481.36678673305801</c:v>
                </c:pt>
                <c:pt idx="139">
                  <c:v>483.73113073303085</c:v>
                </c:pt>
                <c:pt idx="140">
                  <c:v>486.09522926878549</c:v>
                </c:pt>
                <c:pt idx="141">
                  <c:v>488.45908370391908</c:v>
                </c:pt>
                <c:pt idx="142">
                  <c:v>490.82269538774034</c:v>
                </c:pt>
                <c:pt idx="143">
                  <c:v>493.18606565548765</c:v>
                </c:pt>
                <c:pt idx="144">
                  <c:v>495.54919582854495</c:v>
                </c:pt>
                <c:pt idx="145">
                  <c:v>497.91208721465159</c:v>
                </c:pt>
                <c:pt idx="146">
                  <c:v>500.27474110810971</c:v>
                </c:pt>
                <c:pt idx="147">
                  <c:v>502.63715878998556</c:v>
                </c:pt>
                <c:pt idx="148">
                  <c:v>504.99934152830866</c:v>
                </c:pt>
                <c:pt idx="149">
                  <c:v>507.36129057826548</c:v>
                </c:pt>
                <c:pt idx="150">
                  <c:v>509.72300718239131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87357936"/>
        <c:axId val="-1574406480"/>
      </c:scatterChart>
      <c:valAx>
        <c:axId val="-1787357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06480"/>
        <c:crosses val="autoZero"/>
        <c:crossBetween val="midCat"/>
      </c:valAx>
      <c:valAx>
        <c:axId val="-157440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7357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2.7603282618447889</c:v>
                </c:pt>
                <c:pt idx="2">
                  <c:v>3.4114188821959091</c:v>
                </c:pt>
                <c:pt idx="3">
                  <c:v>4.2166727529947705</c:v>
                </c:pt>
                <c:pt idx="4">
                  <c:v>5.212723364515309</c:v>
                </c:pt>
                <c:pt idx="5">
                  <c:v>6.4449385194544933</c:v>
                </c:pt>
                <c:pt idx="6">
                  <c:v>7.9695092689740825</c:v>
                </c:pt>
                <c:pt idx="7">
                  <c:v>9.8560398752979861</c:v>
                </c:pt>
                <c:pt idx="8">
                  <c:v>12.190759285230749</c:v>
                </c:pt>
                <c:pt idx="9">
                  <c:v>15.080503641437184</c:v>
                </c:pt>
                <c:pt idx="10">
                  <c:v>18.657655416524996</c:v>
                </c:pt>
                <c:pt idx="11">
                  <c:v>25.057384454090755</c:v>
                </c:pt>
                <c:pt idx="12">
                  <c:v>31.410514276526541</c:v>
                </c:pt>
                <c:pt idx="13">
                  <c:v>37.727903052748168</c:v>
                </c:pt>
                <c:pt idx="14">
                  <c:v>44.016422187733419</c:v>
                </c:pt>
                <c:pt idx="15">
                  <c:v>50.280799365877662</c:v>
                </c:pt>
                <c:pt idx="16">
                  <c:v>59.250271506484438</c:v>
                </c:pt>
                <c:pt idx="17">
                  <c:v>68.18426908822488</c:v>
                </c:pt>
                <c:pt idx="18">
                  <c:v>77.088111983126907</c:v>
                </c:pt>
                <c:pt idx="19">
                  <c:v>85.965783832884156</c:v>
                </c:pt>
                <c:pt idx="20">
                  <c:v>94.820374611380657</c:v>
                </c:pt>
                <c:pt idx="21">
                  <c:v>105.5722522556094</c:v>
                </c:pt>
                <c:pt idx="22">
                  <c:v>116.29710631986525</c:v>
                </c:pt>
                <c:pt idx="23">
                  <c:v>126.99778389938218</c:v>
                </c:pt>
                <c:pt idx="24">
                  <c:v>137.67661187603181</c:v>
                </c:pt>
                <c:pt idx="25">
                  <c:v>148.33552588657841</c:v>
                </c:pt>
                <c:pt idx="26">
                  <c:v>159.35586286360191</c:v>
                </c:pt>
                <c:pt idx="27">
                  <c:v>170.35813814817595</c:v>
                </c:pt>
                <c:pt idx="28">
                  <c:v>181.34368368345903</c:v>
                </c:pt>
                <c:pt idx="29">
                  <c:v>192.31365664017576</c:v>
                </c:pt>
                <c:pt idx="30">
                  <c:v>203.26907123098991</c:v>
                </c:pt>
                <c:pt idx="31">
                  <c:v>139.20049206512991</c:v>
                </c:pt>
                <c:pt idx="32">
                  <c:v>149.09615963333516</c:v>
                </c:pt>
                <c:pt idx="33">
                  <c:v>158.97616013715958</c:v>
                </c:pt>
                <c:pt idx="34">
                  <c:v>168.84160560976815</c:v>
                </c:pt>
                <c:pt idx="35">
                  <c:v>178.69346731764233</c:v>
                </c:pt>
                <c:pt idx="36">
                  <c:v>187.77617823114647</c:v>
                </c:pt>
                <c:pt idx="37">
                  <c:v>196.84864368888995</c:v>
                </c:pt>
                <c:pt idx="38">
                  <c:v>205.91140299731572</c:v>
                </c:pt>
                <c:pt idx="39">
                  <c:v>214.96494405293026</c:v>
                </c:pt>
                <c:pt idx="40">
                  <c:v>224.00971024958213</c:v>
                </c:pt>
                <c:pt idx="41">
                  <c:v>187.3979404339226</c:v>
                </c:pt>
                <c:pt idx="42">
                  <c:v>196.09298269939742</c:v>
                </c:pt>
                <c:pt idx="43">
                  <c:v>204.77907175916712</c:v>
                </c:pt>
                <c:pt idx="44">
                  <c:v>213.45664137520589</c:v>
                </c:pt>
                <c:pt idx="45">
                  <c:v>222.12608711761609</c:v>
                </c:pt>
                <c:pt idx="46">
                  <c:v>230.03488071825367</c:v>
                </c:pt>
                <c:pt idx="47">
                  <c:v>237.93745819584919</c:v>
                </c:pt>
                <c:pt idx="48">
                  <c:v>245.83405537221108</c:v>
                </c:pt>
                <c:pt idx="49">
                  <c:v>253.7248916637393</c:v>
                </c:pt>
                <c:pt idx="50">
                  <c:v>261.6101717087289</c:v>
                </c:pt>
                <c:pt idx="51">
                  <c:v>225.89297020726823</c:v>
                </c:pt>
                <c:pt idx="52">
                  <c:v>233.42244664801692</c:v>
                </c:pt>
                <c:pt idx="53">
                  <c:v>240.94637860003544</c:v>
                </c:pt>
                <c:pt idx="54">
                  <c:v>248.46496383915076</c:v>
                </c:pt>
                <c:pt idx="55">
                  <c:v>255.97838717928323</c:v>
                </c:pt>
                <c:pt idx="56">
                  <c:v>262.73619802556993</c:v>
                </c:pt>
                <c:pt idx="57">
                  <c:v>269.49008678800766</c:v>
                </c:pt>
                <c:pt idx="58">
                  <c:v>276.24016575603605</c:v>
                </c:pt>
                <c:pt idx="59">
                  <c:v>282.98654127638605</c:v>
                </c:pt>
                <c:pt idx="60">
                  <c:v>289.72931420493518</c:v>
                </c:pt>
                <c:pt idx="61">
                  <c:v>255.97838717928315</c:v>
                </c:pt>
                <c:pt idx="62">
                  <c:v>261.61017170872884</c:v>
                </c:pt>
                <c:pt idx="63">
                  <c:v>267.23921926263682</c:v>
                </c:pt>
                <c:pt idx="64">
                  <c:v>272.86559571589561</c:v>
                </c:pt>
                <c:pt idx="65">
                  <c:v>278.48936400091253</c:v>
                </c:pt>
                <c:pt idx="66">
                  <c:v>284.11058429716269</c:v>
                </c:pt>
                <c:pt idx="67">
                  <c:v>289.72931420493518</c:v>
                </c:pt>
                <c:pt idx="68">
                  <c:v>295.34560890488143</c:v>
                </c:pt>
                <c:pt idx="69">
                  <c:v>300.95952130477963</c:v>
                </c:pt>
                <c:pt idx="70">
                  <c:v>306.57110217476503</c:v>
                </c:pt>
                <c:pt idx="71">
                  <c:v>278.11452603753787</c:v>
                </c:pt>
                <c:pt idx="72">
                  <c:v>283.36123337871345</c:v>
                </c:pt>
                <c:pt idx="73">
                  <c:v>288.60576477216415</c:v>
                </c:pt>
                <c:pt idx="74">
                  <c:v>293.84816539917779</c:v>
                </c:pt>
                <c:pt idx="75">
                  <c:v>299.08847869495406</c:v>
                </c:pt>
                <c:pt idx="76">
                  <c:v>303.57854617810909</c:v>
                </c:pt>
                <c:pt idx="77">
                  <c:v>308.06713623755621</c:v>
                </c:pt>
                <c:pt idx="78">
                  <c:v>312.55427347161009</c:v>
                </c:pt>
                <c:pt idx="79">
                  <c:v>317.03998171357233</c:v>
                </c:pt>
                <c:pt idx="80">
                  <c:v>321.52428406625791</c:v>
                </c:pt>
                <c:pt idx="81">
                  <c:v>296.46858031425882</c:v>
                </c:pt>
                <c:pt idx="82">
                  <c:v>301.33369868276128</c:v>
                </c:pt>
                <c:pt idx="83">
                  <c:v>306.19706833197517</c:v>
                </c:pt>
                <c:pt idx="84">
                  <c:v>311.05872099875796</c:v>
                </c:pt>
                <c:pt idx="85">
                  <c:v>315.91868734548365</c:v>
                </c:pt>
                <c:pt idx="86">
                  <c:v>320.40333904330788</c:v>
                </c:pt>
                <c:pt idx="87">
                  <c:v>324.88660171920714</c:v>
                </c:pt>
                <c:pt idx="88">
                  <c:v>329.36849727470798</c:v>
                </c:pt>
                <c:pt idx="89">
                  <c:v>333.84904696577172</c:v>
                </c:pt>
                <c:pt idx="90">
                  <c:v>338.3282714304305</c:v>
                </c:pt>
                <c:pt idx="91">
                  <c:v>313.30199011471797</c:v>
                </c:pt>
                <c:pt idx="92">
                  <c:v>318.16118821698814</c:v>
                </c:pt>
                <c:pt idx="93">
                  <c:v>323.01874298926219</c:v>
                </c:pt>
                <c:pt idx="94">
                  <c:v>327.87468266673795</c:v>
                </c:pt>
                <c:pt idx="95">
                  <c:v>332.72903457884451</c:v>
                </c:pt>
                <c:pt idx="96">
                  <c:v>337.20858844808714</c:v>
                </c:pt>
                <c:pt idx="97">
                  <c:v>341.68683217968459</c:v>
                </c:pt>
                <c:pt idx="98">
                  <c:v>346.16378539221336</c:v>
                </c:pt>
                <c:pt idx="99">
                  <c:v>350.63946715468199</c:v>
                </c:pt>
                <c:pt idx="100">
                  <c:v>355.11389600890442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74413008"/>
        <c:axId val="-1574421168"/>
      </c:scatterChart>
      <c:valAx>
        <c:axId val="-1574413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21168"/>
        <c:crosses val="autoZero"/>
        <c:crossBetween val="midCat"/>
      </c:valAx>
      <c:valAx>
        <c:axId val="-157442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13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2.0488154632069886</c:v>
                </c:pt>
                <c:pt idx="2">
                  <c:v>2.4233379605482943</c:v>
                </c:pt>
                <c:pt idx="3">
                  <c:v>2.866578504764091</c:v>
                </c:pt>
                <c:pt idx="4">
                  <c:v>3.3911899510511758</c:v>
                </c:pt>
                <c:pt idx="5">
                  <c:v>4.0121625565625862</c:v>
                </c:pt>
                <c:pt idx="6">
                  <c:v>4.7472570973955088</c:v>
                </c:pt>
                <c:pt idx="7">
                  <c:v>5.6175184684232375</c:v>
                </c:pt>
                <c:pt idx="8">
                  <c:v>6.6478847603431106</c:v>
                </c:pt>
                <c:pt idx="9">
                  <c:v>7.8679096084758688</c:v>
                </c:pt>
                <c:pt idx="10">
                  <c:v>9.3126189320690731</c:v>
                </c:pt>
                <c:pt idx="11">
                  <c:v>11.023527129397273</c:v>
                </c:pt>
                <c:pt idx="12">
                  <c:v>13.049842479543365</c:v>
                </c:pt>
                <c:pt idx="13">
                  <c:v>15.449897065050889</c:v>
                </c:pt>
                <c:pt idx="14">
                  <c:v>18.292843135377566</c:v>
                </c:pt>
                <c:pt idx="15">
                  <c:v>21.660665674944756</c:v>
                </c:pt>
                <c:pt idx="16">
                  <c:v>25.650570254048265</c:v>
                </c:pt>
                <c:pt idx="17">
                  <c:v>30.37781630218231</c:v>
                </c:pt>
                <c:pt idx="18">
                  <c:v>35.979079079598641</c:v>
                </c:pt>
                <c:pt idx="19">
                  <c:v>42.616439224095039</c:v>
                </c:pt>
                <c:pt idx="20">
                  <c:v>50.482117279404498</c:v>
                </c:pt>
                <c:pt idx="21">
                  <c:v>58.16181873764787</c:v>
                </c:pt>
                <c:pt idx="22">
                  <c:v>65.814996070517722</c:v>
                </c:pt>
                <c:pt idx="23">
                  <c:v>73.445178399885819</c:v>
                </c:pt>
                <c:pt idx="24">
                  <c:v>81.055098058555316</c:v>
                </c:pt>
                <c:pt idx="25">
                  <c:v>88.646930299783762</c:v>
                </c:pt>
                <c:pt idx="26">
                  <c:v>96.600820935399511</c:v>
                </c:pt>
                <c:pt idx="27">
                  <c:v>104.53841309330276</c:v>
                </c:pt>
                <c:pt idx="28">
                  <c:v>112.46112117939744</c:v>
                </c:pt>
                <c:pt idx="29">
                  <c:v>120.37014351567463</c:v>
                </c:pt>
                <c:pt idx="30">
                  <c:v>128.26650770980595</c:v>
                </c:pt>
                <c:pt idx="31">
                  <c:v>97.357460189020472</c:v>
                </c:pt>
                <c:pt idx="32">
                  <c:v>105.10479911520382</c:v>
                </c:pt>
                <c:pt idx="33">
                  <c:v>112.83804288902736</c:v>
                </c:pt>
                <c:pt idx="34">
                  <c:v>120.55829551377821</c:v>
                </c:pt>
                <c:pt idx="35">
                  <c:v>128.26650770980598</c:v>
                </c:pt>
                <c:pt idx="36">
                  <c:v>135.77590221752106</c:v>
                </c:pt>
                <c:pt idx="37">
                  <c:v>143.2752984326689</c:v>
                </c:pt>
                <c:pt idx="38">
                  <c:v>150.76529438308782</c:v>
                </c:pt>
                <c:pt idx="39">
                  <c:v>158.24642370859863</c:v>
                </c:pt>
                <c:pt idx="40">
                  <c:v>165.71916537848463</c:v>
                </c:pt>
                <c:pt idx="41">
                  <c:v>141.02649246407415</c:v>
                </c:pt>
                <c:pt idx="42">
                  <c:v>148.1448304530447</c:v>
                </c:pt>
                <c:pt idx="43">
                  <c:v>155.2550041938708</c:v>
                </c:pt>
                <c:pt idx="44">
                  <c:v>162.35744096511166</c:v>
                </c:pt>
                <c:pt idx="45">
                  <c:v>169.45252753886575</c:v>
                </c:pt>
                <c:pt idx="46">
                  <c:v>175.98127648998835</c:v>
                </c:pt>
                <c:pt idx="47">
                  <c:v>182.50434037130813</c:v>
                </c:pt>
                <c:pt idx="48">
                  <c:v>189.02195139881826</c:v>
                </c:pt>
                <c:pt idx="49">
                  <c:v>195.53432443828262</c:v>
                </c:pt>
                <c:pt idx="50">
                  <c:v>202.04165884934017</c:v>
                </c:pt>
                <c:pt idx="51">
                  <c:v>176.7270527096164</c:v>
                </c:pt>
                <c:pt idx="52">
                  <c:v>183.06320324883168</c:v>
                </c:pt>
                <c:pt idx="53">
                  <c:v>189.394226145337</c:v>
                </c:pt>
                <c:pt idx="54">
                  <c:v>195.72031728884349</c:v>
                </c:pt>
                <c:pt idx="55">
                  <c:v>202.04165884934017</c:v>
                </c:pt>
                <c:pt idx="56">
                  <c:v>207.80123939191063</c:v>
                </c:pt>
                <c:pt idx="57">
                  <c:v>213.55713344059961</c:v>
                </c:pt>
                <c:pt idx="58">
                  <c:v>219.30945455294059</c:v>
                </c:pt>
                <c:pt idx="59">
                  <c:v>225.05830983252949</c:v>
                </c:pt>
                <c:pt idx="60">
                  <c:v>230.80380045507442</c:v>
                </c:pt>
                <c:pt idx="61">
                  <c:v>205.0148131897511</c:v>
                </c:pt>
                <c:pt idx="62">
                  <c:v>210.77247642545254</c:v>
                </c:pt>
                <c:pt idx="63">
                  <c:v>216.52651261833466</c:v>
                </c:pt>
                <c:pt idx="64">
                  <c:v>222.27703192546792</c:v>
                </c:pt>
                <c:pt idx="65">
                  <c:v>228.0241383288668</c:v>
                </c:pt>
                <c:pt idx="66">
                  <c:v>233.02697864714693</c:v>
                </c:pt>
                <c:pt idx="67">
                  <c:v>238.02736633848519</c:v>
                </c:pt>
                <c:pt idx="68">
                  <c:v>243.02536029283638</c:v>
                </c:pt>
                <c:pt idx="69">
                  <c:v>248.02101677583127</c:v>
                </c:pt>
                <c:pt idx="70">
                  <c:v>253.01438959744212</c:v>
                </c:pt>
                <c:pt idx="71">
                  <c:v>229.1360956912786</c:v>
                </c:pt>
                <c:pt idx="72">
                  <c:v>233.95315961610117</c:v>
                </c:pt>
                <c:pt idx="73">
                  <c:v>238.76795954513042</c:v>
                </c:pt>
                <c:pt idx="74">
                  <c:v>243.58054766127512</c:v>
                </c:pt>
                <c:pt idx="75">
                  <c:v>248.39097391329733</c:v>
                </c:pt>
                <c:pt idx="76">
                  <c:v>253.01438959744223</c:v>
                </c:pt>
                <c:pt idx="77">
                  <c:v>257.63589159264626</c:v>
                </c:pt>
                <c:pt idx="78">
                  <c:v>262.25551913421668</c:v>
                </c:pt>
                <c:pt idx="79">
                  <c:v>266.87330995991675</c:v>
                </c:pt>
                <c:pt idx="80">
                  <c:v>271.48930039264559</c:v>
                </c:pt>
                <c:pt idx="81">
                  <c:v>248.94588617368993</c:v>
                </c:pt>
                <c:pt idx="82">
                  <c:v>253.19928615387599</c:v>
                </c:pt>
                <c:pt idx="83">
                  <c:v>257.45106775849973</c:v>
                </c:pt>
                <c:pt idx="84">
                  <c:v>261.70126153829159</c:v>
                </c:pt>
                <c:pt idx="85">
                  <c:v>265.94989696880884</c:v>
                </c:pt>
                <c:pt idx="86">
                  <c:v>270.01237717926045</c:v>
                </c:pt>
                <c:pt idx="87">
                  <c:v>274.07348171615951</c:v>
                </c:pt>
                <c:pt idx="88">
                  <c:v>278.13323387862005</c:v>
                </c:pt>
                <c:pt idx="89">
                  <c:v>282.19165622884094</c:v>
                </c:pt>
                <c:pt idx="90">
                  <c:v>286.24877062592179</c:v>
                </c:pt>
                <c:pt idx="91">
                  <c:v>265.21111453546013</c:v>
                </c:pt>
                <c:pt idx="92">
                  <c:v>269.08920787227288</c:v>
                </c:pt>
                <c:pt idx="93">
                  <c:v>272.96604283793084</c:v>
                </c:pt>
                <c:pt idx="94">
                  <c:v>276.84163986131705</c:v>
                </c:pt>
                <c:pt idx="95">
                  <c:v>280.71601875158416</c:v>
                </c:pt>
                <c:pt idx="96">
                  <c:v>284.40478849279231</c:v>
                </c:pt>
                <c:pt idx="97">
                  <c:v>288.09248690720187</c:v>
                </c:pt>
                <c:pt idx="98">
                  <c:v>291.77912966937953</c:v>
                </c:pt>
                <c:pt idx="99">
                  <c:v>295.46473202474755</c:v>
                </c:pt>
                <c:pt idx="100">
                  <c:v>299.14930880666367</c:v>
                </c:pt>
                <c:pt idx="101">
                  <c:v>279.4246932715011</c:v>
                </c:pt>
                <c:pt idx="102">
                  <c:v>282.7449756396461</c:v>
                </c:pt>
                <c:pt idx="103">
                  <c:v>286.06438440827804</c:v>
                </c:pt>
                <c:pt idx="104">
                  <c:v>289.38293116514245</c:v>
                </c:pt>
                <c:pt idx="105">
                  <c:v>292.70062721001727</c:v>
                </c:pt>
                <c:pt idx="106">
                  <c:v>296.20172895940641</c:v>
                </c:pt>
                <c:pt idx="107">
                  <c:v>299.70190776572855</c:v>
                </c:pt>
                <c:pt idx="108">
                  <c:v>303.20117594914217</c:v>
                </c:pt>
                <c:pt idx="109">
                  <c:v>306.6995455217118</c:v>
                </c:pt>
                <c:pt idx="110">
                  <c:v>310.19702819862101</c:v>
                </c:pt>
                <c:pt idx="111">
                  <c:v>2.6741562174905032E-12</c:v>
                </c:pt>
                <c:pt idx="112">
                  <c:v>2.6741562174905032E-12</c:v>
                </c:pt>
                <c:pt idx="113">
                  <c:v>2.6741562174905032E-12</c:v>
                </c:pt>
                <c:pt idx="114">
                  <c:v>2.6741562174905032E-12</c:v>
                </c:pt>
                <c:pt idx="115">
                  <c:v>2.6741562174905032E-12</c:v>
                </c:pt>
                <c:pt idx="116">
                  <c:v>2.6741562174905032E-12</c:v>
                </c:pt>
                <c:pt idx="117">
                  <c:v>2.6741562174905032E-12</c:v>
                </c:pt>
                <c:pt idx="118">
                  <c:v>2.6741562174905032E-12</c:v>
                </c:pt>
                <c:pt idx="119">
                  <c:v>2.6741562174905032E-12</c:v>
                </c:pt>
                <c:pt idx="120">
                  <c:v>2.6741562174905032E-12</c:v>
                </c:pt>
                <c:pt idx="121">
                  <c:v>2.6741562174905032E-12</c:v>
                </c:pt>
                <c:pt idx="122">
                  <c:v>2.6741562174905032E-12</c:v>
                </c:pt>
                <c:pt idx="123">
                  <c:v>2.6741562174905032E-12</c:v>
                </c:pt>
                <c:pt idx="124">
                  <c:v>2.6741562174905032E-12</c:v>
                </c:pt>
                <c:pt idx="125">
                  <c:v>2.6741562174905032E-12</c:v>
                </c:pt>
                <c:pt idx="126">
                  <c:v>2.6741562174905032E-12</c:v>
                </c:pt>
                <c:pt idx="127">
                  <c:v>2.6741562174905032E-12</c:v>
                </c:pt>
                <c:pt idx="128">
                  <c:v>2.6741562174905032E-12</c:v>
                </c:pt>
                <c:pt idx="129">
                  <c:v>2.6741562174905032E-12</c:v>
                </c:pt>
                <c:pt idx="130">
                  <c:v>2.6741562174905032E-12</c:v>
                </c:pt>
                <c:pt idx="131">
                  <c:v>2.6741562174905032E-12</c:v>
                </c:pt>
                <c:pt idx="132">
                  <c:v>2.6741562174905032E-12</c:v>
                </c:pt>
                <c:pt idx="133">
                  <c:v>2.6741562174905032E-12</c:v>
                </c:pt>
                <c:pt idx="134">
                  <c:v>2.6741562174905032E-12</c:v>
                </c:pt>
                <c:pt idx="135">
                  <c:v>2.6741562174905032E-12</c:v>
                </c:pt>
                <c:pt idx="136">
                  <c:v>2.6741562174905032E-12</c:v>
                </c:pt>
                <c:pt idx="137">
                  <c:v>2.6741562174905032E-12</c:v>
                </c:pt>
                <c:pt idx="138">
                  <c:v>2.6741562174905032E-12</c:v>
                </c:pt>
                <c:pt idx="139">
                  <c:v>2.6741562174905032E-12</c:v>
                </c:pt>
                <c:pt idx="140">
                  <c:v>2.6741562174905032E-12</c:v>
                </c:pt>
                <c:pt idx="141">
                  <c:v>2.6741562174905032E-12</c:v>
                </c:pt>
                <c:pt idx="142">
                  <c:v>2.6741562174905032E-12</c:v>
                </c:pt>
                <c:pt idx="143">
                  <c:v>2.6741562174905032E-12</c:v>
                </c:pt>
                <c:pt idx="144">
                  <c:v>2.6741562174905032E-12</c:v>
                </c:pt>
                <c:pt idx="145">
                  <c:v>2.6741562174905032E-12</c:v>
                </c:pt>
                <c:pt idx="146">
                  <c:v>2.6741562174905032E-12</c:v>
                </c:pt>
                <c:pt idx="147">
                  <c:v>2.6741562174905032E-12</c:v>
                </c:pt>
                <c:pt idx="148">
                  <c:v>2.6741562174905032E-12</c:v>
                </c:pt>
                <c:pt idx="149">
                  <c:v>2.6741562174905032E-12</c:v>
                </c:pt>
                <c:pt idx="150">
                  <c:v>2.6741562174905032E-12</c:v>
                </c:pt>
                <c:pt idx="151">
                  <c:v>2.6741562174905032E-12</c:v>
                </c:pt>
                <c:pt idx="152">
                  <c:v>2.6741562174905032E-12</c:v>
                </c:pt>
                <c:pt idx="153">
                  <c:v>2.6741562174905032E-12</c:v>
                </c:pt>
                <c:pt idx="154">
                  <c:v>2.6741562174905032E-12</c:v>
                </c:pt>
                <c:pt idx="155">
                  <c:v>2.6741562174905032E-12</c:v>
                </c:pt>
                <c:pt idx="156">
                  <c:v>2.6741562174905032E-12</c:v>
                </c:pt>
                <c:pt idx="157">
                  <c:v>2.6741562174905032E-12</c:v>
                </c:pt>
                <c:pt idx="158">
                  <c:v>2.6741562174905032E-12</c:v>
                </c:pt>
                <c:pt idx="159">
                  <c:v>2.6741562174905032E-12</c:v>
                </c:pt>
                <c:pt idx="160">
                  <c:v>2.6741562174905032E-12</c:v>
                </c:pt>
                <c:pt idx="161">
                  <c:v>2.6741562174905032E-12</c:v>
                </c:pt>
                <c:pt idx="162">
                  <c:v>2.6741562174905032E-12</c:v>
                </c:pt>
                <c:pt idx="163">
                  <c:v>2.6741562174905032E-12</c:v>
                </c:pt>
                <c:pt idx="164">
                  <c:v>2.6741562174905032E-12</c:v>
                </c:pt>
                <c:pt idx="165">
                  <c:v>2.6741562174905032E-12</c:v>
                </c:pt>
                <c:pt idx="166">
                  <c:v>2.6741562174905032E-12</c:v>
                </c:pt>
                <c:pt idx="167">
                  <c:v>2.6741562174905032E-12</c:v>
                </c:pt>
                <c:pt idx="168">
                  <c:v>2.6741562174905032E-12</c:v>
                </c:pt>
                <c:pt idx="169">
                  <c:v>2.6741562174905032E-12</c:v>
                </c:pt>
                <c:pt idx="170">
                  <c:v>2.6741562174905032E-12</c:v>
                </c:pt>
                <c:pt idx="171">
                  <c:v>2.6741562174905032E-12</c:v>
                </c:pt>
                <c:pt idx="172">
                  <c:v>2.6741562174905032E-12</c:v>
                </c:pt>
                <c:pt idx="173">
                  <c:v>2.6741562174905032E-12</c:v>
                </c:pt>
                <c:pt idx="174">
                  <c:v>2.6741562174905032E-12</c:v>
                </c:pt>
                <c:pt idx="175">
                  <c:v>2.6741562174905032E-12</c:v>
                </c:pt>
                <c:pt idx="176">
                  <c:v>2.6741562174905032E-12</c:v>
                </c:pt>
                <c:pt idx="177">
                  <c:v>2.6741562174905032E-12</c:v>
                </c:pt>
                <c:pt idx="178">
                  <c:v>2.6741562174905032E-12</c:v>
                </c:pt>
                <c:pt idx="179">
                  <c:v>2.6741562174905032E-12</c:v>
                </c:pt>
                <c:pt idx="180">
                  <c:v>2.6741562174905032E-12</c:v>
                </c:pt>
                <c:pt idx="181">
                  <c:v>2.6741562174905032E-12</c:v>
                </c:pt>
                <c:pt idx="182">
                  <c:v>2.6741562174905032E-12</c:v>
                </c:pt>
                <c:pt idx="183">
                  <c:v>2.6741562174905032E-12</c:v>
                </c:pt>
                <c:pt idx="184">
                  <c:v>2.6741562174905032E-12</c:v>
                </c:pt>
                <c:pt idx="185">
                  <c:v>2.6741562174905032E-12</c:v>
                </c:pt>
                <c:pt idx="186">
                  <c:v>2.6741562174905032E-12</c:v>
                </c:pt>
                <c:pt idx="187">
                  <c:v>2.6741562174905032E-12</c:v>
                </c:pt>
                <c:pt idx="188">
                  <c:v>2.6741562174905032E-12</c:v>
                </c:pt>
                <c:pt idx="189">
                  <c:v>2.6741562174905032E-12</c:v>
                </c:pt>
                <c:pt idx="190">
                  <c:v>2.6741562174905032E-12</c:v>
                </c:pt>
                <c:pt idx="191">
                  <c:v>2.6741562174905032E-12</c:v>
                </c:pt>
                <c:pt idx="192">
                  <c:v>2.6741562174905032E-12</c:v>
                </c:pt>
                <c:pt idx="193">
                  <c:v>2.6741562174905032E-12</c:v>
                </c:pt>
                <c:pt idx="194">
                  <c:v>2.6741562174905032E-12</c:v>
                </c:pt>
                <c:pt idx="195">
                  <c:v>2.6741562174905032E-12</c:v>
                </c:pt>
                <c:pt idx="196">
                  <c:v>2.6741562174905032E-12</c:v>
                </c:pt>
                <c:pt idx="197">
                  <c:v>2.6741562174905032E-12</c:v>
                </c:pt>
                <c:pt idx="198">
                  <c:v>2.6741562174905032E-12</c:v>
                </c:pt>
                <c:pt idx="199">
                  <c:v>2.6741562174905032E-12</c:v>
                </c:pt>
                <c:pt idx="200">
                  <c:v>2.6741562174905032E-12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74407024"/>
        <c:axId val="-1574405936"/>
      </c:scatterChart>
      <c:valAx>
        <c:axId val="-1574407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05936"/>
        <c:crosses val="autoZero"/>
        <c:crossBetween val="midCat"/>
      </c:valAx>
      <c:valAx>
        <c:axId val="-157440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07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2.596808764094384</c:v>
                </c:pt>
                <c:pt idx="2">
                  <c:v>3.0718901055764305</c:v>
                </c:pt>
                <c:pt idx="3">
                  <c:v>3.6342071899499691</c:v>
                </c:pt>
                <c:pt idx="4">
                  <c:v>4.2998340645591293</c:v>
                </c:pt>
                <c:pt idx="5">
                  <c:v>5.0878161821071073</c:v>
                </c:pt>
                <c:pt idx="6">
                  <c:v>6.0207213402610904</c:v>
                </c:pt>
                <c:pt idx="7">
                  <c:v>7.1252930568722874</c:v>
                </c:pt>
                <c:pt idx="8">
                  <c:v>8.4332254751185669</c:v>
                </c:pt>
                <c:pt idx="9">
                  <c:v>9.9820824604004272</c:v>
                </c:pt>
                <c:pt idx="10">
                  <c:v>11.816387786299977</c:v>
                </c:pt>
                <c:pt idx="11">
                  <c:v>13.988918335649926</c:v>
                </c:pt>
                <c:pt idx="12">
                  <c:v>16.562238213603774</c:v>
                </c:pt>
                <c:pt idx="13">
                  <c:v>19.610518759375719</c:v>
                </c:pt>
                <c:pt idx="14">
                  <c:v>23.221697862100537</c:v>
                </c:pt>
                <c:pt idx="15">
                  <c:v>27.500041983624204</c:v>
                </c:pt>
                <c:pt idx="16">
                  <c:v>32.569186163494386</c:v>
                </c:pt>
                <c:pt idx="17">
                  <c:v>38.575741381280992</c:v>
                </c:pt>
                <c:pt idx="18">
                  <c:v>45.693575397223277</c:v>
                </c:pt>
                <c:pt idx="19">
                  <c:v>54.128893081463566</c:v>
                </c:pt>
                <c:pt idx="20">
                  <c:v>64.12626586582239</c:v>
                </c:pt>
                <c:pt idx="21">
                  <c:v>73.888147113342214</c:v>
                </c:pt>
                <c:pt idx="22">
                  <c:v>83.617060344493396</c:v>
                </c:pt>
                <c:pt idx="23">
                  <c:v>93.31739206197868</c:v>
                </c:pt>
                <c:pt idx="24">
                  <c:v>102.99253840389149</c:v>
                </c:pt>
                <c:pt idx="25">
                  <c:v>112.64520308935512</c:v>
                </c:pt>
                <c:pt idx="26">
                  <c:v>122.75870819220795</c:v>
                </c:pt>
                <c:pt idx="27">
                  <c:v>132.85195519144966</c:v>
                </c:pt>
                <c:pt idx="28">
                  <c:v>142.92670211515247</c:v>
                </c:pt>
                <c:pt idx="29">
                  <c:v>152.9844384110722</c:v>
                </c:pt>
                <c:pt idx="30">
                  <c:v>163.0264413385365</c:v>
                </c:pt>
                <c:pt idx="31">
                  <c:v>123.72081264655151</c:v>
                </c:pt>
                <c:pt idx="32">
                  <c:v>133.57217447390147</c:v>
                </c:pt>
                <c:pt idx="33">
                  <c:v>143.40601680882062</c:v>
                </c:pt>
                <c:pt idx="34">
                  <c:v>153.22371186614842</c:v>
                </c:pt>
                <c:pt idx="35">
                  <c:v>163.02644133853653</c:v>
                </c:pt>
                <c:pt idx="36">
                  <c:v>172.57664049461565</c:v>
                </c:pt>
                <c:pt idx="37">
                  <c:v>182.11441232770605</c:v>
                </c:pt>
                <c:pt idx="38">
                  <c:v>191.64050015323392</c:v>
                </c:pt>
                <c:pt idx="39">
                  <c:v>201.15556725589195</c:v>
                </c:pt>
                <c:pt idx="40">
                  <c:v>210.66020896792779</c:v>
                </c:pt>
                <c:pt idx="41">
                  <c:v>179.25433975125222</c:v>
                </c:pt>
                <c:pt idx="42">
                  <c:v>188.30765543008616</c:v>
                </c:pt>
                <c:pt idx="43">
                  <c:v>197.35082340140207</c:v>
                </c:pt>
                <c:pt idx="44">
                  <c:v>206.38437474874502</c:v>
                </c:pt>
                <c:pt idx="45">
                  <c:v>215.40879020837653</c:v>
                </c:pt>
                <c:pt idx="46">
                  <c:v>223.71304654316336</c:v>
                </c:pt>
                <c:pt idx="47">
                  <c:v>232.01023665157402</c:v>
                </c:pt>
                <c:pt idx="48">
                  <c:v>240.30064916520561</c:v>
                </c:pt>
                <c:pt idx="49">
                  <c:v>248.58455115028264</c:v>
                </c:pt>
                <c:pt idx="50">
                  <c:v>256.8621903997763</c:v>
                </c:pt>
                <c:pt idx="51">
                  <c:v>224.66164884889892</c:v>
                </c:pt>
                <c:pt idx="52">
                  <c:v>232.72110508292371</c:v>
                </c:pt>
                <c:pt idx="53">
                  <c:v>240.77418794152473</c:v>
                </c:pt>
                <c:pt idx="54">
                  <c:v>248.82114090474559</c:v>
                </c:pt>
                <c:pt idx="55">
                  <c:v>256.86219039977641</c:v>
                </c:pt>
                <c:pt idx="56">
                  <c:v>264.18876923571611</c:v>
                </c:pt>
                <c:pt idx="57">
                  <c:v>271.51076596427566</c:v>
                </c:pt>
                <c:pt idx="58">
                  <c:v>278.82832173116935</c:v>
                </c:pt>
                <c:pt idx="59">
                  <c:v>286.14156966022517</c:v>
                </c:pt>
                <c:pt idx="60">
                  <c:v>293.45063550723535</c:v>
                </c:pt>
                <c:pt idx="61">
                  <c:v>260.64423165588164</c:v>
                </c:pt>
                <c:pt idx="62">
                  <c:v>267.96842738574924</c:v>
                </c:pt>
                <c:pt idx="63">
                  <c:v>275.28811490260853</c:v>
                </c:pt>
                <c:pt idx="64">
                  <c:v>282.60343112558729</c:v>
                </c:pt>
                <c:pt idx="65">
                  <c:v>289.91450529856053</c:v>
                </c:pt>
                <c:pt idx="66">
                  <c:v>296.27885417921635</c:v>
                </c:pt>
                <c:pt idx="67">
                  <c:v>302.64015458064677</c:v>
                </c:pt>
                <c:pt idx="68">
                  <c:v>308.99847969979919</c:v>
                </c:pt>
                <c:pt idx="69">
                  <c:v>315.35389947173059</c:v>
                </c:pt>
                <c:pt idx="70">
                  <c:v>321.70648077925182</c:v>
                </c:pt>
                <c:pt idx="71">
                  <c:v>291.32907236922568</c:v>
                </c:pt>
                <c:pt idx="72">
                  <c:v>297.45710053958948</c:v>
                </c:pt>
                <c:pt idx="73">
                  <c:v>303.5823146887812</c:v>
                </c:pt>
                <c:pt idx="74">
                  <c:v>309.70477967726151</c:v>
                </c:pt>
                <c:pt idx="75">
                  <c:v>315.82455758857049</c:v>
                </c:pt>
                <c:pt idx="76">
                  <c:v>321.70648077925193</c:v>
                </c:pt>
                <c:pt idx="77">
                  <c:v>327.586025360745</c:v>
                </c:pt>
                <c:pt idx="78">
                  <c:v>333.46324010035977</c:v>
                </c:pt>
                <c:pt idx="79">
                  <c:v>339.33817190404278</c:v>
                </c:pt>
                <c:pt idx="80">
                  <c:v>345.21086591914235</c:v>
                </c:pt>
                <c:pt idx="81">
                  <c:v>316.53051562199369</c:v>
                </c:pt>
                <c:pt idx="82">
                  <c:v>321.94170790093375</c:v>
                </c:pt>
                <c:pt idx="83">
                  <c:v>327.35088862883191</c:v>
                </c:pt>
                <c:pt idx="84">
                  <c:v>332.75809577855131</c:v>
                </c:pt>
                <c:pt idx="85">
                  <c:v>338.16336598657432</c:v>
                </c:pt>
                <c:pt idx="86">
                  <c:v>343.33184462384776</c:v>
                </c:pt>
                <c:pt idx="87">
                  <c:v>348.49861337521332</c:v>
                </c:pt>
                <c:pt idx="88">
                  <c:v>353.663701200177</c:v>
                </c:pt>
                <c:pt idx="89">
                  <c:v>358.82713614230016</c:v>
                </c:pt>
                <c:pt idx="90">
                  <c:v>363.98894537123141</c:v>
                </c:pt>
                <c:pt idx="91">
                  <c:v>337.2234565691918</c:v>
                </c:pt>
                <c:pt idx="92">
                  <c:v>342.15734159222217</c:v>
                </c:pt>
                <c:pt idx="93">
                  <c:v>347.08966252971732</c:v>
                </c:pt>
                <c:pt idx="94">
                  <c:v>352.02044477364547</c:v>
                </c:pt>
                <c:pt idx="95">
                  <c:v>356.94971294568472</c:v>
                </c:pt>
                <c:pt idx="96">
                  <c:v>361.64286828294149</c:v>
                </c:pt>
                <c:pt idx="97">
                  <c:v>366.33469202042107</c:v>
                </c:pt>
                <c:pt idx="98">
                  <c:v>371.02520364074059</c:v>
                </c:pt>
                <c:pt idx="99">
                  <c:v>375.71442209311408</c:v>
                </c:pt>
                <c:pt idx="100">
                  <c:v>380.40236581458225</c:v>
                </c:pt>
                <c:pt idx="101">
                  <c:v>355.30679029602032</c:v>
                </c:pt>
                <c:pt idx="102">
                  <c:v>359.5311143520521</c:v>
                </c:pt>
                <c:pt idx="103">
                  <c:v>363.75435257235381</c:v>
                </c:pt>
                <c:pt idx="104">
                  <c:v>367.97651935984987</c:v>
                </c:pt>
                <c:pt idx="105">
                  <c:v>372.19762875953751</c:v>
                </c:pt>
                <c:pt idx="106">
                  <c:v>376.65211223467867</c:v>
                </c:pt>
                <c:pt idx="107">
                  <c:v>381.10544854278942</c:v>
                </c:pt>
                <c:pt idx="108">
                  <c:v>385.55765299714307</c:v>
                </c:pt>
                <c:pt idx="109">
                  <c:v>390.00874052806967</c:v>
                </c:pt>
                <c:pt idx="110">
                  <c:v>394.45872569689226</c:v>
                </c:pt>
                <c:pt idx="111">
                  <c:v>3.3298255850118335E-12</c:v>
                </c:pt>
                <c:pt idx="112">
                  <c:v>3.3298255850118335E-12</c:v>
                </c:pt>
                <c:pt idx="113">
                  <c:v>3.3298255850118335E-12</c:v>
                </c:pt>
                <c:pt idx="114">
                  <c:v>3.3298255850118335E-12</c:v>
                </c:pt>
                <c:pt idx="115">
                  <c:v>3.3298255850118335E-12</c:v>
                </c:pt>
                <c:pt idx="116">
                  <c:v>3.3298255850118335E-12</c:v>
                </c:pt>
                <c:pt idx="117">
                  <c:v>3.3298255850118335E-12</c:v>
                </c:pt>
                <c:pt idx="118">
                  <c:v>3.3298255850118335E-12</c:v>
                </c:pt>
                <c:pt idx="119">
                  <c:v>3.3298255850118335E-12</c:v>
                </c:pt>
                <c:pt idx="120">
                  <c:v>3.3298255850118335E-12</c:v>
                </c:pt>
                <c:pt idx="121">
                  <c:v>3.3298255850118335E-12</c:v>
                </c:pt>
                <c:pt idx="122">
                  <c:v>3.3298255850118335E-12</c:v>
                </c:pt>
                <c:pt idx="123">
                  <c:v>3.3298255850118335E-12</c:v>
                </c:pt>
                <c:pt idx="124">
                  <c:v>3.3298255850118335E-12</c:v>
                </c:pt>
                <c:pt idx="125">
                  <c:v>3.3298255850118335E-12</c:v>
                </c:pt>
                <c:pt idx="126">
                  <c:v>3.3298255850118335E-12</c:v>
                </c:pt>
                <c:pt idx="127">
                  <c:v>3.3298255850118335E-12</c:v>
                </c:pt>
                <c:pt idx="128">
                  <c:v>3.3298255850118335E-12</c:v>
                </c:pt>
                <c:pt idx="129">
                  <c:v>3.3298255850118335E-12</c:v>
                </c:pt>
                <c:pt idx="130">
                  <c:v>3.3298255850118335E-12</c:v>
                </c:pt>
                <c:pt idx="131">
                  <c:v>3.3298255850118335E-12</c:v>
                </c:pt>
                <c:pt idx="132">
                  <c:v>3.3298255850118335E-12</c:v>
                </c:pt>
                <c:pt idx="133">
                  <c:v>3.3298255850118335E-12</c:v>
                </c:pt>
                <c:pt idx="134">
                  <c:v>3.3298255850118335E-12</c:v>
                </c:pt>
                <c:pt idx="135">
                  <c:v>3.3298255850118335E-12</c:v>
                </c:pt>
                <c:pt idx="136">
                  <c:v>3.3298255850118335E-12</c:v>
                </c:pt>
                <c:pt idx="137">
                  <c:v>3.3298255850118335E-12</c:v>
                </c:pt>
                <c:pt idx="138">
                  <c:v>3.3298255850118335E-12</c:v>
                </c:pt>
                <c:pt idx="139">
                  <c:v>3.3298255850118335E-12</c:v>
                </c:pt>
                <c:pt idx="140">
                  <c:v>3.3298255850118335E-12</c:v>
                </c:pt>
                <c:pt idx="141">
                  <c:v>3.3298255850118335E-12</c:v>
                </c:pt>
                <c:pt idx="142">
                  <c:v>3.3298255850118335E-12</c:v>
                </c:pt>
                <c:pt idx="143">
                  <c:v>3.3298255850118335E-12</c:v>
                </c:pt>
                <c:pt idx="144">
                  <c:v>3.3298255850118335E-12</c:v>
                </c:pt>
                <c:pt idx="145">
                  <c:v>3.3298255850118335E-12</c:v>
                </c:pt>
                <c:pt idx="146">
                  <c:v>3.3298255850118335E-12</c:v>
                </c:pt>
                <c:pt idx="147">
                  <c:v>3.3298255850118335E-12</c:v>
                </c:pt>
                <c:pt idx="148">
                  <c:v>3.3298255850118335E-12</c:v>
                </c:pt>
                <c:pt idx="149">
                  <c:v>3.3298255850118335E-12</c:v>
                </c:pt>
                <c:pt idx="150">
                  <c:v>3.3298255850118335E-12</c:v>
                </c:pt>
                <c:pt idx="151">
                  <c:v>3.3298255850118335E-12</c:v>
                </c:pt>
                <c:pt idx="152">
                  <c:v>3.3298255850118335E-12</c:v>
                </c:pt>
                <c:pt idx="153">
                  <c:v>3.3298255850118335E-12</c:v>
                </c:pt>
                <c:pt idx="154">
                  <c:v>3.3298255850118335E-12</c:v>
                </c:pt>
                <c:pt idx="155">
                  <c:v>3.3298255850118335E-12</c:v>
                </c:pt>
                <c:pt idx="156">
                  <c:v>3.3298255850118335E-12</c:v>
                </c:pt>
                <c:pt idx="157">
                  <c:v>3.3298255850118335E-12</c:v>
                </c:pt>
                <c:pt idx="158">
                  <c:v>3.3298255850118335E-12</c:v>
                </c:pt>
                <c:pt idx="159">
                  <c:v>3.3298255850118335E-12</c:v>
                </c:pt>
                <c:pt idx="160">
                  <c:v>3.3298255850118335E-12</c:v>
                </c:pt>
                <c:pt idx="161">
                  <c:v>3.3298255850118335E-12</c:v>
                </c:pt>
                <c:pt idx="162">
                  <c:v>3.3298255850118335E-12</c:v>
                </c:pt>
                <c:pt idx="163">
                  <c:v>3.3298255850118335E-12</c:v>
                </c:pt>
                <c:pt idx="164">
                  <c:v>3.3298255850118335E-12</c:v>
                </c:pt>
                <c:pt idx="165">
                  <c:v>3.3298255850118335E-12</c:v>
                </c:pt>
                <c:pt idx="166">
                  <c:v>3.3298255850118335E-12</c:v>
                </c:pt>
                <c:pt idx="167">
                  <c:v>3.3298255850118335E-12</c:v>
                </c:pt>
                <c:pt idx="168">
                  <c:v>3.3298255850118335E-12</c:v>
                </c:pt>
                <c:pt idx="169">
                  <c:v>3.3298255850118335E-12</c:v>
                </c:pt>
                <c:pt idx="170">
                  <c:v>3.3298255850118335E-12</c:v>
                </c:pt>
                <c:pt idx="171">
                  <c:v>3.3298255850118335E-12</c:v>
                </c:pt>
                <c:pt idx="172">
                  <c:v>3.3298255850118335E-12</c:v>
                </c:pt>
                <c:pt idx="173">
                  <c:v>3.3298255850118335E-12</c:v>
                </c:pt>
                <c:pt idx="174">
                  <c:v>3.3298255850118335E-12</c:v>
                </c:pt>
                <c:pt idx="175">
                  <c:v>3.3298255850118335E-12</c:v>
                </c:pt>
                <c:pt idx="176">
                  <c:v>3.3298255850118335E-12</c:v>
                </c:pt>
                <c:pt idx="177">
                  <c:v>3.3298255850118335E-12</c:v>
                </c:pt>
                <c:pt idx="178">
                  <c:v>3.3298255850118335E-12</c:v>
                </c:pt>
                <c:pt idx="179">
                  <c:v>3.3298255850118335E-12</c:v>
                </c:pt>
                <c:pt idx="180">
                  <c:v>3.3298255850118335E-12</c:v>
                </c:pt>
                <c:pt idx="181">
                  <c:v>3.3298255850118335E-12</c:v>
                </c:pt>
                <c:pt idx="182">
                  <c:v>3.3298255850118335E-12</c:v>
                </c:pt>
                <c:pt idx="183">
                  <c:v>3.3298255850118335E-12</c:v>
                </c:pt>
                <c:pt idx="184">
                  <c:v>3.3298255850118335E-12</c:v>
                </c:pt>
                <c:pt idx="185">
                  <c:v>3.3298255850118335E-12</c:v>
                </c:pt>
                <c:pt idx="186">
                  <c:v>3.3298255850118335E-12</c:v>
                </c:pt>
                <c:pt idx="187">
                  <c:v>3.3298255850118335E-12</c:v>
                </c:pt>
                <c:pt idx="188">
                  <c:v>3.3298255850118335E-12</c:v>
                </c:pt>
                <c:pt idx="189">
                  <c:v>3.3298255850118335E-12</c:v>
                </c:pt>
                <c:pt idx="190">
                  <c:v>3.3298255850118335E-12</c:v>
                </c:pt>
                <c:pt idx="191">
                  <c:v>3.3298255850118335E-12</c:v>
                </c:pt>
                <c:pt idx="192">
                  <c:v>3.3298255850118335E-12</c:v>
                </c:pt>
                <c:pt idx="193">
                  <c:v>3.3298255850118335E-12</c:v>
                </c:pt>
                <c:pt idx="194">
                  <c:v>3.3298255850118335E-12</c:v>
                </c:pt>
                <c:pt idx="195">
                  <c:v>3.3298255850118335E-12</c:v>
                </c:pt>
                <c:pt idx="196">
                  <c:v>3.3298255850118335E-12</c:v>
                </c:pt>
                <c:pt idx="197">
                  <c:v>3.3298255850118335E-12</c:v>
                </c:pt>
                <c:pt idx="198">
                  <c:v>3.3298255850118335E-12</c:v>
                </c:pt>
                <c:pt idx="199">
                  <c:v>3.3298255850118335E-12</c:v>
                </c:pt>
                <c:pt idx="200">
                  <c:v>3.3298255850118335E-12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74411376"/>
        <c:axId val="-1574417904"/>
      </c:scatterChart>
      <c:valAx>
        <c:axId val="-1574411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17904"/>
        <c:crosses val="autoZero"/>
        <c:crossBetween val="midCat"/>
      </c:valAx>
      <c:valAx>
        <c:axId val="-157441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11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127.99300373621668</c:v>
                </c:pt>
                <c:pt idx="32">
                  <c:v>138.54744992970467</c:v>
                </c:pt>
                <c:pt idx="33">
                  <c:v>149.0825777016685</c:v>
                </c:pt>
                <c:pt idx="34">
                  <c:v>159.59994614012587</c:v>
                </c:pt>
                <c:pt idx="35">
                  <c:v>170.1008917228489</c:v>
                </c:pt>
                <c:pt idx="36">
                  <c:v>154.13304399541357</c:v>
                </c:pt>
                <c:pt idx="37">
                  <c:v>165.48242110449394</c:v>
                </c:pt>
                <c:pt idx="38">
                  <c:v>176.81341922195415</c:v>
                </c:pt>
                <c:pt idx="39">
                  <c:v>188.1273831228342</c:v>
                </c:pt>
                <c:pt idx="40">
                  <c:v>199.42548241866663</c:v>
                </c:pt>
                <c:pt idx="41">
                  <c:v>211.12636896992387</c:v>
                </c:pt>
                <c:pt idx="42">
                  <c:v>222.81230638924697</c:v>
                </c:pt>
                <c:pt idx="43">
                  <c:v>234.48418968616227</c:v>
                </c:pt>
                <c:pt idx="44">
                  <c:v>246.14281741922977</c:v>
                </c:pt>
                <c:pt idx="45">
                  <c:v>257.78890626510469</c:v>
                </c:pt>
                <c:pt idx="46">
                  <c:v>211.12636896992379</c:v>
                </c:pt>
                <c:pt idx="47">
                  <c:v>222.81230638924691</c:v>
                </c:pt>
                <c:pt idx="48">
                  <c:v>234.48418968616227</c:v>
                </c:pt>
                <c:pt idx="49">
                  <c:v>246.14281741922969</c:v>
                </c:pt>
                <c:pt idx="50">
                  <c:v>257.78890626510457</c:v>
                </c:pt>
                <c:pt idx="51">
                  <c:v>269.42310281421265</c:v>
                </c:pt>
                <c:pt idx="52">
                  <c:v>281.04599322042532</c:v>
                </c:pt>
                <c:pt idx="53">
                  <c:v>292.65811116959617</c:v>
                </c:pt>
                <c:pt idx="54">
                  <c:v>304.25994451630169</c:v>
                </c:pt>
                <c:pt idx="55">
                  <c:v>315.85194085471181</c:v>
                </c:pt>
                <c:pt idx="56">
                  <c:v>269.0077938022381</c:v>
                </c:pt>
                <c:pt idx="57">
                  <c:v>280.21615005760447</c:v>
                </c:pt>
                <c:pt idx="58">
                  <c:v>291.41445586173216</c:v>
                </c:pt>
                <c:pt idx="59">
                  <c:v>302.60315205267631</c:v>
                </c:pt>
                <c:pt idx="60">
                  <c:v>313.78264418987732</c:v>
                </c:pt>
                <c:pt idx="61">
                  <c:v>324.95330656071542</c:v>
                </c:pt>
                <c:pt idx="62">
                  <c:v>336.1154856070562</c:v>
                </c:pt>
                <c:pt idx="63">
                  <c:v>347.26950287262457</c:v>
                </c:pt>
                <c:pt idx="64">
                  <c:v>358.41565755176816</c:v>
                </c:pt>
                <c:pt idx="65">
                  <c:v>369.55422870449632</c:v>
                </c:pt>
                <c:pt idx="66">
                  <c:v>322.05803699935797</c:v>
                </c:pt>
                <c:pt idx="67">
                  <c:v>332.39568151871464</c:v>
                </c:pt>
                <c:pt idx="68">
                  <c:v>342.7262392021392</c:v>
                </c:pt>
                <c:pt idx="69">
                  <c:v>353.04995387967392</c:v>
                </c:pt>
                <c:pt idx="70">
                  <c:v>363.3670539509107</c:v>
                </c:pt>
                <c:pt idx="71">
                  <c:v>373.67775378131779</c:v>
                </c:pt>
                <c:pt idx="72">
                  <c:v>383.98225493635573</c:v>
                </c:pt>
                <c:pt idx="73">
                  <c:v>394.28074727616121</c:v>
                </c:pt>
                <c:pt idx="74">
                  <c:v>404.57340992986127</c:v>
                </c:pt>
                <c:pt idx="75">
                  <c:v>414.86041216554025</c:v>
                </c:pt>
                <c:pt idx="76">
                  <c:v>366.66716434689437</c:v>
                </c:pt>
                <c:pt idx="77">
                  <c:v>376.15139203422933</c:v>
                </c:pt>
                <c:pt idx="78">
                  <c:v>385.630412725084</c:v>
                </c:pt>
                <c:pt idx="79">
                  <c:v>395.10437251790654</c:v>
                </c:pt>
                <c:pt idx="80">
                  <c:v>404.57340992986127</c:v>
                </c:pt>
                <c:pt idx="81">
                  <c:v>413.62626538682224</c:v>
                </c:pt>
                <c:pt idx="82">
                  <c:v>422.67484705445094</c:v>
                </c:pt>
                <c:pt idx="83">
                  <c:v>431.71925936589827</c:v>
                </c:pt>
                <c:pt idx="84">
                  <c:v>440.75960201986459</c:v>
                </c:pt>
                <c:pt idx="85">
                  <c:v>449.79597029004367</c:v>
                </c:pt>
                <c:pt idx="86">
                  <c:v>400.86871209258283</c:v>
                </c:pt>
                <c:pt idx="87">
                  <c:v>409.51186735681631</c:v>
                </c:pt>
                <c:pt idx="88">
                  <c:v>418.15108380244925</c:v>
                </c:pt>
                <c:pt idx="89">
                  <c:v>426.78645432329768</c:v>
                </c:pt>
                <c:pt idx="90">
                  <c:v>435.41806774560092</c:v>
                </c:pt>
                <c:pt idx="91">
                  <c:v>443.01906305734218</c:v>
                </c:pt>
                <c:pt idx="92">
                  <c:v>450.61726441852397</c:v>
                </c:pt>
                <c:pt idx="93">
                  <c:v>458.2127256093965</c:v>
                </c:pt>
                <c:pt idx="94">
                  <c:v>465.80549848090749</c:v>
                </c:pt>
                <c:pt idx="95">
                  <c:v>473.39563305492248</c:v>
                </c:pt>
                <c:pt idx="96">
                  <c:v>480.98317761768021</c:v>
                </c:pt>
                <c:pt idx="97">
                  <c:v>488.56817880704153</c:v>
                </c:pt>
                <c:pt idx="98">
                  <c:v>496.15068169403861</c:v>
                </c:pt>
                <c:pt idx="99">
                  <c:v>503.73072985917588</c:v>
                </c:pt>
                <c:pt idx="100">
                  <c:v>511.30836546389997</c:v>
                </c:pt>
                <c:pt idx="101">
                  <c:v>431.44524655027152</c:v>
                </c:pt>
                <c:pt idx="102">
                  <c:v>437.74660068377898</c:v>
                </c:pt>
                <c:pt idx="103">
                  <c:v>444.04600908498657</c:v>
                </c:pt>
                <c:pt idx="104">
                  <c:v>450.34350327049287</c:v>
                </c:pt>
                <c:pt idx="105">
                  <c:v>456.63911380293302</c:v>
                </c:pt>
                <c:pt idx="106">
                  <c:v>462.93287033289954</c:v>
                </c:pt>
                <c:pt idx="107">
                  <c:v>469.22480163846382</c:v>
                </c:pt>
                <c:pt idx="108">
                  <c:v>475.51493566246467</c:v>
                </c:pt>
                <c:pt idx="109">
                  <c:v>481.80329954772213</c:v>
                </c:pt>
                <c:pt idx="110">
                  <c:v>488.08991967031665</c:v>
                </c:pt>
                <c:pt idx="111">
                  <c:v>494.37482167106128</c:v>
                </c:pt>
                <c:pt idx="112">
                  <c:v>500.65803048529284</c:v>
                </c:pt>
                <c:pt idx="113">
                  <c:v>506.93957037108618</c:v>
                </c:pt>
                <c:pt idx="114">
                  <c:v>513.21946493599955</c:v>
                </c:pt>
                <c:pt idx="115">
                  <c:v>519.49773716243988</c:v>
                </c:pt>
                <c:pt idx="116">
                  <c:v>442.26593688616032</c:v>
                </c:pt>
                <c:pt idx="117">
                  <c:v>447.05809105413579</c:v>
                </c:pt>
                <c:pt idx="118">
                  <c:v>451.84914558797777</c:v>
                </c:pt>
                <c:pt idx="119">
                  <c:v>456.63911380293302</c:v>
                </c:pt>
                <c:pt idx="120">
                  <c:v>461.42800871186938</c:v>
                </c:pt>
                <c:pt idx="121">
                  <c:v>466.21584303528101</c:v>
                </c:pt>
                <c:pt idx="122">
                  <c:v>471.00262921085886</c:v>
                </c:pt>
                <c:pt idx="123">
                  <c:v>475.78837940265322</c:v>
                </c:pt>
                <c:pt idx="124">
                  <c:v>480.57310550984749</c:v>
                </c:pt>
                <c:pt idx="125">
                  <c:v>485.35681917516405</c:v>
                </c:pt>
                <c:pt idx="126">
                  <c:v>490.1395317929223</c:v>
                </c:pt>
                <c:pt idx="127">
                  <c:v>494.92125451676338</c:v>
                </c:pt>
                <c:pt idx="128">
                  <c:v>499.70199826706374</c:v>
                </c:pt>
                <c:pt idx="129">
                  <c:v>504.48177373804742</c:v>
                </c:pt>
                <c:pt idx="130">
                  <c:v>509.26059140461626</c:v>
                </c:pt>
                <c:pt idx="131">
                  <c:v>443.84062395447262</c:v>
                </c:pt>
                <c:pt idx="132">
                  <c:v>446.09974862279768</c:v>
                </c:pt>
                <c:pt idx="133">
                  <c:v>448.35862830746714</c:v>
                </c:pt>
                <c:pt idx="134">
                  <c:v>450.61726441852397</c:v>
                </c:pt>
                <c:pt idx="135">
                  <c:v>452.87565835070421</c:v>
                </c:pt>
                <c:pt idx="136">
                  <c:v>455.13381148368109</c:v>
                </c:pt>
                <c:pt idx="137">
                  <c:v>457.39172518230367</c:v>
                </c:pt>
                <c:pt idx="138">
                  <c:v>459.64940079682901</c:v>
                </c:pt>
                <c:pt idx="139">
                  <c:v>461.90683966315163</c:v>
                </c:pt>
                <c:pt idx="140">
                  <c:v>464.16404310302738</c:v>
                </c:pt>
                <c:pt idx="141">
                  <c:v>466.42101242429203</c:v>
                </c:pt>
                <c:pt idx="142">
                  <c:v>468.67774892107678</c:v>
                </c:pt>
                <c:pt idx="143">
                  <c:v>470.93425387401822</c:v>
                </c:pt>
                <c:pt idx="144">
                  <c:v>473.19052855046488</c:v>
                </c:pt>
                <c:pt idx="145">
                  <c:v>475.44657420467888</c:v>
                </c:pt>
                <c:pt idx="146">
                  <c:v>477.70239207803388</c:v>
                </c:pt>
                <c:pt idx="147">
                  <c:v>479.95798339921004</c:v>
                </c:pt>
                <c:pt idx="148">
                  <c:v>482.21334938438309</c:v>
                </c:pt>
                <c:pt idx="149">
                  <c:v>484.46849123741146</c:v>
                </c:pt>
                <c:pt idx="150">
                  <c:v>486.72341015001888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74420624"/>
        <c:axId val="-1574410832"/>
      </c:scatterChart>
      <c:valAx>
        <c:axId val="-1574420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10832"/>
        <c:crosses val="autoZero"/>
        <c:crossBetween val="midCat"/>
      </c:valAx>
      <c:valAx>
        <c:axId val="-157441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20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74418992"/>
        <c:axId val="-1574417360"/>
      </c:scatterChart>
      <c:valAx>
        <c:axId val="-1574418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17360"/>
        <c:crosses val="autoZero"/>
        <c:crossBetween val="midCat"/>
      </c:valAx>
      <c:valAx>
        <c:axId val="-157441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18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74409200"/>
        <c:axId val="-1574411920"/>
      </c:scatterChart>
      <c:valAx>
        <c:axId val="-1574409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11920"/>
        <c:crosses val="autoZero"/>
        <c:crossBetween val="midCat"/>
      </c:valAx>
      <c:valAx>
        <c:axId val="-157441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0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74409744"/>
        <c:axId val="-1574408656"/>
      </c:scatterChart>
      <c:valAx>
        <c:axId val="-1574409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08656"/>
        <c:crosses val="autoZero"/>
        <c:crossBetween val="midCat"/>
      </c:valAx>
      <c:valAx>
        <c:axId val="-157440865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74409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3" zoomScale="80" zoomScaleNormal="80" workbookViewId="0">
      <selection activeCell="B45" sqref="B4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3.64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0.7</v>
      </c>
      <c r="D9" s="36">
        <f t="shared" ref="D9:D18" si="0">C9*$C$5</f>
        <v>2.548</v>
      </c>
      <c r="E9" s="37">
        <v>47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0.1</v>
      </c>
      <c r="D10" s="36">
        <f t="shared" si="0"/>
        <v>0.36400000000000005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0.1</v>
      </c>
      <c r="D11" s="36">
        <f t="shared" si="0"/>
        <v>0.36400000000000005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50</v>
      </c>
      <c r="C12" s="35">
        <v>5.1999999999999998E-2</v>
      </c>
      <c r="D12" s="36">
        <f t="shared" si="0"/>
        <v>0.18928</v>
      </c>
      <c r="E12" s="37">
        <v>110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102</v>
      </c>
      <c r="C13" s="35">
        <v>0.02</v>
      </c>
      <c r="D13" s="36">
        <f t="shared" si="0"/>
        <v>7.2800000000000004E-2</v>
      </c>
      <c r="E13" s="37">
        <v>110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</v>
      </c>
      <c r="C14" s="35">
        <v>0.02</v>
      </c>
      <c r="D14" s="36">
        <f t="shared" si="0"/>
        <v>7.2800000000000004E-2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0.99199999999999999</v>
      </c>
      <c r="D19" s="41">
        <f>SUM(D9:D18)</f>
        <v>3.6108799999999999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29.8</v>
      </c>
      <c r="C36" s="63"/>
      <c r="D36" s="63"/>
      <c r="E36" s="54"/>
      <c r="F36" s="54"/>
      <c r="G36" s="54"/>
      <c r="H36" s="54"/>
      <c r="I36" s="52">
        <f>IFERROR(B36/A36,"")</f>
        <v>2.4833333333333334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14</v>
      </c>
      <c r="B37" s="63">
        <v>56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13.1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16</v>
      </c>
      <c r="B38" s="63">
        <v>88.4</v>
      </c>
      <c r="C38" s="63">
        <v>1</v>
      </c>
      <c r="D38" s="63">
        <v>23.1</v>
      </c>
      <c r="E38" s="54"/>
      <c r="F38" s="54">
        <v>0.5</v>
      </c>
      <c r="G38" s="54">
        <v>0.5</v>
      </c>
      <c r="H38" s="54"/>
      <c r="I38" s="56">
        <f t="shared" si="1"/>
        <v>16.200000000000003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18</v>
      </c>
      <c r="B39" s="63">
        <v>85.2</v>
      </c>
      <c r="C39" s="63"/>
      <c r="D39" s="63"/>
      <c r="E39" s="54"/>
      <c r="F39" s="54"/>
      <c r="G39" s="54"/>
      <c r="H39" s="54"/>
      <c r="I39" s="52">
        <f t="shared" si="1"/>
        <v>9.9499999999999957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20</v>
      </c>
      <c r="B40" s="63">
        <v>108.2</v>
      </c>
      <c r="C40" s="63"/>
      <c r="D40" s="63"/>
      <c r="E40" s="54"/>
      <c r="F40" s="54"/>
      <c r="G40" s="54"/>
      <c r="H40" s="54"/>
      <c r="I40" s="52">
        <f t="shared" si="1"/>
        <v>11.5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22</v>
      </c>
      <c r="B41" s="63">
        <v>139</v>
      </c>
      <c r="C41" s="63">
        <v>2</v>
      </c>
      <c r="D41" s="63">
        <v>35.9</v>
      </c>
      <c r="E41" s="54">
        <v>0.25</v>
      </c>
      <c r="F41" s="54">
        <v>0.4</v>
      </c>
      <c r="G41" s="54">
        <v>0.35</v>
      </c>
      <c r="H41" s="54"/>
      <c r="I41" s="56">
        <f t="shared" si="1"/>
        <v>15.399999999999999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26</v>
      </c>
      <c r="B42" s="63">
        <v>164.9</v>
      </c>
      <c r="C42" s="63"/>
      <c r="D42" s="63"/>
      <c r="E42" s="54"/>
      <c r="F42" s="54"/>
      <c r="G42" s="54"/>
      <c r="H42" s="54"/>
      <c r="I42" s="56">
        <f t="shared" si="1"/>
        <v>15.450000000000003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29</v>
      </c>
      <c r="B43" s="63">
        <v>216.2</v>
      </c>
      <c r="C43" s="63">
        <v>3</v>
      </c>
      <c r="D43" s="63">
        <v>54.5</v>
      </c>
      <c r="E43" s="54">
        <v>0.6</v>
      </c>
      <c r="F43" s="54">
        <v>0.3</v>
      </c>
      <c r="G43" s="54">
        <v>0.1</v>
      </c>
      <c r="H43" s="54"/>
      <c r="I43" s="52">
        <f t="shared" si="1"/>
        <v>17.099999999999994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30</v>
      </c>
      <c r="B44" s="63">
        <v>175.9</v>
      </c>
      <c r="C44" s="63"/>
      <c r="D44" s="63"/>
      <c r="E44" s="54"/>
      <c r="F44" s="54"/>
      <c r="G44" s="54"/>
      <c r="H44" s="54"/>
      <c r="I44" s="52">
        <f t="shared" si="1"/>
        <v>14.200000000000017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32</v>
      </c>
      <c r="B45" s="63">
        <v>204.3</v>
      </c>
      <c r="C45" s="63"/>
      <c r="D45" s="63"/>
      <c r="E45" s="54"/>
      <c r="F45" s="54"/>
      <c r="G45" s="54"/>
      <c r="H45" s="54"/>
      <c r="I45" s="52">
        <f t="shared" si="1"/>
        <v>14.200000000000003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34</v>
      </c>
      <c r="B46" s="63">
        <v>233.5</v>
      </c>
      <c r="C46" s="63">
        <v>4</v>
      </c>
      <c r="D46" s="63">
        <v>60.2</v>
      </c>
      <c r="E46" s="54"/>
      <c r="F46" s="54"/>
      <c r="G46" s="54"/>
      <c r="H46" s="54"/>
      <c r="I46" s="52">
        <f t="shared" si="1"/>
        <v>14.599999999999994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38</v>
      </c>
      <c r="B47" s="63">
        <v>219.8</v>
      </c>
      <c r="C47" s="63"/>
      <c r="D47" s="63"/>
      <c r="E47" s="54"/>
      <c r="F47" s="54"/>
      <c r="G47" s="54"/>
      <c r="H47" s="54"/>
      <c r="I47" s="52">
        <f t="shared" si="1"/>
        <v>11.625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42</v>
      </c>
      <c r="B48" s="63">
        <v>266.89999999999998</v>
      </c>
      <c r="C48" s="63"/>
      <c r="D48" s="63"/>
      <c r="E48" s="54"/>
      <c r="F48" s="54"/>
      <c r="G48" s="54"/>
      <c r="H48" s="54"/>
      <c r="I48" s="52">
        <f t="shared" si="1"/>
        <v>11.774999999999991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47</v>
      </c>
      <c r="B49" s="63">
        <v>326</v>
      </c>
      <c r="C49" s="63">
        <v>5</v>
      </c>
      <c r="D49" s="63">
        <f>B49</f>
        <v>326</v>
      </c>
      <c r="E49" s="54"/>
      <c r="F49" s="54"/>
      <c r="G49" s="54"/>
      <c r="H49" s="54"/>
      <c r="I49" s="52">
        <f t="shared" si="1"/>
        <v>11.820000000000004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30</v>
      </c>
      <c r="C62" s="63"/>
      <c r="D62" s="63"/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54</v>
      </c>
      <c r="C63" s="63"/>
      <c r="D63" s="63"/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f>66+13</f>
        <v>79</v>
      </c>
      <c r="C64" s="63">
        <v>1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f>79+14</f>
        <v>93</v>
      </c>
      <c r="C65" s="63"/>
      <c r="D65" s="63"/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f>93+14+14</f>
        <v>121</v>
      </c>
      <c r="C66" s="63">
        <v>2</v>
      </c>
      <c r="D66" s="63">
        <f>14+14</f>
        <v>28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f>107+14</f>
        <v>121</v>
      </c>
      <c r="C67" s="63"/>
      <c r="D67" s="63"/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f>121+14+14</f>
        <v>149</v>
      </c>
      <c r="C68" s="63">
        <v>3</v>
      </c>
      <c r="D68" s="63">
        <f>14+14</f>
        <v>28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f>134+14</f>
        <v>148</v>
      </c>
      <c r="C69" s="53"/>
      <c r="D69" s="53"/>
      <c r="E69" s="54"/>
      <c r="F69" s="54"/>
      <c r="G69" s="54"/>
      <c r="H69" s="54"/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f>147+14+14</f>
        <v>175</v>
      </c>
      <c r="C70" s="53">
        <v>4</v>
      </c>
      <c r="D70" s="53">
        <f>14+14</f>
        <v>28</v>
      </c>
      <c r="E70" s="54"/>
      <c r="F70" s="54"/>
      <c r="G70" s="54"/>
      <c r="H70" s="54"/>
      <c r="I70" s="52">
        <f t="shared" si="2"/>
        <v>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f>158+14</f>
        <v>172</v>
      </c>
      <c r="C71" s="53"/>
      <c r="D71" s="53"/>
      <c r="E71" s="54"/>
      <c r="F71" s="54"/>
      <c r="G71" s="54"/>
      <c r="H71" s="54"/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f>169+14+14</f>
        <v>197</v>
      </c>
      <c r="C72" s="53">
        <v>5</v>
      </c>
      <c r="D72" s="53">
        <f>14+14</f>
        <v>28</v>
      </c>
      <c r="E72" s="54"/>
      <c r="F72" s="54"/>
      <c r="G72" s="54"/>
      <c r="H72" s="54"/>
      <c r="I72" s="52">
        <f t="shared" si="2"/>
        <v>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f>178+14</f>
        <v>192</v>
      </c>
      <c r="C73" s="53"/>
      <c r="D73" s="53"/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f>186+14+14</f>
        <v>214</v>
      </c>
      <c r="C74" s="53">
        <v>6</v>
      </c>
      <c r="D74" s="53">
        <f>14+14</f>
        <v>28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f>193+14</f>
        <v>207</v>
      </c>
      <c r="C75" s="53"/>
      <c r="D75" s="53"/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100</v>
      </c>
      <c r="B76" s="53">
        <f>202+14+14+14</f>
        <v>244</v>
      </c>
      <c r="C76" s="53">
        <v>7</v>
      </c>
      <c r="D76" s="53">
        <f>14+14+14</f>
        <v>42</v>
      </c>
      <c r="E76" s="54"/>
      <c r="F76" s="54"/>
      <c r="G76" s="54"/>
      <c r="H76" s="54"/>
      <c r="I76" s="52">
        <f t="shared" si="2"/>
        <v>3.7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115</v>
      </c>
      <c r="B77" s="53">
        <f>208+14+13+13</f>
        <v>248</v>
      </c>
      <c r="C77" s="53">
        <v>8</v>
      </c>
      <c r="D77" s="53">
        <f>14+13+13</f>
        <v>40</v>
      </c>
      <c r="E77" s="54"/>
      <c r="F77" s="54"/>
      <c r="G77" s="54"/>
      <c r="H77" s="54"/>
      <c r="I77" s="52">
        <f t="shared" si="2"/>
        <v>3.0666666666666669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130</v>
      </c>
      <c r="B78" s="53">
        <f>210+12+11+10</f>
        <v>243</v>
      </c>
      <c r="C78" s="53">
        <v>9</v>
      </c>
      <c r="D78" s="53">
        <f>12+11+10</f>
        <v>33</v>
      </c>
      <c r="E78" s="54"/>
      <c r="F78" s="54"/>
      <c r="G78" s="54"/>
      <c r="H78" s="54"/>
      <c r="I78" s="52">
        <f t="shared" si="2"/>
        <v>2.3333333333333335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150</v>
      </c>
      <c r="B79" s="53">
        <f>211+8+7+6</f>
        <v>232</v>
      </c>
      <c r="C79" s="53">
        <v>10</v>
      </c>
      <c r="D79" s="53">
        <f>B79</f>
        <v>232</v>
      </c>
      <c r="E79" s="54"/>
      <c r="F79" s="54"/>
      <c r="G79" s="54"/>
      <c r="H79" s="54"/>
      <c r="I79" s="52">
        <f t="shared" si="2"/>
        <v>1.1000000000000001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10</v>
      </c>
      <c r="B88" s="63">
        <v>9</v>
      </c>
      <c r="C88" s="63"/>
      <c r="D88" s="63"/>
      <c r="E88" s="54"/>
      <c r="F88" s="54"/>
      <c r="G88" s="54"/>
      <c r="H88" s="93"/>
      <c r="I88" s="56">
        <f>IFERROR(B88/A88,"")</f>
        <v>0.9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15</v>
      </c>
      <c r="B89" s="63">
        <v>25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3.2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20</v>
      </c>
      <c r="B90" s="63">
        <v>48</v>
      </c>
      <c r="C90" s="63"/>
      <c r="D90" s="63"/>
      <c r="E90" s="93"/>
      <c r="F90" s="93"/>
      <c r="G90" s="93"/>
      <c r="H90" s="93"/>
      <c r="I90" s="56">
        <f t="shared" si="3"/>
        <v>4.5999999999999996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25</v>
      </c>
      <c r="B91" s="63">
        <v>76</v>
      </c>
      <c r="C91" s="63"/>
      <c r="D91" s="63"/>
      <c r="E91" s="93"/>
      <c r="F91" s="93"/>
      <c r="G91" s="93"/>
      <c r="H91" s="93"/>
      <c r="I91" s="56">
        <f t="shared" si="3"/>
        <v>5.6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30</v>
      </c>
      <c r="B92" s="63">
        <f>66+39</f>
        <v>105</v>
      </c>
      <c r="C92" s="63">
        <v>1</v>
      </c>
      <c r="D92" s="63">
        <v>39</v>
      </c>
      <c r="E92" s="93"/>
      <c r="F92" s="93"/>
      <c r="G92" s="93"/>
      <c r="H92" s="93">
        <v>1</v>
      </c>
      <c r="I92" s="56">
        <f t="shared" si="3"/>
        <v>5.8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35</v>
      </c>
      <c r="B93" s="63">
        <f>80+12</f>
        <v>92</v>
      </c>
      <c r="C93" s="63"/>
      <c r="D93" s="63"/>
      <c r="E93" s="93"/>
      <c r="F93" s="93"/>
      <c r="G93" s="93"/>
      <c r="H93" s="93"/>
      <c r="I93" s="56">
        <f t="shared" si="3"/>
        <v>5.2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40</v>
      </c>
      <c r="B94" s="63">
        <f>92+12+12</f>
        <v>116</v>
      </c>
      <c r="C94" s="63">
        <v>2</v>
      </c>
      <c r="D94" s="63">
        <f>12+12</f>
        <v>24</v>
      </c>
      <c r="E94" s="93"/>
      <c r="F94" s="93"/>
      <c r="G94" s="93"/>
      <c r="H94" s="93"/>
      <c r="I94" s="56">
        <f t="shared" si="3"/>
        <v>4.8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45</v>
      </c>
      <c r="B95" s="63">
        <f>103+12</f>
        <v>115</v>
      </c>
      <c r="C95" s="63"/>
      <c r="D95" s="63"/>
      <c r="E95" s="93"/>
      <c r="F95" s="93"/>
      <c r="G95" s="93"/>
      <c r="H95" s="93"/>
      <c r="I95" s="56">
        <f t="shared" si="3"/>
        <v>4.5999999999999996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50</v>
      </c>
      <c r="B96" s="63">
        <f>113+12+11</f>
        <v>136</v>
      </c>
      <c r="C96" s="63">
        <v>3</v>
      </c>
      <c r="D96" s="63">
        <f>12+11</f>
        <v>23</v>
      </c>
      <c r="E96" s="93"/>
      <c r="F96" s="93"/>
      <c r="G96" s="93"/>
      <c r="H96" s="93"/>
      <c r="I96" s="56">
        <f t="shared" si="3"/>
        <v>4.2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55</v>
      </c>
      <c r="B97" s="63">
        <f>122+11</f>
        <v>133</v>
      </c>
      <c r="C97" s="63"/>
      <c r="D97" s="63"/>
      <c r="E97" s="93"/>
      <c r="F97" s="93"/>
      <c r="G97" s="93"/>
      <c r="H97" s="93"/>
      <c r="I97" s="56">
        <f t="shared" si="3"/>
        <v>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60</v>
      </c>
      <c r="B98" s="63">
        <f>130+11+10</f>
        <v>151</v>
      </c>
      <c r="C98" s="63">
        <v>4</v>
      </c>
      <c r="D98" s="63">
        <f>11+10</f>
        <v>21</v>
      </c>
      <c r="E98" s="93"/>
      <c r="F98" s="93"/>
      <c r="G98" s="93"/>
      <c r="H98" s="93"/>
      <c r="I98" s="56">
        <f t="shared" si="3"/>
        <v>3.6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65</v>
      </c>
      <c r="B99" s="63">
        <f>136+9</f>
        <v>145</v>
      </c>
      <c r="C99" s="63"/>
      <c r="D99" s="63"/>
      <c r="E99" s="93"/>
      <c r="F99" s="93"/>
      <c r="G99" s="93"/>
      <c r="H99" s="93"/>
      <c r="I99" s="56">
        <f t="shared" si="3"/>
        <v>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70</v>
      </c>
      <c r="B100" s="63">
        <f>142+9+9</f>
        <v>160</v>
      </c>
      <c r="C100" s="63">
        <v>5</v>
      </c>
      <c r="D100" s="63">
        <f>9+9</f>
        <v>18</v>
      </c>
      <c r="E100" s="68"/>
      <c r="F100" s="68"/>
      <c r="G100" s="68"/>
      <c r="H100" s="68"/>
      <c r="I100" s="56">
        <f t="shared" si="3"/>
        <v>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75</v>
      </c>
      <c r="B101" s="63">
        <f>148+8</f>
        <v>156</v>
      </c>
      <c r="C101" s="63"/>
      <c r="D101" s="63"/>
      <c r="E101" s="68"/>
      <c r="F101" s="68"/>
      <c r="G101" s="68"/>
      <c r="H101" s="68"/>
      <c r="I101" s="56">
        <f t="shared" si="3"/>
        <v>2.8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80</v>
      </c>
      <c r="B102" s="53">
        <f>152+8+8</f>
        <v>168</v>
      </c>
      <c r="C102" s="63">
        <v>6</v>
      </c>
      <c r="D102" s="53">
        <f>8+8</f>
        <v>16</v>
      </c>
      <c r="E102" s="57"/>
      <c r="F102" s="57"/>
      <c r="G102" s="57"/>
      <c r="H102" s="57"/>
      <c r="I102" s="56">
        <f t="shared" si="3"/>
        <v>2.4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85</v>
      </c>
      <c r="B103" s="53">
        <f>157+8</f>
        <v>165</v>
      </c>
      <c r="C103" s="63"/>
      <c r="D103" s="53"/>
      <c r="E103" s="57"/>
      <c r="F103" s="57"/>
      <c r="G103" s="57"/>
      <c r="H103" s="57"/>
      <c r="I103" s="56">
        <f t="shared" si="3"/>
        <v>2.6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90</v>
      </c>
      <c r="B104" s="53">
        <f>161+8+8</f>
        <v>177</v>
      </c>
      <c r="C104" s="63">
        <v>7</v>
      </c>
      <c r="D104" s="53">
        <f>8+8</f>
        <v>16</v>
      </c>
      <c r="E104" s="57"/>
      <c r="F104" s="57"/>
      <c r="G104" s="57"/>
      <c r="H104" s="57"/>
      <c r="I104" s="56">
        <f t="shared" si="3"/>
        <v>2.4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95</v>
      </c>
      <c r="B105" s="53">
        <f>165+9</f>
        <v>174</v>
      </c>
      <c r="C105" s="53"/>
      <c r="D105" s="53"/>
      <c r="E105" s="57"/>
      <c r="F105" s="57"/>
      <c r="G105" s="57"/>
      <c r="H105" s="57"/>
      <c r="I105" s="56">
        <f t="shared" si="3"/>
        <v>2.6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100</v>
      </c>
      <c r="B106" s="53">
        <f>168+9+9</f>
        <v>186</v>
      </c>
      <c r="C106" s="53">
        <v>8</v>
      </c>
      <c r="D106" s="53">
        <f>B106</f>
        <v>186</v>
      </c>
      <c r="E106" s="57"/>
      <c r="F106" s="57"/>
      <c r="G106" s="57"/>
      <c r="H106" s="57"/>
      <c r="I106" s="56">
        <f t="shared" si="3"/>
        <v>2.4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Tilleul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f>51/1.56</f>
        <v>32.692307692307693</v>
      </c>
      <c r="C114" s="53"/>
      <c r="D114" s="63"/>
      <c r="E114" s="54"/>
      <c r="F114" s="54"/>
      <c r="G114" s="54"/>
      <c r="H114" s="54"/>
      <c r="I114" s="56">
        <f>IFERROR(B114/A114,"")</f>
        <v>1.6346153846153846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f>(80+11)/1.56</f>
        <v>58.333333333333329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5.1282051282051269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f>(108+11+14)/1.56</f>
        <v>85.256410256410248</v>
      </c>
      <c r="C116" s="53">
        <v>1</v>
      </c>
      <c r="D116" s="63">
        <f>(11+14+16)/1.56</f>
        <v>26.282051282051281</v>
      </c>
      <c r="E116" s="54"/>
      <c r="F116" s="54"/>
      <c r="G116" s="54"/>
      <c r="H116" s="54">
        <v>1</v>
      </c>
      <c r="I116" s="56">
        <f t="shared" si="4"/>
        <v>5.3846153846153841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f>133/1.56</f>
        <v>85.256410256410248</v>
      </c>
      <c r="C117" s="53"/>
      <c r="D117" s="63"/>
      <c r="E117" s="54"/>
      <c r="F117" s="54"/>
      <c r="G117" s="54"/>
      <c r="H117" s="54"/>
      <c r="I117" s="56">
        <f t="shared" si="4"/>
        <v>5.2564102564102573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f>(156+17)/1.56</f>
        <v>110.8974358974359</v>
      </c>
      <c r="C118" s="53">
        <v>2</v>
      </c>
      <c r="D118" s="63">
        <f>(17+17)/1.56</f>
        <v>21.794871794871796</v>
      </c>
      <c r="E118" s="54"/>
      <c r="F118" s="54"/>
      <c r="G118" s="54"/>
      <c r="H118" s="54"/>
      <c r="I118" s="56">
        <f t="shared" si="4"/>
        <v>5.1282051282051295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f>177/1.56</f>
        <v>113.46153846153845</v>
      </c>
      <c r="C119" s="53"/>
      <c r="D119" s="63"/>
      <c r="E119" s="54"/>
      <c r="F119" s="54"/>
      <c r="G119" s="54"/>
      <c r="H119" s="54"/>
      <c r="I119" s="56">
        <f t="shared" si="4"/>
        <v>4.8717948717948705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f>(195+17)/1.56</f>
        <v>135.89743589743588</v>
      </c>
      <c r="C120" s="63">
        <v>3</v>
      </c>
      <c r="D120" s="63">
        <f>(17+17)/1.56</f>
        <v>21.794871794871796</v>
      </c>
      <c r="E120" s="93"/>
      <c r="F120" s="93"/>
      <c r="G120" s="93"/>
      <c r="H120" s="93"/>
      <c r="I120" s="56">
        <f t="shared" si="4"/>
        <v>4.4871794871794863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f>212/1.56</f>
        <v>135.89743589743588</v>
      </c>
      <c r="C121" s="63"/>
      <c r="D121" s="63"/>
      <c r="E121" s="93"/>
      <c r="F121" s="93"/>
      <c r="G121" s="93"/>
      <c r="H121" s="93"/>
      <c r="I121" s="56">
        <f t="shared" si="4"/>
        <v>4.3589743589743595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f>(226+17)/1.56</f>
        <v>155.76923076923077</v>
      </c>
      <c r="C122" s="63">
        <v>4</v>
      </c>
      <c r="D122" s="63">
        <f>(17+17)/1.56</f>
        <v>21.794871794871796</v>
      </c>
      <c r="E122" s="93"/>
      <c r="F122" s="93"/>
      <c r="G122" s="93"/>
      <c r="H122" s="93"/>
      <c r="I122" s="56">
        <f t="shared" si="4"/>
        <v>3.974358974358978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f>240/1.56</f>
        <v>153.84615384615384</v>
      </c>
      <c r="C123" s="63"/>
      <c r="D123" s="63"/>
      <c r="E123" s="93"/>
      <c r="F123" s="93"/>
      <c r="G123" s="93"/>
      <c r="H123" s="93"/>
      <c r="I123" s="56">
        <f t="shared" si="4"/>
        <v>3.9743589743589722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f>(251+16)/1.56</f>
        <v>171.15384615384616</v>
      </c>
      <c r="C124" s="63">
        <v>5</v>
      </c>
      <c r="D124" s="63">
        <f>(16+15)/1.56</f>
        <v>19.871794871794872</v>
      </c>
      <c r="E124" s="93"/>
      <c r="F124" s="93"/>
      <c r="G124" s="93"/>
      <c r="H124" s="93"/>
      <c r="I124" s="56">
        <f t="shared" si="4"/>
        <v>3.4615384615384643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f>262/1.56</f>
        <v>167.94871794871796</v>
      </c>
      <c r="C125" s="63"/>
      <c r="D125" s="63"/>
      <c r="E125" s="93"/>
      <c r="F125" s="93"/>
      <c r="G125" s="93"/>
      <c r="H125" s="93"/>
      <c r="I125" s="56">
        <f t="shared" si="4"/>
        <v>3.3333333333333313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f>(272+15)/1.56</f>
        <v>183.97435897435898</v>
      </c>
      <c r="C126" s="63">
        <v>6</v>
      </c>
      <c r="D126" s="63">
        <f>(15+14)/1.56</f>
        <v>18.589743589743588</v>
      </c>
      <c r="E126" s="68"/>
      <c r="F126" s="68"/>
      <c r="G126" s="68"/>
      <c r="H126" s="68"/>
      <c r="I126" s="56">
        <f t="shared" si="4"/>
        <v>3.2051282051282044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f>281/1.56</f>
        <v>180.12820512820511</v>
      </c>
      <c r="C127" s="63"/>
      <c r="D127" s="63"/>
      <c r="E127" s="68"/>
      <c r="F127" s="68"/>
      <c r="G127" s="68"/>
      <c r="H127" s="68"/>
      <c r="I127" s="56">
        <f t="shared" si="4"/>
        <v>2.9487179487179445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f>(289+14)/1.56</f>
        <v>194.23076923076923</v>
      </c>
      <c r="C128" s="53">
        <v>7</v>
      </c>
      <c r="D128" s="53">
        <f>(14+13)/1.56</f>
        <v>17.307692307692307</v>
      </c>
      <c r="E128" s="57"/>
      <c r="F128" s="57"/>
      <c r="G128" s="57"/>
      <c r="H128" s="57"/>
      <c r="I128" s="56">
        <f t="shared" si="4"/>
        <v>2.8205128205128234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f>297/1.56</f>
        <v>190.38461538461539</v>
      </c>
      <c r="C129" s="53"/>
      <c r="D129" s="53"/>
      <c r="E129" s="57"/>
      <c r="F129" s="57"/>
      <c r="G129" s="57"/>
      <c r="H129" s="57"/>
      <c r="I129" s="56">
        <f t="shared" si="4"/>
        <v>2.6923076923076961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f>(304+13)/1.56</f>
        <v>203.2051282051282</v>
      </c>
      <c r="C130" s="53">
        <v>8</v>
      </c>
      <c r="D130" s="53">
        <f>(13+12)/1.56</f>
        <v>16.025641025641026</v>
      </c>
      <c r="E130" s="57"/>
      <c r="F130" s="57"/>
      <c r="G130" s="57"/>
      <c r="H130" s="57"/>
      <c r="I130" s="56">
        <f t="shared" si="4"/>
        <v>2.5641025641025634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f>310/1.56</f>
        <v>198.7179487179487</v>
      </c>
      <c r="C131" s="53"/>
      <c r="D131" s="53"/>
      <c r="E131" s="57"/>
      <c r="F131" s="57"/>
      <c r="G131" s="57"/>
      <c r="H131" s="57"/>
      <c r="I131" s="56">
        <f t="shared" si="4"/>
        <v>2.3076923076923039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f>(317+12)/1.56</f>
        <v>210.89743589743588</v>
      </c>
      <c r="C132" s="53">
        <v>9</v>
      </c>
      <c r="D132" s="53">
        <f>B132</f>
        <v>210.89743589743588</v>
      </c>
      <c r="E132" s="57"/>
      <c r="F132" s="57"/>
      <c r="G132" s="57"/>
      <c r="H132" s="57"/>
      <c r="I132" s="56">
        <f t="shared" si="4"/>
        <v>2.4358974358974366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Micocoulier de Provence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f>51/1.56</f>
        <v>32.692307692307693</v>
      </c>
      <c r="C140" s="53"/>
      <c r="D140" s="63"/>
      <c r="E140" s="54"/>
      <c r="F140" s="54"/>
      <c r="G140" s="54"/>
      <c r="H140" s="54"/>
      <c r="I140" s="60">
        <f>IFERROR(B140/A140,"")</f>
        <v>1.6346153846153846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f>(80+11)/1.56</f>
        <v>58.333333333333329</v>
      </c>
      <c r="C141" s="53"/>
      <c r="D141" s="63"/>
      <c r="E141" s="54"/>
      <c r="F141" s="54"/>
      <c r="G141" s="54"/>
      <c r="H141" s="54"/>
      <c r="I141" s="60">
        <f t="shared" ref="I141:I159" si="5">IF(A141&lt;&gt;0,(B141-(B140-D140))/(A141-A140),"")</f>
        <v>5.1282051282051269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f>(108+11+14)/1.56</f>
        <v>85.256410256410248</v>
      </c>
      <c r="C142" s="53">
        <v>1</v>
      </c>
      <c r="D142" s="63">
        <f>(11+14+16)/1.56</f>
        <v>26.282051282051281</v>
      </c>
      <c r="E142" s="54"/>
      <c r="F142" s="54"/>
      <c r="G142" s="54"/>
      <c r="H142" s="54">
        <v>1</v>
      </c>
      <c r="I142" s="60">
        <f t="shared" si="5"/>
        <v>5.3846153846153841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f>133/1.56</f>
        <v>85.256410256410248</v>
      </c>
      <c r="C143" s="53"/>
      <c r="D143" s="63"/>
      <c r="E143" s="54"/>
      <c r="F143" s="54"/>
      <c r="G143" s="54"/>
      <c r="H143" s="54"/>
      <c r="I143" s="60">
        <f t="shared" si="5"/>
        <v>5.2564102564102573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f>(156+17)/1.56</f>
        <v>110.8974358974359</v>
      </c>
      <c r="C144" s="53">
        <v>2</v>
      </c>
      <c r="D144" s="63">
        <f>(17+17)/1.56</f>
        <v>21.794871794871796</v>
      </c>
      <c r="E144" s="54"/>
      <c r="F144" s="54"/>
      <c r="G144" s="54"/>
      <c r="H144" s="54"/>
      <c r="I144" s="60">
        <f t="shared" si="5"/>
        <v>5.1282051282051295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f>177/1.56</f>
        <v>113.46153846153845</v>
      </c>
      <c r="C145" s="53"/>
      <c r="D145" s="63"/>
      <c r="E145" s="54"/>
      <c r="F145" s="54"/>
      <c r="G145" s="54"/>
      <c r="H145" s="54"/>
      <c r="I145" s="60">
        <f t="shared" si="5"/>
        <v>4.8717948717948705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63">
        <v>50</v>
      </c>
      <c r="B146" s="63">
        <f>(195+17)/1.56</f>
        <v>135.89743589743588</v>
      </c>
      <c r="C146" s="63">
        <v>3</v>
      </c>
      <c r="D146" s="63">
        <f>(17+17)/1.56</f>
        <v>21.794871794871796</v>
      </c>
      <c r="E146" s="93"/>
      <c r="F146" s="93"/>
      <c r="G146" s="93"/>
      <c r="H146" s="93"/>
      <c r="I146" s="60">
        <f t="shared" si="5"/>
        <v>4.4871794871794863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3">
        <v>55</v>
      </c>
      <c r="B147" s="63">
        <f>212/1.56</f>
        <v>135.89743589743588</v>
      </c>
      <c r="C147" s="63"/>
      <c r="D147" s="63"/>
      <c r="E147" s="93"/>
      <c r="F147" s="93"/>
      <c r="G147" s="93"/>
      <c r="H147" s="93"/>
      <c r="I147" s="60">
        <f>IF(A147&lt;&gt;0,(B147-(B146-D146))/(A147-A146),"")</f>
        <v>4.3589743589743595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3">
        <v>60</v>
      </c>
      <c r="B148" s="63">
        <f>(226+17)/1.56</f>
        <v>155.76923076923077</v>
      </c>
      <c r="C148" s="63">
        <v>4</v>
      </c>
      <c r="D148" s="63">
        <f>(17+17)/1.56</f>
        <v>21.794871794871796</v>
      </c>
      <c r="E148" s="93"/>
      <c r="F148" s="93"/>
      <c r="G148" s="93"/>
      <c r="H148" s="93"/>
      <c r="I148" s="60">
        <f t="shared" si="5"/>
        <v>3.974358974358978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3">
        <v>65</v>
      </c>
      <c r="B149" s="63">
        <f>240/1.56</f>
        <v>153.84615384615384</v>
      </c>
      <c r="C149" s="63"/>
      <c r="D149" s="63"/>
      <c r="E149" s="93"/>
      <c r="F149" s="93"/>
      <c r="G149" s="93"/>
      <c r="H149" s="93"/>
      <c r="I149" s="60">
        <f t="shared" si="5"/>
        <v>3.9743589743589722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63">
        <v>70</v>
      </c>
      <c r="B150" s="63">
        <f>(251+16)/1.56</f>
        <v>171.15384615384616</v>
      </c>
      <c r="C150" s="63">
        <v>5</v>
      </c>
      <c r="D150" s="63">
        <f>(16+15)/1.56</f>
        <v>19.871794871794872</v>
      </c>
      <c r="E150" s="93"/>
      <c r="F150" s="93"/>
      <c r="G150" s="93"/>
      <c r="H150" s="93"/>
      <c r="I150" s="60">
        <f t="shared" si="5"/>
        <v>3.4615384615384643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63">
        <v>75</v>
      </c>
      <c r="B151" s="63">
        <f>262/1.56</f>
        <v>167.94871794871796</v>
      </c>
      <c r="C151" s="63"/>
      <c r="D151" s="63"/>
      <c r="E151" s="93"/>
      <c r="F151" s="93"/>
      <c r="G151" s="93"/>
      <c r="H151" s="93"/>
      <c r="I151" s="60">
        <f t="shared" si="5"/>
        <v>3.3333333333333313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63">
        <v>80</v>
      </c>
      <c r="B152" s="63">
        <f>(272+15)/1.56</f>
        <v>183.97435897435898</v>
      </c>
      <c r="C152" s="63">
        <v>6</v>
      </c>
      <c r="D152" s="63">
        <f>(15+14)/1.56</f>
        <v>18.589743589743588</v>
      </c>
      <c r="E152" s="68"/>
      <c r="F152" s="68"/>
      <c r="G152" s="68"/>
      <c r="H152" s="68"/>
      <c r="I152" s="60">
        <f t="shared" si="5"/>
        <v>3.2051282051282044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63">
        <v>85</v>
      </c>
      <c r="B153" s="63">
        <f>281/1.56</f>
        <v>180.12820512820511</v>
      </c>
      <c r="C153" s="63"/>
      <c r="D153" s="63"/>
      <c r="E153" s="68"/>
      <c r="F153" s="68"/>
      <c r="G153" s="68"/>
      <c r="H153" s="68"/>
      <c r="I153" s="60">
        <f t="shared" si="5"/>
        <v>2.9487179487179445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90</v>
      </c>
      <c r="B154" s="53">
        <v>194.23076923076923</v>
      </c>
      <c r="C154" s="53">
        <v>7</v>
      </c>
      <c r="D154" s="53">
        <v>17.307692307692307</v>
      </c>
      <c r="E154" s="57"/>
      <c r="F154" s="57"/>
      <c r="G154" s="57"/>
      <c r="H154" s="57"/>
      <c r="I154" s="60">
        <f t="shared" si="5"/>
        <v>2.8205128205128234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95</v>
      </c>
      <c r="B155" s="53">
        <v>190.38461538461539</v>
      </c>
      <c r="C155" s="53"/>
      <c r="D155" s="53"/>
      <c r="E155" s="57"/>
      <c r="F155" s="57"/>
      <c r="G155" s="57"/>
      <c r="H155" s="57"/>
      <c r="I155" s="60">
        <f t="shared" si="5"/>
        <v>2.6923076923076961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100</v>
      </c>
      <c r="B156" s="53">
        <v>203.2051282051282</v>
      </c>
      <c r="C156" s="53">
        <v>8</v>
      </c>
      <c r="D156" s="53">
        <v>16.025641025641026</v>
      </c>
      <c r="E156" s="57"/>
      <c r="F156" s="57"/>
      <c r="G156" s="57"/>
      <c r="H156" s="57"/>
      <c r="I156" s="60">
        <f t="shared" si="5"/>
        <v>2.5641025641025634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105</v>
      </c>
      <c r="B157" s="53">
        <v>198.7179487179487</v>
      </c>
      <c r="C157" s="53"/>
      <c r="D157" s="53"/>
      <c r="E157" s="57"/>
      <c r="F157" s="57"/>
      <c r="G157" s="57"/>
      <c r="H157" s="57"/>
      <c r="I157" s="60">
        <f t="shared" si="5"/>
        <v>2.3076923076923039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110</v>
      </c>
      <c r="B158" s="53">
        <v>210.89743589743588</v>
      </c>
      <c r="C158" s="53">
        <v>9</v>
      </c>
      <c r="D158" s="53">
        <v>210.89743589743588</v>
      </c>
      <c r="E158" s="57"/>
      <c r="F158" s="57"/>
      <c r="G158" s="57"/>
      <c r="H158" s="57"/>
      <c r="I158" s="60">
        <f t="shared" si="5"/>
        <v>2.4358974358974366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Alisier torminal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25</v>
      </c>
      <c r="B166" s="63">
        <v>30</v>
      </c>
      <c r="C166" s="63"/>
      <c r="D166" s="63"/>
      <c r="E166" s="54"/>
      <c r="F166" s="54"/>
      <c r="G166" s="54"/>
      <c r="H166" s="54"/>
      <c r="I166" s="52">
        <f>IFERROR(B166/A166,"")</f>
        <v>1.2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3">
        <v>54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4.8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35</v>
      </c>
      <c r="B168" s="63">
        <f>66+13</f>
        <v>79</v>
      </c>
      <c r="C168" s="63">
        <v>1</v>
      </c>
      <c r="D168" s="63">
        <v>13</v>
      </c>
      <c r="E168" s="54"/>
      <c r="F168" s="54"/>
      <c r="G168" s="54"/>
      <c r="H168" s="54"/>
      <c r="I168" s="52">
        <f t="shared" si="6"/>
        <v>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40</v>
      </c>
      <c r="B169" s="63">
        <f>79+14</f>
        <v>93</v>
      </c>
      <c r="C169" s="63"/>
      <c r="D169" s="63"/>
      <c r="E169" s="54"/>
      <c r="F169" s="54"/>
      <c r="G169" s="54"/>
      <c r="H169" s="54"/>
      <c r="I169" s="52">
        <f t="shared" si="6"/>
        <v>5.4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45</v>
      </c>
      <c r="B170" s="63">
        <f>93+14+14</f>
        <v>121</v>
      </c>
      <c r="C170" s="63">
        <v>2</v>
      </c>
      <c r="D170" s="63">
        <f>14+14</f>
        <v>28</v>
      </c>
      <c r="E170" s="54"/>
      <c r="F170" s="54"/>
      <c r="G170" s="54"/>
      <c r="H170" s="54"/>
      <c r="I170" s="52">
        <f t="shared" si="6"/>
        <v>5.6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50</v>
      </c>
      <c r="B171" s="63">
        <f>107+14</f>
        <v>121</v>
      </c>
      <c r="C171" s="63"/>
      <c r="D171" s="63"/>
      <c r="E171" s="54"/>
      <c r="F171" s="54"/>
      <c r="G171" s="54"/>
      <c r="H171" s="54"/>
      <c r="I171" s="52">
        <f t="shared" si="6"/>
        <v>5.6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55</v>
      </c>
      <c r="B172" s="63">
        <f>121+14+14</f>
        <v>149</v>
      </c>
      <c r="C172" s="63">
        <v>3</v>
      </c>
      <c r="D172" s="63">
        <f>14+14</f>
        <v>28</v>
      </c>
      <c r="E172" s="54"/>
      <c r="F172" s="54"/>
      <c r="G172" s="54"/>
      <c r="H172" s="54"/>
      <c r="I172" s="52">
        <f t="shared" si="6"/>
        <v>5.6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60</v>
      </c>
      <c r="B173" s="53">
        <v>148</v>
      </c>
      <c r="C173" s="53"/>
      <c r="D173" s="53"/>
      <c r="E173" s="54"/>
      <c r="F173" s="54"/>
      <c r="G173" s="54"/>
      <c r="H173" s="54"/>
      <c r="I173" s="52">
        <f t="shared" si="6"/>
        <v>5.4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65</v>
      </c>
      <c r="B174" s="53">
        <v>175</v>
      </c>
      <c r="C174" s="53">
        <v>4</v>
      </c>
      <c r="D174" s="53">
        <v>28</v>
      </c>
      <c r="E174" s="54"/>
      <c r="F174" s="54"/>
      <c r="G174" s="54"/>
      <c r="H174" s="54"/>
      <c r="I174" s="52">
        <f t="shared" si="6"/>
        <v>5.4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70</v>
      </c>
      <c r="B175" s="53">
        <v>172</v>
      </c>
      <c r="C175" s="53"/>
      <c r="D175" s="53"/>
      <c r="E175" s="54"/>
      <c r="F175" s="54"/>
      <c r="G175" s="54"/>
      <c r="H175" s="54"/>
      <c r="I175" s="52">
        <f t="shared" si="6"/>
        <v>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75</v>
      </c>
      <c r="B176" s="53">
        <f>169+14+14</f>
        <v>197</v>
      </c>
      <c r="C176" s="53">
        <v>5</v>
      </c>
      <c r="D176" s="53">
        <v>28</v>
      </c>
      <c r="E176" s="54"/>
      <c r="F176" s="54"/>
      <c r="G176" s="54"/>
      <c r="H176" s="54"/>
      <c r="I176" s="52">
        <f t="shared" si="6"/>
        <v>5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80</v>
      </c>
      <c r="B177" s="53">
        <v>192</v>
      </c>
      <c r="C177" s="53"/>
      <c r="D177" s="53"/>
      <c r="E177" s="54"/>
      <c r="F177" s="54"/>
      <c r="G177" s="54"/>
      <c r="H177" s="54"/>
      <c r="I177" s="52">
        <f t="shared" si="6"/>
        <v>4.5999999999999996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85</v>
      </c>
      <c r="B178" s="53">
        <v>214</v>
      </c>
      <c r="C178" s="53">
        <v>6</v>
      </c>
      <c r="D178" s="53">
        <v>28</v>
      </c>
      <c r="E178" s="54"/>
      <c r="F178" s="54"/>
      <c r="G178" s="54"/>
      <c r="H178" s="54"/>
      <c r="I178" s="52">
        <f t="shared" si="6"/>
        <v>4.4000000000000004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53">
        <v>207</v>
      </c>
      <c r="C179" s="53"/>
      <c r="D179" s="53"/>
      <c r="E179" s="54"/>
      <c r="F179" s="54"/>
      <c r="G179" s="54"/>
      <c r="H179" s="54"/>
      <c r="I179" s="52">
        <f t="shared" si="6"/>
        <v>4.2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100</v>
      </c>
      <c r="B180" s="53">
        <v>244</v>
      </c>
      <c r="C180" s="53">
        <v>7</v>
      </c>
      <c r="D180" s="53">
        <v>42</v>
      </c>
      <c r="E180" s="54"/>
      <c r="F180" s="54"/>
      <c r="G180" s="54"/>
      <c r="H180" s="54"/>
      <c r="I180" s="52">
        <f t="shared" si="6"/>
        <v>3.7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115</v>
      </c>
      <c r="B181" s="53">
        <v>248</v>
      </c>
      <c r="C181" s="53">
        <v>8</v>
      </c>
      <c r="D181" s="53">
        <v>40</v>
      </c>
      <c r="E181" s="54"/>
      <c r="F181" s="54"/>
      <c r="G181" s="54"/>
      <c r="H181" s="54"/>
      <c r="I181" s="52">
        <f t="shared" si="6"/>
        <v>3.0666666666666669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130</v>
      </c>
      <c r="B182" s="53">
        <v>243</v>
      </c>
      <c r="C182" s="53">
        <v>9</v>
      </c>
      <c r="D182" s="53">
        <v>33</v>
      </c>
      <c r="E182" s="54"/>
      <c r="F182" s="54"/>
      <c r="G182" s="54"/>
      <c r="H182" s="54"/>
      <c r="I182" s="52">
        <f t="shared" si="6"/>
        <v>2.3333333333333335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150</v>
      </c>
      <c r="B183" s="53">
        <v>232</v>
      </c>
      <c r="C183" s="53">
        <v>10</v>
      </c>
      <c r="D183" s="53">
        <v>232</v>
      </c>
      <c r="E183" s="54"/>
      <c r="F183" s="54"/>
      <c r="G183" s="54"/>
      <c r="H183" s="54"/>
      <c r="I183" s="52">
        <f t="shared" si="6"/>
        <v>1.1000000000000001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rouge d'Amérique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Tilleul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Micocoulier de Provence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Alisier torminal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203.63995177374335</v>
      </c>
      <c r="T3" s="62">
        <f>IF('Données projet'!E9&gt;30,$R$33-$H$33,LOOKUP('Données projet'!$E$9,$A$3:$A$203,R3:R203)-LOOKUP('Données projet'!$E$9,$A$3:$A$203,$H$3:$H$203))</f>
        <v>268.97461244918378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364.69354394930866</v>
      </c>
      <c r="AO3" s="62">
        <f>IF('Données projet'!E10&gt;30,$AM$33-$H$33,LOOKUP('Données projet'!$E$10,$A$3:$A$203,AM3:AM203)-LOOKUP('Données projet'!$E$10,$A$3:$A$203,$H$3:$H$203))</f>
        <v>159.6134369231965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241.00707378755914</v>
      </c>
      <c r="BJ3" s="62">
        <f>IF('Données projet'!E11&gt;30,$BH$33-$H$33,LOOKUP('Données projet'!$E$11,$A$3:$A$203,BH3:BH203)-LOOKUP('Données projet'!$E$11,$A$3:$A$203,$H$3:$H$203))</f>
        <v>239.93573789765657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207.91006140109965</v>
      </c>
      <c r="CE3" s="62">
        <f>IF('Données projet'!E12&gt;30,$CC$33-$H$33,LOOKUP('Données projet'!$E$12,$A$3:$A$203,CC3:CC203)-LOOKUP('Données projet'!$E$12,$A$3:$A$203,$H$3:$H$203))</f>
        <v>164.93317437647255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255.77222823147724</v>
      </c>
      <c r="CZ3" s="62">
        <f>IF('Données projet'!E13&gt;30,$CX$33-$H$33,LOOKUP('Données projet'!$E$13,$A$3:$A$203,CX3:CX203)-LOOKUP('Données projet'!$E$13,$A$3:$A$203,$H$3:$H$203))</f>
        <v>199.6931080052031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349.73011349954953</v>
      </c>
      <c r="DU3" s="62">
        <f>IF('Données projet'!E14&gt;30,$DS$33-$H$33,LOOKUP('Données projet'!$E$14,$A$3:$A$203,DS3:DS203)-LOOKUP('Données projet'!$E$14,$A$3:$A$203,$H$3:$H$203))</f>
        <v>154.08406475869634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2.4833333333333334</v>
      </c>
      <c r="N4" s="14">
        <f>IF('Données projet'!$A$36&gt;35,N3+M4-V3,IF(A4&lt;'Données projet'!$A$36,$K$205^A4,IF(A4='Données projet'!$A$36,'Données projet'!$B$36,N3+M4-V3)))</f>
        <v>1.3269402121798277</v>
      </c>
      <c r="O4" s="14">
        <f>N4*VLOOKUP('Données projet'!$B$9,Paramètres!$A$1:$I$89,3,0)*VLOOKUP('Données projet'!$B$9,Paramètres!$A$1:$I$89,5,0)</f>
        <v>0.793510246883537</v>
      </c>
      <c r="P4" s="14">
        <f>EXP(-1.0587+0.8836*LN(O4)+0.284)</f>
        <v>0.37566150028431866</v>
      </c>
      <c r="Q4" s="22">
        <f t="shared" ref="Q4:Q34" si="2">(O4+P4)*0.475*44/12</f>
        <v>2.0363074596506814</v>
      </c>
      <c r="R4" s="62">
        <f t="shared" si="0"/>
        <v>259.92519634853954</v>
      </c>
      <c r="S4" s="62">
        <f ca="1">AVERAGE(OFFSET($R$3,0,0,'Données projet'!$E$9+1,1))-AVERAGE(OFFSET($H$3,0,0,'Données projet'!$E$9+1,1))</f>
        <v>203.63995177374335</v>
      </c>
      <c r="T4" s="62">
        <f>$T$3</f>
        <v>268.97461244918378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1.161777082395637</v>
      </c>
      <c r="AK4" s="14">
        <f>EXP(-1.0587+0.8836*LN(AJ4)+0.284)</f>
        <v>0.52613182870286601</v>
      </c>
      <c r="AL4" s="22">
        <f t="shared" ref="AL4:AL67" si="4">(AJ4+AK4)*0.475*44/12</f>
        <v>2.9397746868298928</v>
      </c>
      <c r="AM4" s="62">
        <f t="shared" ref="AM4:AM67" si="5">AL4+(AD4+AE4)*44/12</f>
        <v>260.82866357571874</v>
      </c>
      <c r="AN4" s="62">
        <f ca="1">AVERAGE(OFFSET($AM$3,0,0,'Données projet'!$E$10+1,1))-AVERAGE(OFFSET($H$3,0,0,'Données projet'!$E$10+1,1))</f>
        <v>364.69354394930866</v>
      </c>
      <c r="AO4" s="62">
        <f>$AO$3</f>
        <v>159.6134369231965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0.9</v>
      </c>
      <c r="BD4" s="13">
        <f>IF('Données projet'!$A$88&gt;35,BD3+BC4-BL3,IF(A4&lt;'Données projet'!$A$88,$BA$205^A4,IF(A4='Données projet'!$A$88,'Données projet'!$B$88,BD3+BC4-BL3)))</f>
        <v>1.2457309396155174</v>
      </c>
      <c r="BE4" s="14">
        <f>BD4*VLOOKUP('Données projet'!$B$11,Paramètres!$A$1:$I$89,3,0)*VLOOKUP('Données projet'!$B$11,Paramètres!$A$1:$I$89,5,0)</f>
        <v>1.0882705488481161</v>
      </c>
      <c r="BF4" s="14">
        <f>EXP(-1.0587+0.8836*LN(BE4)+0.284)</f>
        <v>0.4966069220675523</v>
      </c>
      <c r="BG4" s="22">
        <f t="shared" ref="BG4:BG67" si="7">(BE4+BF4)*0.475*44/12</f>
        <v>2.7603282618447889</v>
      </c>
      <c r="BH4" s="62">
        <f t="shared" ref="BH4:BH67" si="8">BG4+(AY4+AZ4)*44/12</f>
        <v>260.64921715073365</v>
      </c>
      <c r="BI4" s="62">
        <f ca="1">AVERAGE(OFFSET($BH$3,0,0,'Données projet'!$E$11+1,1))-AVERAGE(OFFSET($H$3,0,0,'Données projet'!$E$11+1,1))</f>
        <v>241.00707378755914</v>
      </c>
      <c r="BJ4" s="62">
        <f>$BJ$3</f>
        <v>239.93573789765657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1.6346153846153846</v>
      </c>
      <c r="BY4" s="13">
        <f>IF('Données projet'!$A$114&gt;35,BY3+BX4-CG3,IF(A4&lt;'Données projet'!$A$114,$BV$205^A4,IF(A4='Données projet'!$A$114,'Données projet'!$B$114,BY3+BX4-CG3)))</f>
        <v>1.1904804802795936</v>
      </c>
      <c r="BZ4" s="14">
        <f>BY4*VLOOKUP('Données projet'!$B$12,Paramètres!$A$1:$I$89,3,0)*VLOOKUP('Données projet'!$B$12,Paramètres!$A$1:$I$89,5,0)</f>
        <v>0.79857430617155145</v>
      </c>
      <c r="CA4" s="14">
        <f>EXP(-1.0587+0.8836*LN(BZ4)+0.284)</f>
        <v>0.37777906983246112</v>
      </c>
      <c r="CB4" s="22">
        <f t="shared" ref="CB4:CB67" si="10">(BZ4+CA4)*0.475*44/12</f>
        <v>2.0488154632069886</v>
      </c>
      <c r="CC4" s="62">
        <f t="shared" ref="CC4:CC67" si="11">CB4+(BT4+BU4)*44/12</f>
        <v>259.93770435209586</v>
      </c>
      <c r="CD4" s="62">
        <f ca="1">AVERAGE(OFFSET($CC$3,0,0,'Données projet'!$E$12+1,1))-AVERAGE(OFFSET($H$3,0,0,'Données projet'!$E$12+1,1))</f>
        <v>207.91006140109965</v>
      </c>
      <c r="CE4" s="62">
        <f>$CE$3</f>
        <v>164.93317437647255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1.6346153846153846</v>
      </c>
      <c r="CT4" s="13">
        <f>IF('Données projet'!$A$140&gt;35,CT3+CS4-DB3,IF(A4&lt;'Données projet'!$A$140,$CQ$205^A4,IF(A4='Données projet'!$A$140,'Données projet'!$B$140,CT3+CS4-DB3)))</f>
        <v>1.1904804802795936</v>
      </c>
      <c r="CU4" s="18">
        <f>CT4*VLOOKUP('Données projet'!$B$13,Paramètres!$A$1:$I$89,3,0)*VLOOKUP('Données projet'!$B$13,Paramètres!$A$1:$I$89,5,0)</f>
        <v>1.0214322520798915</v>
      </c>
      <c r="CV4" s="14">
        <f>EXP(-1.0587+0.8836*LN(CU4)+0.284)</f>
        <v>0.46955842586903718</v>
      </c>
      <c r="CW4" s="22">
        <f t="shared" ref="CW4:CW67" si="13">(CU4+CV4)*0.475*44/12</f>
        <v>2.596808764094384</v>
      </c>
      <c r="CX4" s="62">
        <f t="shared" ref="CX4:CX67" si="14">CW4+(CO4+CP4)*44/12</f>
        <v>260.48569765298322</v>
      </c>
      <c r="CY4" s="62">
        <f ca="1">AVERAGE(OFFSET($CX$3,0,0,'Données projet'!$E$13+1,1))-AVERAGE(OFFSET($H$3,0,0,'Données projet'!$E$13+1,1))</f>
        <v>255.77222823147724</v>
      </c>
      <c r="CZ4" s="62">
        <f>$CZ$3</f>
        <v>199.6931080052031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1.2</v>
      </c>
      <c r="DO4" s="13">
        <f>IF('Données projet'!$A$166&gt;35,DO3+DN4-DW3,IF(A4&lt;'Données projet'!$A$166,$DL$205^A4,IF(A4='Données projet'!$A$166,'Données projet'!$B$166,DO3+DN4-DW3)))</f>
        <v>1.1457367676485573</v>
      </c>
      <c r="DP4" s="18">
        <f>DO4*VLOOKUP('Données projet'!$B$14,Paramètres!$A$1:$I$89,3,0)*VLOOKUP('Données projet'!$B$14,Paramètres!$A$1:$I$89,5,0)</f>
        <v>1.1081566016696847</v>
      </c>
      <c r="DQ4" s="14">
        <f>EXP(-1.0587+0.8836*LN(DP4)+0.284)</f>
        <v>0.50461671312632472</v>
      </c>
      <c r="DR4" s="22">
        <f t="shared" ref="DR4:DR67" si="16">(DP4+DQ4)*0.475*44/12</f>
        <v>2.808913523269716</v>
      </c>
      <c r="DS4" s="62">
        <f t="shared" ref="DS4:DS67" si="17">DR4+(DJ4+DK4)*44/12</f>
        <v>260.69780241215858</v>
      </c>
      <c r="DT4" s="62">
        <f ca="1">AVERAGE(OFFSET($DS$3,0,0,'Données projet'!$E$14+1,1))-AVERAGE(OFFSET($H$3,0,0,'Données projet'!$E$14+1,1))</f>
        <v>349.73011349954953</v>
      </c>
      <c r="DU4" s="62">
        <f>$DU$3</f>
        <v>154.08406475869634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2.4833333333333334</v>
      </c>
      <c r="N5" s="14">
        <f>IF('Données projet'!$A$36&gt;35,N4+M5-V4,IF(A5&lt;'Données projet'!$A$36,$K$205^A5,IF(A5='Données projet'!$A$36,'Données projet'!$B$36,N4+M5-V4)))</f>
        <v>1.7607703266998462</v>
      </c>
      <c r="O5" s="14">
        <f>N5*VLOOKUP('Données projet'!$B$9,Paramètres!$A$1:$I$89,3,0)*VLOOKUP('Données projet'!$B$9,Paramètres!$A$1:$I$89,5,0)</f>
        <v>1.0529406553665082</v>
      </c>
      <c r="P5" s="14">
        <f t="shared" ref="P5:P68" si="33">EXP(-1.0587+0.8836*LN(O5)+0.284)</f>
        <v>0.48233429934444144</v>
      </c>
      <c r="Q5" s="22">
        <f t="shared" si="2"/>
        <v>2.6739372127882373</v>
      </c>
      <c r="R5" s="62">
        <f t="shared" si="0"/>
        <v>261.78504832389939</v>
      </c>
      <c r="S5" s="62">
        <f ca="1">AVERAGE(OFFSET($R$3,0,0,'Données projet'!$E$9+1,1))-AVERAGE(OFFSET($H$3,0,0,'Données projet'!$E$9+1,1))</f>
        <v>203.63995177374335</v>
      </c>
      <c r="T5" s="62">
        <f t="shared" ref="T5:T68" si="34">$T$3</f>
        <v>268.97461244918378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1.3310907191121488</v>
      </c>
      <c r="AK5" s="14">
        <f t="shared" ref="AK5:AK68" si="35">EXP(-1.0587+0.8836*LN(AJ5)+0.284)</f>
        <v>0.59333770733536928</v>
      </c>
      <c r="AL5" s="22">
        <f t="shared" si="4"/>
        <v>3.3517128427294267</v>
      </c>
      <c r="AM5" s="62">
        <f t="shared" si="5"/>
        <v>262.4628239538406</v>
      </c>
      <c r="AN5" s="62">
        <f ca="1">AVERAGE(OFFSET($AM$3,0,0,'Données projet'!$E$10+1,1))-AVERAGE(OFFSET($H$3,0,0,'Données projet'!$E$10+1,1))</f>
        <v>364.69354394930866</v>
      </c>
      <c r="AO5" s="62">
        <f t="shared" ref="AO5:AO68" si="36">$AO$3</f>
        <v>159.6134369231965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0.9</v>
      </c>
      <c r="BD5" s="13">
        <f>IF('Données projet'!$A$88&gt;35,BD4+BC5-BL4,IF(A5&lt;'Données projet'!$A$88,$BA$205^A5,IF(A5='Données projet'!$A$88,'Données projet'!$B$88,BD4+BC5-BL4)))</f>
        <v>1.5518455739153598</v>
      </c>
      <c r="BE5" s="14">
        <f>BD5*VLOOKUP('Données projet'!$B$11,Paramètres!$A$1:$I$89,3,0)*VLOOKUP('Données projet'!$B$11,Paramètres!$A$1:$I$89,5,0)</f>
        <v>1.3556922933724584</v>
      </c>
      <c r="BF5" s="14">
        <f t="shared" ref="BF5:BF68" si="37">EXP(-1.0587+0.8836*LN(BE5)+0.284)</f>
        <v>0.6030171126730397</v>
      </c>
      <c r="BG5" s="22">
        <f t="shared" si="7"/>
        <v>3.4114188821959091</v>
      </c>
      <c r="BH5" s="62">
        <f t="shared" si="8"/>
        <v>262.52252999330705</v>
      </c>
      <c r="BI5" s="62">
        <f ca="1">AVERAGE(OFFSET($BH$3,0,0,'Données projet'!$E$11+1,1))-AVERAGE(OFFSET($H$3,0,0,'Données projet'!$E$11+1,1))</f>
        <v>241.00707378755914</v>
      </c>
      <c r="BJ5" s="62">
        <f t="shared" ref="BJ5:BJ68" si="38">$BJ$3</f>
        <v>239.93573789765657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1.6346153846153846</v>
      </c>
      <c r="BY5" s="13">
        <f>IF('Données projet'!$A$114&gt;35,BY4+BX5-CG4,IF(A5&lt;'Données projet'!$A$114,$BV$205^A5,IF(A5='Données projet'!$A$114,'Données projet'!$B$114,BY4+BX5-CG4)))</f>
        <v>1.4172437739267318</v>
      </c>
      <c r="BZ5" s="14">
        <f>BY5*VLOOKUP('Données projet'!$B$12,Paramètres!$A$1:$I$89,3,0)*VLOOKUP('Données projet'!$B$12,Paramètres!$A$1:$I$89,5,0)</f>
        <v>0.95068712355005169</v>
      </c>
      <c r="CA5" s="14">
        <f t="shared" ref="CA5:CA68" si="39">EXP(-1.0587+0.8836*LN(BZ5)+0.284)</f>
        <v>0.44070309303270105</v>
      </c>
      <c r="CB5" s="22">
        <f t="shared" si="10"/>
        <v>2.4233379605482943</v>
      </c>
      <c r="CC5" s="62">
        <f t="shared" si="11"/>
        <v>261.53444907165942</v>
      </c>
      <c r="CD5" s="62">
        <f ca="1">AVERAGE(OFFSET($CC$3,0,0,'Données projet'!$E$12+1,1))-AVERAGE(OFFSET($H$3,0,0,'Données projet'!$E$12+1,1))</f>
        <v>207.91006140109965</v>
      </c>
      <c r="CE5" s="62">
        <f t="shared" ref="CE5:CE68" si="40">$CE$3</f>
        <v>164.93317437647255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1.6346153846153846</v>
      </c>
      <c r="CT5" s="13">
        <f>IF('Données projet'!$A$140&gt;35,CT4+CS5-DB4,IF(A5&lt;'Données projet'!$A$140,$CQ$205^A5,IF(A5='Données projet'!$A$140,'Données projet'!$B$140,CT4+CS5-DB4)))</f>
        <v>1.4172437739267318</v>
      </c>
      <c r="CU5" s="18">
        <f>CT5*VLOOKUP('Données projet'!$B$13,Paramètres!$A$1:$I$89,3,0)*VLOOKUP('Données projet'!$B$13,Paramètres!$A$1:$I$89,5,0)</f>
        <v>1.2159951580291362</v>
      </c>
      <c r="CV5" s="14">
        <f t="shared" ref="CV5:CV68" si="41">EXP(-1.0587+0.8836*LN(CU5)+0.284)</f>
        <v>0.54776949589034563</v>
      </c>
      <c r="CW5" s="22">
        <f t="shared" si="13"/>
        <v>3.0718901055764305</v>
      </c>
      <c r="CX5" s="62">
        <f t="shared" si="14"/>
        <v>262.18300121668756</v>
      </c>
      <c r="CY5" s="62">
        <f ca="1">AVERAGE(OFFSET($CX$3,0,0,'Données projet'!$E$13+1,1))-AVERAGE(OFFSET($H$3,0,0,'Données projet'!$E$13+1,1))</f>
        <v>255.77222823147724</v>
      </c>
      <c r="CZ5" s="62">
        <f t="shared" ref="CZ5:CZ68" si="42">$CZ$3</f>
        <v>199.6931080052031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1.2</v>
      </c>
      <c r="DO5" s="13">
        <f>IF('Données projet'!$A$166&gt;35,DO4+DN5-DW4,IF(A5&lt;'Données projet'!$A$166,$DL$205^A5,IF(A5='Données projet'!$A$166,'Données projet'!$B$166,DO4+DN5-DW4)))</f>
        <v>1.312712740741764</v>
      </c>
      <c r="DP5" s="18">
        <f>DO5*VLOOKUP('Données projet'!$B$14,Paramètres!$A$1:$I$89,3,0)*VLOOKUP('Données projet'!$B$14,Paramètres!$A$1:$I$89,5,0)</f>
        <v>1.2696557628454344</v>
      </c>
      <c r="DQ5" s="14">
        <f t="shared" ref="DQ5:DQ68" si="43">EXP(-1.0587+0.8836*LN(DP5)+0.284)</f>
        <v>0.56907434090738995</v>
      </c>
      <c r="DR5" s="22">
        <f t="shared" si="16"/>
        <v>3.2024549307028356</v>
      </c>
      <c r="DS5" s="62">
        <f t="shared" si="17"/>
        <v>262.313566041814</v>
      </c>
      <c r="DT5" s="62">
        <f ca="1">AVERAGE(OFFSET($DS$3,0,0,'Données projet'!$E$14+1,1))-AVERAGE(OFFSET($H$3,0,0,'Données projet'!$E$14+1,1))</f>
        <v>349.73011349954953</v>
      </c>
      <c r="DU5" s="62">
        <f t="shared" ref="DU5:DU68" si="44">$DU$3</f>
        <v>154.08406475869634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2.4833333333333334</v>
      </c>
      <c r="N6" s="14">
        <f>IF('Données projet'!$A$36&gt;35,N5+M6-V5,IF(A6&lt;'Données projet'!$A$36,$K$205^A6,IF(A6='Données projet'!$A$36,'Données projet'!$B$36,N5+M6-V5)))</f>
        <v>2.3364369509110383</v>
      </c>
      <c r="O6" s="14">
        <f>N6*VLOOKUP('Données projet'!$B$9,Paramètres!$A$1:$I$89,3,0)*VLOOKUP('Données projet'!$B$9,Paramètres!$A$1:$I$89,5,0)</f>
        <v>1.3971892966448012</v>
      </c>
      <c r="P6" s="14">
        <f t="shared" si="33"/>
        <v>0.61929789490808951</v>
      </c>
      <c r="Q6" s="22">
        <f t="shared" si="2"/>
        <v>3.5120485252879514</v>
      </c>
      <c r="R6" s="62">
        <f t="shared" si="0"/>
        <v>263.84538185862124</v>
      </c>
      <c r="S6" s="62">
        <f ca="1">AVERAGE(OFFSET($R$3,0,0,'Données projet'!$E$9+1,1))-AVERAGE(OFFSET($H$3,0,0,'Données projet'!$E$9+1,1))</f>
        <v>203.63995177374335</v>
      </c>
      <c r="T6" s="62">
        <f t="shared" si="34"/>
        <v>268.97461244918378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1.525079577962547</v>
      </c>
      <c r="AK6" s="14">
        <f t="shared" si="35"/>
        <v>0.6691281837366525</v>
      </c>
      <c r="AL6" s="22">
        <f t="shared" si="4"/>
        <v>3.8215785182927724</v>
      </c>
      <c r="AM6" s="62">
        <f t="shared" si="5"/>
        <v>264.15491185162608</v>
      </c>
      <c r="AN6" s="62">
        <f ca="1">AVERAGE(OFFSET($AM$3,0,0,'Données projet'!$E$10+1,1))-AVERAGE(OFFSET($H$3,0,0,'Données projet'!$E$10+1,1))</f>
        <v>364.69354394930866</v>
      </c>
      <c r="AO6" s="62">
        <f t="shared" si="36"/>
        <v>159.6134369231965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0.9</v>
      </c>
      <c r="BD6" s="13">
        <f>IF('Données projet'!$A$88&gt;35,BD5+BC6-BL5,IF(A6&lt;'Données projet'!$A$88,$BA$205^A6,IF(A6='Données projet'!$A$88,'Données projet'!$B$88,BD5+BC6-BL5)))</f>
        <v>1.9331820449317632</v>
      </c>
      <c r="BE6" s="14">
        <f>BD6*VLOOKUP('Données projet'!$B$11,Paramètres!$A$1:$I$89,3,0)*VLOOKUP('Données projet'!$B$11,Paramètres!$A$1:$I$89,5,0)</f>
        <v>1.6888278344523886</v>
      </c>
      <c r="BF6" s="14">
        <f t="shared" si="37"/>
        <v>0.73222829166901104</v>
      </c>
      <c r="BG6" s="22">
        <f t="shared" si="7"/>
        <v>4.2166727529947705</v>
      </c>
      <c r="BH6" s="62">
        <f t="shared" si="8"/>
        <v>264.5500060863281</v>
      </c>
      <c r="BI6" s="62">
        <f ca="1">AVERAGE(OFFSET($BH$3,0,0,'Données projet'!$E$11+1,1))-AVERAGE(OFFSET($H$3,0,0,'Données projet'!$E$11+1,1))</f>
        <v>241.00707378755914</v>
      </c>
      <c r="BJ6" s="62">
        <f t="shared" si="38"/>
        <v>239.93573789765657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1.6346153846153846</v>
      </c>
      <c r="BY6" s="13">
        <f>IF('Données projet'!$A$114&gt;35,BY5+BX6-CG5,IF(A6&lt;'Données projet'!$A$114,$BV$205^A6,IF(A6='Données projet'!$A$114,'Données projet'!$B$114,BY5+BX6-CG5)))</f>
        <v>1.6872010486575595</v>
      </c>
      <c r="BZ6" s="14">
        <f>BY6*VLOOKUP('Données projet'!$B$12,Paramètres!$A$1:$I$89,3,0)*VLOOKUP('Données projet'!$B$12,Paramètres!$A$1:$I$89,5,0)</f>
        <v>1.1317744634394911</v>
      </c>
      <c r="CA6" s="14">
        <f t="shared" si="39"/>
        <v>0.51410793164037016</v>
      </c>
      <c r="CB6" s="22">
        <f t="shared" si="10"/>
        <v>2.866578504764091</v>
      </c>
      <c r="CC6" s="62">
        <f t="shared" si="11"/>
        <v>263.19991183809742</v>
      </c>
      <c r="CD6" s="62">
        <f ca="1">AVERAGE(OFFSET($CC$3,0,0,'Données projet'!$E$12+1,1))-AVERAGE(OFFSET($H$3,0,0,'Données projet'!$E$12+1,1))</f>
        <v>207.91006140109965</v>
      </c>
      <c r="CE6" s="62">
        <f t="shared" si="40"/>
        <v>164.93317437647255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1.6346153846153846</v>
      </c>
      <c r="CT6" s="13">
        <f>IF('Données projet'!$A$140&gt;35,CT5+CS6-DB5,IF(A6&lt;'Données projet'!$A$140,$CQ$205^A6,IF(A6='Données projet'!$A$140,'Données projet'!$B$140,CT5+CS6-DB5)))</f>
        <v>1.6872010486575595</v>
      </c>
      <c r="CU6" s="18">
        <f>CT6*VLOOKUP('Données projet'!$B$13,Paramètres!$A$1:$I$89,3,0)*VLOOKUP('Données projet'!$B$13,Paramètres!$A$1:$I$89,5,0)</f>
        <v>1.4476184997481862</v>
      </c>
      <c r="CV6" s="14">
        <f t="shared" si="41"/>
        <v>0.63900763802213112</v>
      </c>
      <c r="CW6" s="22">
        <f t="shared" si="13"/>
        <v>3.6342071899499691</v>
      </c>
      <c r="CX6" s="62">
        <f t="shared" si="14"/>
        <v>263.96754052328328</v>
      </c>
      <c r="CY6" s="62">
        <f ca="1">AVERAGE(OFFSET($CX$3,0,0,'Données projet'!$E$13+1,1))-AVERAGE(OFFSET($H$3,0,0,'Données projet'!$E$13+1,1))</f>
        <v>255.77222823147724</v>
      </c>
      <c r="CZ6" s="62">
        <f t="shared" si="42"/>
        <v>199.6931080052031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1.2</v>
      </c>
      <c r="DO6" s="13">
        <f>IF('Données projet'!$A$166&gt;35,DO5+DN6-DW5,IF(A6&lt;'Données projet'!$A$166,$DL$205^A6,IF(A6='Données projet'!$A$166,'Données projet'!$B$166,DO5+DN6-DW5)))</f>
        <v>1.5040232524285473</v>
      </c>
      <c r="DP6" s="18">
        <f>DO6*VLOOKUP('Données projet'!$B$14,Paramètres!$A$1:$I$89,3,0)*VLOOKUP('Données projet'!$B$14,Paramètres!$A$1:$I$89,5,0)</f>
        <v>1.4546912897488911</v>
      </c>
      <c r="DQ6" s="14">
        <f t="shared" si="43"/>
        <v>0.64176551639126822</v>
      </c>
      <c r="DR6" s="22">
        <f t="shared" si="16"/>
        <v>3.6513289373607773</v>
      </c>
      <c r="DS6" s="62">
        <f t="shared" si="17"/>
        <v>263.98466227069412</v>
      </c>
      <c r="DT6" s="62">
        <f ca="1">AVERAGE(OFFSET($DS$3,0,0,'Données projet'!$E$14+1,1))-AVERAGE(OFFSET($H$3,0,0,'Données projet'!$E$14+1,1))</f>
        <v>349.73011349954953</v>
      </c>
      <c r="DU6" s="62">
        <f t="shared" si="44"/>
        <v>154.08406475869634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2.4833333333333334</v>
      </c>
      <c r="N7" s="14">
        <f>IF('Données projet'!$A$36&gt;35,N6+M7-V6,IF(A7&lt;'Données projet'!$A$36,$K$205^A7,IF(A7='Données projet'!$A$36,'Données projet'!$B$36,N6+M7-V6)))</f>
        <v>3.1003121433866832</v>
      </c>
      <c r="O7" s="14">
        <f>N7*VLOOKUP('Données projet'!$B$9,Paramètres!$A$1:$I$89,3,0)*VLOOKUP('Données projet'!$B$9,Paramètres!$A$1:$I$89,5,0)</f>
        <v>1.8539866617452367</v>
      </c>
      <c r="P7" s="14">
        <f t="shared" si="33"/>
        <v>0.79515365827987117</v>
      </c>
      <c r="Q7" s="22">
        <f t="shared" si="2"/>
        <v>4.6139193907103957</v>
      </c>
      <c r="R7" s="62">
        <f t="shared" si="0"/>
        <v>266.16947494626595</v>
      </c>
      <c r="S7" s="62">
        <f ca="1">AVERAGE(OFFSET($R$3,0,0,'Données projet'!$E$9+1,1))-AVERAGE(OFFSET($H$3,0,0,'Données projet'!$E$9+1,1))</f>
        <v>203.63995177374335</v>
      </c>
      <c r="T7" s="62">
        <f t="shared" si="34"/>
        <v>268.97461244918378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1.7473397460616347</v>
      </c>
      <c r="AK7" s="14">
        <f t="shared" si="35"/>
        <v>0.7545998185105095</v>
      </c>
      <c r="AL7" s="22">
        <f t="shared" si="4"/>
        <v>4.3575447416298188</v>
      </c>
      <c r="AM7" s="62">
        <f t="shared" si="5"/>
        <v>265.91310029718534</v>
      </c>
      <c r="AN7" s="62">
        <f ca="1">AVERAGE(OFFSET($AM$3,0,0,'Données projet'!$E$10+1,1))-AVERAGE(OFFSET($H$3,0,0,'Données projet'!$E$10+1,1))</f>
        <v>364.69354394930866</v>
      </c>
      <c r="AO7" s="62">
        <f t="shared" si="36"/>
        <v>159.6134369231965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0.9</v>
      </c>
      <c r="BD7" s="13">
        <f>IF('Données projet'!$A$88&gt;35,BD6+BC7-BL6,IF(A7&lt;'Données projet'!$A$88,$BA$205^A7,IF(A7='Données projet'!$A$88,'Données projet'!$B$88,BD6+BC7-BL6)))</f>
        <v>2.4082246852806923</v>
      </c>
      <c r="BE7" s="14">
        <f>BD7*VLOOKUP('Données projet'!$B$11,Paramètres!$A$1:$I$89,3,0)*VLOOKUP('Données projet'!$B$11,Paramètres!$A$1:$I$89,5,0)</f>
        <v>2.1038250850612132</v>
      </c>
      <c r="BF7" s="14">
        <f t="shared" si="37"/>
        <v>0.88912612901456278</v>
      </c>
      <c r="BG7" s="22">
        <f t="shared" si="7"/>
        <v>5.212723364515309</v>
      </c>
      <c r="BH7" s="62">
        <f t="shared" si="8"/>
        <v>266.76827892007083</v>
      </c>
      <c r="BI7" s="62">
        <f ca="1">AVERAGE(OFFSET($BH$3,0,0,'Données projet'!$E$11+1,1))-AVERAGE(OFFSET($H$3,0,0,'Données projet'!$E$11+1,1))</f>
        <v>241.00707378755914</v>
      </c>
      <c r="BJ7" s="62">
        <f t="shared" si="38"/>
        <v>239.93573789765657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1.6346153846153846</v>
      </c>
      <c r="BY7" s="13">
        <f>IF('Données projet'!$A$114&gt;35,BY6+BX7-CG6,IF(A7&lt;'Données projet'!$A$114,$BV$205^A7,IF(A7='Données projet'!$A$114,'Données projet'!$B$114,BY6+BX7-CG6)))</f>
        <v>2.0085799147340855</v>
      </c>
      <c r="BZ7" s="14">
        <f>BY7*VLOOKUP('Données projet'!$B$12,Paramètres!$A$1:$I$89,3,0)*VLOOKUP('Données projet'!$B$12,Paramètres!$A$1:$I$89,5,0)</f>
        <v>1.3473554068036244</v>
      </c>
      <c r="CA7" s="14">
        <f t="shared" si="39"/>
        <v>0.5997393019338928</v>
      </c>
      <c r="CB7" s="22">
        <f t="shared" si="10"/>
        <v>3.3911899510511758</v>
      </c>
      <c r="CC7" s="62">
        <f t="shared" si="11"/>
        <v>264.9467455066067</v>
      </c>
      <c r="CD7" s="62">
        <f ca="1">AVERAGE(OFFSET($CC$3,0,0,'Données projet'!$E$12+1,1))-AVERAGE(OFFSET($H$3,0,0,'Données projet'!$E$12+1,1))</f>
        <v>207.91006140109965</v>
      </c>
      <c r="CE7" s="62">
        <f t="shared" si="40"/>
        <v>164.93317437647255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1.6346153846153846</v>
      </c>
      <c r="CT7" s="13">
        <f>IF('Données projet'!$A$140&gt;35,CT6+CS7-DB6,IF(A7&lt;'Données projet'!$A$140,$CQ$205^A7,IF(A7='Données projet'!$A$140,'Données projet'!$B$140,CT6+CS7-DB6)))</f>
        <v>2.0085799147340855</v>
      </c>
      <c r="CU7" s="18">
        <f>CT7*VLOOKUP('Données projet'!$B$13,Paramètres!$A$1:$I$89,3,0)*VLOOKUP('Données projet'!$B$13,Paramètres!$A$1:$I$89,5,0)</f>
        <v>1.7233615668418456</v>
      </c>
      <c r="CV7" s="14">
        <f t="shared" si="41"/>
        <v>0.74544268075191278</v>
      </c>
      <c r="CW7" s="22">
        <f t="shared" si="13"/>
        <v>4.2998340645591293</v>
      </c>
      <c r="CX7" s="62">
        <f t="shared" si="14"/>
        <v>265.85538962011469</v>
      </c>
      <c r="CY7" s="62">
        <f ca="1">AVERAGE(OFFSET($CX$3,0,0,'Données projet'!$E$13+1,1))-AVERAGE(OFFSET($H$3,0,0,'Données projet'!$E$13+1,1))</f>
        <v>255.77222823147724</v>
      </c>
      <c r="CZ7" s="62">
        <f t="shared" si="42"/>
        <v>199.6931080052031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1.2</v>
      </c>
      <c r="DO7" s="13">
        <f>IF('Données projet'!$A$166&gt;35,DO6+DN7-DW6,IF(A7&lt;'Données projet'!$A$166,$DL$205^A7,IF(A7='Données projet'!$A$166,'Données projet'!$B$166,DO6+DN7-DW6)))</f>
        <v>1.7232147397057538</v>
      </c>
      <c r="DP7" s="18">
        <f>DO7*VLOOKUP('Données projet'!$B$14,Paramètres!$A$1:$I$89,3,0)*VLOOKUP('Données projet'!$B$14,Paramètres!$A$1:$I$89,5,0)</f>
        <v>1.6666932962434051</v>
      </c>
      <c r="DQ7" s="14">
        <f t="shared" si="43"/>
        <v>0.72374195851500689</v>
      </c>
      <c r="DR7" s="22">
        <f t="shared" si="16"/>
        <v>4.1633414020375676</v>
      </c>
      <c r="DS7" s="62">
        <f t="shared" si="17"/>
        <v>265.71889695759313</v>
      </c>
      <c r="DT7" s="62">
        <f ca="1">AVERAGE(OFFSET($DS$3,0,0,'Données projet'!$E$14+1,1))-AVERAGE(OFFSET($H$3,0,0,'Données projet'!$E$14+1,1))</f>
        <v>349.73011349954953</v>
      </c>
      <c r="DU7" s="62">
        <f t="shared" si="44"/>
        <v>154.08406475869634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2.4833333333333334</v>
      </c>
      <c r="N8" s="14">
        <f>IF('Données projet'!$A$36&gt;35,N7+M8-V7,IF(A8&lt;'Données projet'!$A$36,$K$205^A8,IF(A8='Données projet'!$A$36,'Données projet'!$B$36,N7+M8-V7)))</f>
        <v>4.113928853369222</v>
      </c>
      <c r="O8" s="14">
        <f>N8*VLOOKUP('Données projet'!$B$9,Paramètres!$A$1:$I$89,3,0)*VLOOKUP('Données projet'!$B$9,Paramètres!$A$1:$I$89,5,0)</f>
        <v>2.4601294543147949</v>
      </c>
      <c r="P8" s="14">
        <f t="shared" si="33"/>
        <v>1.0209454052313511</v>
      </c>
      <c r="Q8" s="22">
        <f t="shared" si="2"/>
        <v>6.0628720470428705</v>
      </c>
      <c r="R8" s="62">
        <f t="shared" si="0"/>
        <v>268.84064982482062</v>
      </c>
      <c r="S8" s="62">
        <f ca="1">AVERAGE(OFFSET($R$3,0,0,'Données projet'!$E$9+1,1))-AVERAGE(OFFSET($H$3,0,0,'Données projet'!$E$9+1,1))</f>
        <v>203.63995177374335</v>
      </c>
      <c r="T8" s="62">
        <f t="shared" si="34"/>
        <v>268.97461244918378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2.0019913926365076</v>
      </c>
      <c r="AK8" s="14">
        <f t="shared" si="35"/>
        <v>0.85098924232460604</v>
      </c>
      <c r="AL8" s="22">
        <f t="shared" si="4"/>
        <v>4.9689412725572728</v>
      </c>
      <c r="AM8" s="62">
        <f t="shared" si="5"/>
        <v>267.74671905033506</v>
      </c>
      <c r="AN8" s="62">
        <f ca="1">AVERAGE(OFFSET($AM$3,0,0,'Données projet'!$E$10+1,1))-AVERAGE(OFFSET($H$3,0,0,'Données projet'!$E$10+1,1))</f>
        <v>364.69354394930866</v>
      </c>
      <c r="AO8" s="62">
        <f t="shared" si="36"/>
        <v>159.6134369231965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0.9</v>
      </c>
      <c r="BD8" s="13">
        <f>IF('Données projet'!$A$88&gt;35,BD7+BC8-BL7,IF(A8&lt;'Données projet'!$A$88,$BA$205^A8,IF(A8='Données projet'!$A$88,'Données projet'!$B$88,BD7+BC8-BL7)))</f>
        <v>3.0000000000000004</v>
      </c>
      <c r="BE8" s="14">
        <f>BD8*VLOOKUP('Données projet'!$B$11,Paramètres!$A$1:$I$89,3,0)*VLOOKUP('Données projet'!$B$11,Paramètres!$A$1:$I$89,5,0)</f>
        <v>2.6208000000000009</v>
      </c>
      <c r="BF8" s="14">
        <f t="shared" si="37"/>
        <v>1.0796431690647799</v>
      </c>
      <c r="BG8" s="22">
        <f t="shared" si="7"/>
        <v>6.4449385194544933</v>
      </c>
      <c r="BH8" s="62">
        <f t="shared" si="8"/>
        <v>269.22271629723224</v>
      </c>
      <c r="BI8" s="62">
        <f ca="1">AVERAGE(OFFSET($BH$3,0,0,'Données projet'!$E$11+1,1))-AVERAGE(OFFSET($H$3,0,0,'Données projet'!$E$11+1,1))</f>
        <v>241.00707378755914</v>
      </c>
      <c r="BJ8" s="62">
        <f t="shared" si="38"/>
        <v>239.93573789765657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1.6346153846153846</v>
      </c>
      <c r="BY8" s="13">
        <f>IF('Données projet'!$A$114&gt;35,BY7+BX8-CG7,IF(A8&lt;'Données projet'!$A$114,$BV$205^A8,IF(A8='Données projet'!$A$114,'Données projet'!$B$114,BY7+BX8-CG7)))</f>
        <v>2.3911751815725792</v>
      </c>
      <c r="BZ8" s="14">
        <f>BY8*VLOOKUP('Données projet'!$B$12,Paramètres!$A$1:$I$89,3,0)*VLOOKUP('Données projet'!$B$12,Paramètres!$A$1:$I$89,5,0)</f>
        <v>1.6040003117988864</v>
      </c>
      <c r="CA8" s="14">
        <f t="shared" si="39"/>
        <v>0.69963369196910608</v>
      </c>
      <c r="CB8" s="22">
        <f t="shared" si="10"/>
        <v>4.0121625565625862</v>
      </c>
      <c r="CC8" s="62">
        <f t="shared" si="11"/>
        <v>266.78994033434037</v>
      </c>
      <c r="CD8" s="62">
        <f ca="1">AVERAGE(OFFSET($CC$3,0,0,'Données projet'!$E$12+1,1))-AVERAGE(OFFSET($H$3,0,0,'Données projet'!$E$12+1,1))</f>
        <v>207.91006140109965</v>
      </c>
      <c r="CE8" s="62">
        <f t="shared" si="40"/>
        <v>164.93317437647255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1.6346153846153846</v>
      </c>
      <c r="CT8" s="13">
        <f>IF('Données projet'!$A$140&gt;35,CT7+CS8-DB7,IF(A8&lt;'Données projet'!$A$140,$CQ$205^A8,IF(A8='Données projet'!$A$140,'Données projet'!$B$140,CT7+CS8-DB7)))</f>
        <v>2.3911751815725792</v>
      </c>
      <c r="CU8" s="18">
        <f>CT8*VLOOKUP('Données projet'!$B$13,Paramètres!$A$1:$I$89,3,0)*VLOOKUP('Données projet'!$B$13,Paramètres!$A$1:$I$89,5,0)</f>
        <v>2.0516283057892735</v>
      </c>
      <c r="CV8" s="14">
        <f t="shared" si="41"/>
        <v>0.86960586575547716</v>
      </c>
      <c r="CW8" s="22">
        <f t="shared" si="13"/>
        <v>5.0878161821071073</v>
      </c>
      <c r="CX8" s="62">
        <f t="shared" si="14"/>
        <v>267.8655939598849</v>
      </c>
      <c r="CY8" s="62">
        <f ca="1">AVERAGE(OFFSET($CX$3,0,0,'Données projet'!$E$13+1,1))-AVERAGE(OFFSET($H$3,0,0,'Données projet'!$E$13+1,1))</f>
        <v>255.77222823147724</v>
      </c>
      <c r="CZ8" s="62">
        <f t="shared" si="42"/>
        <v>199.6931080052031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1.2</v>
      </c>
      <c r="DO8" s="13">
        <f>IF('Données projet'!$A$166&gt;35,DO7+DN8-DW7,IF(A8&lt;'Données projet'!$A$166,$DL$205^A8,IF(A8='Données projet'!$A$166,'Données projet'!$B$166,DO7+DN8-DW7)))</f>
        <v>1.9743504858348202</v>
      </c>
      <c r="DP8" s="18">
        <f>DO8*VLOOKUP('Données projet'!$B$14,Paramètres!$A$1:$I$89,3,0)*VLOOKUP('Données projet'!$B$14,Paramètres!$A$1:$I$89,5,0)</f>
        <v>1.9095917898994379</v>
      </c>
      <c r="DQ8" s="14">
        <f t="shared" si="43"/>
        <v>0.81618972839261894</v>
      </c>
      <c r="DR8" s="22">
        <f t="shared" si="16"/>
        <v>4.7474028110253315</v>
      </c>
      <c r="DS8" s="62">
        <f t="shared" si="17"/>
        <v>267.5251805888031</v>
      </c>
      <c r="DT8" s="62">
        <f ca="1">AVERAGE(OFFSET($DS$3,0,0,'Données projet'!$E$14+1,1))-AVERAGE(OFFSET($H$3,0,0,'Données projet'!$E$14+1,1))</f>
        <v>349.73011349954953</v>
      </c>
      <c r="DU8" s="62">
        <f t="shared" si="44"/>
        <v>154.08406475869634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2.4833333333333334</v>
      </c>
      <c r="N9" s="14">
        <f>IF('Données projet'!$A$36&gt;35,N8+M9-V8,IF(A9&lt;'Données projet'!$A$36,$K$205^A9,IF(A9='Données projet'!$A$36,'Données projet'!$B$36,N8+M9-V8)))</f>
        <v>5.4589376255824709</v>
      </c>
      <c r="O9" s="14">
        <f>N9*VLOOKUP('Données projet'!$B$9,Paramètres!$A$1:$I$89,3,0)*VLOOKUP('Données projet'!$B$9,Paramètres!$A$1:$I$89,5,0)</f>
        <v>3.2644447000983177</v>
      </c>
      <c r="P9" s="14">
        <f t="shared" si="33"/>
        <v>1.310852952268174</v>
      </c>
      <c r="Q9" s="22">
        <f t="shared" si="2"/>
        <v>7.9686434112049715</v>
      </c>
      <c r="R9" s="62">
        <f t="shared" si="0"/>
        <v>271.96864341120499</v>
      </c>
      <c r="S9" s="62">
        <f ca="1">AVERAGE(OFFSET($R$3,0,0,'Données projet'!$E$9+1,1))-AVERAGE(OFFSET($H$3,0,0,'Données projet'!$E$9+1,1))</f>
        <v>203.63995177374335</v>
      </c>
      <c r="T9" s="62">
        <f t="shared" si="34"/>
        <v>268.97461244918378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2.2937551470595863</v>
      </c>
      <c r="AK9" s="14">
        <f t="shared" si="35"/>
        <v>0.95969104787443238</v>
      </c>
      <c r="AL9" s="22">
        <f t="shared" si="4"/>
        <v>5.6664187895100824</v>
      </c>
      <c r="AM9" s="62">
        <f t="shared" si="5"/>
        <v>269.66641878951009</v>
      </c>
      <c r="AN9" s="62">
        <f ca="1">AVERAGE(OFFSET($AM$3,0,0,'Données projet'!$E$10+1,1))-AVERAGE(OFFSET($H$3,0,0,'Données projet'!$E$10+1,1))</f>
        <v>364.69354394930866</v>
      </c>
      <c r="AO9" s="62">
        <f t="shared" si="36"/>
        <v>159.6134369231965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0.9</v>
      </c>
      <c r="BD9" s="13">
        <f>IF('Données projet'!$A$88&gt;35,BD8+BC9-BL8,IF(A9&lt;'Données projet'!$A$88,$BA$205^A9,IF(A9='Données projet'!$A$88,'Données projet'!$B$88,BD8+BC9-BL8)))</f>
        <v>3.7371928188465526</v>
      </c>
      <c r="BE9" s="14">
        <f>BD9*VLOOKUP('Données projet'!$B$11,Paramètres!$A$1:$I$89,3,0)*VLOOKUP('Données projet'!$B$11,Paramètres!$A$1:$I$89,5,0)</f>
        <v>3.2648116465443486</v>
      </c>
      <c r="BF9" s="14">
        <f t="shared" si="37"/>
        <v>1.310983149038857</v>
      </c>
      <c r="BG9" s="22">
        <f t="shared" si="7"/>
        <v>7.9695092689740825</v>
      </c>
      <c r="BH9" s="62">
        <f t="shared" si="8"/>
        <v>271.96950926897409</v>
      </c>
      <c r="BI9" s="62">
        <f ca="1">AVERAGE(OFFSET($BH$3,0,0,'Données projet'!$E$11+1,1))-AVERAGE(OFFSET($H$3,0,0,'Données projet'!$E$11+1,1))</f>
        <v>241.00707378755914</v>
      </c>
      <c r="BJ9" s="62">
        <f t="shared" si="38"/>
        <v>239.93573789765657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1.6346153846153846</v>
      </c>
      <c r="BY9" s="13">
        <f>IF('Données projet'!$A$114&gt;35,BY8+BX9-CG8,IF(A9&lt;'Données projet'!$A$114,$BV$205^A9,IF(A9='Données projet'!$A$114,'Données projet'!$B$114,BY8+BX9-CG8)))</f>
        <v>2.8466473785911686</v>
      </c>
      <c r="BZ9" s="14">
        <f>BY9*VLOOKUP('Données projet'!$B$12,Paramètres!$A$1:$I$89,3,0)*VLOOKUP('Données projet'!$B$12,Paramètres!$A$1:$I$89,5,0)</f>
        <v>1.909531061558956</v>
      </c>
      <c r="CA9" s="14">
        <f t="shared" si="39"/>
        <v>0.81616679340497278</v>
      </c>
      <c r="CB9" s="22">
        <f t="shared" si="10"/>
        <v>4.7472570973955088</v>
      </c>
      <c r="CC9" s="62">
        <f t="shared" si="11"/>
        <v>268.7472570973955</v>
      </c>
      <c r="CD9" s="62">
        <f ca="1">AVERAGE(OFFSET($CC$3,0,0,'Données projet'!$E$12+1,1))-AVERAGE(OFFSET($H$3,0,0,'Données projet'!$E$12+1,1))</f>
        <v>207.91006140109965</v>
      </c>
      <c r="CE9" s="62">
        <f t="shared" si="40"/>
        <v>164.93317437647255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1.6346153846153846</v>
      </c>
      <c r="CT9" s="13">
        <f>IF('Données projet'!$A$140&gt;35,CT8+CS9-DB8,IF(A9&lt;'Données projet'!$A$140,$CQ$205^A9,IF(A9='Données projet'!$A$140,'Données projet'!$B$140,CT8+CS9-DB8)))</f>
        <v>2.8466473785911686</v>
      </c>
      <c r="CU9" s="18">
        <f>CT9*VLOOKUP('Données projet'!$B$13,Paramètres!$A$1:$I$89,3,0)*VLOOKUP('Données projet'!$B$13,Paramètres!$A$1:$I$89,5,0)</f>
        <v>2.4424234508312228</v>
      </c>
      <c r="CV9" s="14">
        <f t="shared" si="41"/>
        <v>1.014450045969403</v>
      </c>
      <c r="CW9" s="22">
        <f t="shared" si="13"/>
        <v>6.0207213402610904</v>
      </c>
      <c r="CX9" s="62">
        <f t="shared" si="14"/>
        <v>270.0207213402611</v>
      </c>
      <c r="CY9" s="62">
        <f ca="1">AVERAGE(OFFSET($CX$3,0,0,'Données projet'!$E$13+1,1))-AVERAGE(OFFSET($H$3,0,0,'Données projet'!$E$13+1,1))</f>
        <v>255.77222823147724</v>
      </c>
      <c r="CZ9" s="62">
        <f t="shared" si="42"/>
        <v>199.6931080052031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1.2</v>
      </c>
      <c r="DO9" s="13">
        <f>IF('Données projet'!$A$166&gt;35,DO8+DN9-DW8,IF(A9&lt;'Données projet'!$A$166,$DL$205^A9,IF(A9='Données projet'!$A$166,'Données projet'!$B$166,DO8+DN9-DW8)))</f>
        <v>2.2620859438457455</v>
      </c>
      <c r="DP9" s="18">
        <f>DO9*VLOOKUP('Données projet'!$B$14,Paramètres!$A$1:$I$89,3,0)*VLOOKUP('Données projet'!$B$14,Paramètres!$A$1:$I$89,5,0)</f>
        <v>2.1878895248876051</v>
      </c>
      <c r="DQ9" s="14">
        <f t="shared" si="43"/>
        <v>0.92044638962272363</v>
      </c>
      <c r="DR9" s="22">
        <f t="shared" si="16"/>
        <v>5.4136850511054888</v>
      </c>
      <c r="DS9" s="62">
        <f t="shared" si="17"/>
        <v>269.41368505110552</v>
      </c>
      <c r="DT9" s="62">
        <f ca="1">AVERAGE(OFFSET($DS$3,0,0,'Données projet'!$E$14+1,1))-AVERAGE(OFFSET($H$3,0,0,'Données projet'!$E$14+1,1))</f>
        <v>349.73011349954953</v>
      </c>
      <c r="DU9" s="62">
        <f t="shared" si="44"/>
        <v>154.08406475869634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2.4833333333333334</v>
      </c>
      <c r="N10" s="14">
        <f>IF('Données projet'!$A$36&gt;35,N9+M10-V9,IF(A10&lt;'Données projet'!$A$36,$K$205^A10,IF(A10='Données projet'!$A$36,'Données projet'!$B$36,N9+M10-V9)))</f>
        <v>7.243683851166848</v>
      </c>
      <c r="O10" s="14">
        <f>N10*VLOOKUP('Données projet'!$B$9,Paramètres!$A$1:$I$89,3,0)*VLOOKUP('Données projet'!$B$9,Paramètres!$A$1:$I$89,5,0)</f>
        <v>4.331722942997775</v>
      </c>
      <c r="P10" s="14">
        <f t="shared" si="33"/>
        <v>1.6830826150599154</v>
      </c>
      <c r="Q10" s="22">
        <f t="shared" si="2"/>
        <v>10.475786346950477</v>
      </c>
      <c r="R10" s="62">
        <f t="shared" si="0"/>
        <v>275.69800856917271</v>
      </c>
      <c r="S10" s="62">
        <f ca="1">AVERAGE(OFFSET($R$3,0,0,'Données projet'!$E$9+1,1))-AVERAGE(OFFSET($H$3,0,0,'Données projet'!$E$9+1,1))</f>
        <v>203.63995177374335</v>
      </c>
      <c r="T10" s="62">
        <f t="shared" si="34"/>
        <v>268.97461244918378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2.6280396079692911</v>
      </c>
      <c r="AK10" s="14">
        <f t="shared" si="35"/>
        <v>1.082277967291873</v>
      </c>
      <c r="AL10" s="22">
        <f t="shared" si="4"/>
        <v>6.4621364435798609</v>
      </c>
      <c r="AM10" s="62">
        <f t="shared" si="5"/>
        <v>271.68435866580211</v>
      </c>
      <c r="AN10" s="62">
        <f ca="1">AVERAGE(OFFSET($AM$3,0,0,'Données projet'!$E$10+1,1))-AVERAGE(OFFSET($H$3,0,0,'Données projet'!$E$10+1,1))</f>
        <v>364.69354394930866</v>
      </c>
      <c r="AO10" s="62">
        <f t="shared" si="36"/>
        <v>159.6134369231965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0.9</v>
      </c>
      <c r="BD10" s="13">
        <f>IF('Données projet'!$A$88&gt;35,BD9+BC10-BL9,IF(A10&lt;'Données projet'!$A$88,$BA$205^A10,IF(A10='Données projet'!$A$88,'Données projet'!$B$88,BD9+BC10-BL9)))</f>
        <v>4.6555367217460804</v>
      </c>
      <c r="BE10" s="14">
        <f>BD10*VLOOKUP('Données projet'!$B$11,Paramètres!$A$1:$I$89,3,0)*VLOOKUP('Données projet'!$B$11,Paramètres!$A$1:$I$89,5,0)</f>
        <v>4.0670768801173764</v>
      </c>
      <c r="BF10" s="14">
        <f t="shared" si="37"/>
        <v>1.5918933832116116</v>
      </c>
      <c r="BG10" s="22">
        <f t="shared" si="7"/>
        <v>9.8560398752979861</v>
      </c>
      <c r="BH10" s="62">
        <f t="shared" si="8"/>
        <v>275.07826209752022</v>
      </c>
      <c r="BI10" s="62">
        <f ca="1">AVERAGE(OFFSET($BH$3,0,0,'Données projet'!$E$11+1,1))-AVERAGE(OFFSET($H$3,0,0,'Données projet'!$E$11+1,1))</f>
        <v>241.00707378755914</v>
      </c>
      <c r="BJ10" s="62">
        <f t="shared" si="38"/>
        <v>239.93573789765657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1.6346153846153846</v>
      </c>
      <c r="BY10" s="13">
        <f>IF('Données projet'!$A$114&gt;35,BY9+BX10-CG9,IF(A10&lt;'Données projet'!$A$114,$BV$205^A10,IF(A10='Données projet'!$A$114,'Données projet'!$B$114,BY9+BX10-CG9)))</f>
        <v>3.3888781384518603</v>
      </c>
      <c r="BZ10" s="14">
        <f>BY10*VLOOKUP('Données projet'!$B$12,Paramètres!$A$1:$I$89,3,0)*VLOOKUP('Données projet'!$B$12,Paramètres!$A$1:$I$89,5,0)</f>
        <v>2.2732594552735081</v>
      </c>
      <c r="CA10" s="14">
        <f t="shared" si="39"/>
        <v>0.95211000028050363</v>
      </c>
      <c r="CB10" s="22">
        <f t="shared" si="10"/>
        <v>5.6175184684232375</v>
      </c>
      <c r="CC10" s="62">
        <f t="shared" si="11"/>
        <v>270.83974069064544</v>
      </c>
      <c r="CD10" s="62">
        <f ca="1">AVERAGE(OFFSET($CC$3,0,0,'Données projet'!$E$12+1,1))-AVERAGE(OFFSET($H$3,0,0,'Données projet'!$E$12+1,1))</f>
        <v>207.91006140109965</v>
      </c>
      <c r="CE10" s="62">
        <f t="shared" si="40"/>
        <v>164.93317437647255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1.6346153846153846</v>
      </c>
      <c r="CT10" s="13">
        <f>IF('Données projet'!$A$140&gt;35,CT9+CS10-DB9,IF(A10&lt;'Données projet'!$A$140,$CQ$205^A10,IF(A10='Données projet'!$A$140,'Données projet'!$B$140,CT9+CS10-DB9)))</f>
        <v>3.3888781384518603</v>
      </c>
      <c r="CU10" s="18">
        <f>CT10*VLOOKUP('Données projet'!$B$13,Paramètres!$A$1:$I$89,3,0)*VLOOKUP('Données projet'!$B$13,Paramètres!$A$1:$I$89,5,0)</f>
        <v>2.9076574427916966</v>
      </c>
      <c r="CV10" s="14">
        <f t="shared" si="41"/>
        <v>1.1834199104364109</v>
      </c>
      <c r="CW10" s="22">
        <f t="shared" si="13"/>
        <v>7.1252930568722874</v>
      </c>
      <c r="CX10" s="62">
        <f t="shared" si="14"/>
        <v>272.34751527909452</v>
      </c>
      <c r="CY10" s="62">
        <f ca="1">AVERAGE(OFFSET($CX$3,0,0,'Données projet'!$E$13+1,1))-AVERAGE(OFFSET($H$3,0,0,'Données projet'!$E$13+1,1))</f>
        <v>255.77222823147724</v>
      </c>
      <c r="CZ10" s="62">
        <f t="shared" si="42"/>
        <v>199.6931080052031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1.2</v>
      </c>
      <c r="DO10" s="13">
        <f>IF('Données projet'!$A$166&gt;35,DO9+DN10-DW9,IF(A10&lt;'Données projet'!$A$166,$DL$205^A10,IF(A10='Données projet'!$A$166,'Données projet'!$B$166,DO9+DN10-DW9)))</f>
        <v>2.5917550374450604</v>
      </c>
      <c r="DP10" s="18">
        <f>DO10*VLOOKUP('Données projet'!$B$14,Paramètres!$A$1:$I$89,3,0)*VLOOKUP('Données projet'!$B$14,Paramètres!$A$1:$I$89,5,0)</f>
        <v>2.5067454722168625</v>
      </c>
      <c r="DQ10" s="14">
        <f t="shared" si="43"/>
        <v>1.038020360582093</v>
      </c>
      <c r="DR10" s="22">
        <f t="shared" si="16"/>
        <v>6.1738004921248475</v>
      </c>
      <c r="DS10" s="62">
        <f t="shared" si="17"/>
        <v>271.39602271434705</v>
      </c>
      <c r="DT10" s="62">
        <f ca="1">AVERAGE(OFFSET($DS$3,0,0,'Données projet'!$E$14+1,1))-AVERAGE(OFFSET($H$3,0,0,'Données projet'!$E$14+1,1))</f>
        <v>349.73011349954953</v>
      </c>
      <c r="DU10" s="62">
        <f t="shared" si="44"/>
        <v>154.08406475869634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2.4833333333333334</v>
      </c>
      <c r="N11" s="14">
        <f>IF('Données projet'!$A$36&gt;35,N10+M11-V10,IF(A11&lt;'Données projet'!$A$36,$K$205^A11,IF(A11='Données projet'!$A$36,'Données projet'!$B$36,N10+M11-V10)))</f>
        <v>9.6119353864309289</v>
      </c>
      <c r="O11" s="14">
        <f>N11*VLOOKUP('Données projet'!$B$9,Paramètres!$A$1:$I$89,3,0)*VLOOKUP('Données projet'!$B$9,Paramètres!$A$1:$I$89,5,0)</f>
        <v>5.7479373610856959</v>
      </c>
      <c r="P11" s="14">
        <f t="shared" si="33"/>
        <v>2.161010572707927</v>
      </c>
      <c r="Q11" s="22">
        <f t="shared" si="2"/>
        <v>13.774750984690558</v>
      </c>
      <c r="R11" s="62">
        <f t="shared" si="0"/>
        <v>280.21919542913503</v>
      </c>
      <c r="S11" s="62">
        <f ca="1">AVERAGE(OFFSET($R$3,0,0,'Données projet'!$E$9+1,1))-AVERAGE(OFFSET($H$3,0,0,'Données projet'!$E$9+1,1))</f>
        <v>203.63995177374335</v>
      </c>
      <c r="T11" s="62">
        <f t="shared" si="34"/>
        <v>268.97461244918378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3.0110416056871174</v>
      </c>
      <c r="AK11" s="14">
        <f t="shared" si="35"/>
        <v>1.2205236269315363</v>
      </c>
      <c r="AL11" s="22">
        <f t="shared" si="4"/>
        <v>7.3699761134774882</v>
      </c>
      <c r="AM11" s="62">
        <f t="shared" si="5"/>
        <v>273.81442055792195</v>
      </c>
      <c r="AN11" s="62">
        <f ca="1">AVERAGE(OFFSET($AM$3,0,0,'Données projet'!$E$10+1,1))-AVERAGE(OFFSET($H$3,0,0,'Données projet'!$E$10+1,1))</f>
        <v>364.69354394930866</v>
      </c>
      <c r="AO11" s="62">
        <f t="shared" si="36"/>
        <v>159.6134369231965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0.9</v>
      </c>
      <c r="BD11" s="13">
        <f>IF('Données projet'!$A$88&gt;35,BD10+BC11-BL10,IF(A11&lt;'Données projet'!$A$88,$BA$205^A11,IF(A11='Données projet'!$A$88,'Données projet'!$B$88,BD10+BC11-BL10)))</f>
        <v>5.7995461347952899</v>
      </c>
      <c r="BE11" s="14">
        <f>BD11*VLOOKUP('Données projet'!$B$11,Paramètres!$A$1:$I$89,3,0)*VLOOKUP('Données projet'!$B$11,Paramètres!$A$1:$I$89,5,0)</f>
        <v>5.0664835033571665</v>
      </c>
      <c r="BF11" s="14">
        <f t="shared" si="37"/>
        <v>1.9329955120863271</v>
      </c>
      <c r="BG11" s="22">
        <f t="shared" si="7"/>
        <v>12.190759285230749</v>
      </c>
      <c r="BH11" s="62">
        <f t="shared" si="8"/>
        <v>278.6352037296752</v>
      </c>
      <c r="BI11" s="62">
        <f ca="1">AVERAGE(OFFSET($BH$3,0,0,'Données projet'!$E$11+1,1))-AVERAGE(OFFSET($H$3,0,0,'Données projet'!$E$11+1,1))</f>
        <v>241.00707378755914</v>
      </c>
      <c r="BJ11" s="62">
        <f t="shared" si="38"/>
        <v>239.93573789765657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1.6346153846153846</v>
      </c>
      <c r="BY11" s="13">
        <f>IF('Données projet'!$A$114&gt;35,BY10+BX11-CG10,IF(A11&lt;'Données projet'!$A$114,$BV$205^A11,IF(A11='Données projet'!$A$114,'Données projet'!$B$114,BY10+BX11-CG10)))</f>
        <v>4.034393273873186</v>
      </c>
      <c r="BZ11" s="14">
        <f>BY11*VLOOKUP('Données projet'!$B$12,Paramètres!$A$1:$I$89,3,0)*VLOOKUP('Données projet'!$B$12,Paramètres!$A$1:$I$89,5,0)</f>
        <v>2.7062710081141335</v>
      </c>
      <c r="CA11" s="14">
        <f t="shared" si="39"/>
        <v>1.1106963183986573</v>
      </c>
      <c r="CB11" s="22">
        <f t="shared" si="10"/>
        <v>6.6478847603431106</v>
      </c>
      <c r="CC11" s="62">
        <f t="shared" si="11"/>
        <v>273.09232920478757</v>
      </c>
      <c r="CD11" s="62">
        <f ca="1">AVERAGE(OFFSET($CC$3,0,0,'Données projet'!$E$12+1,1))-AVERAGE(OFFSET($H$3,0,0,'Données projet'!$E$12+1,1))</f>
        <v>207.91006140109965</v>
      </c>
      <c r="CE11" s="62">
        <f t="shared" si="40"/>
        <v>164.93317437647255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1.6346153846153846</v>
      </c>
      <c r="CT11" s="13">
        <f>IF('Données projet'!$A$140&gt;35,CT10+CS11-DB10,IF(A11&lt;'Données projet'!$A$140,$CQ$205^A11,IF(A11='Données projet'!$A$140,'Données projet'!$B$140,CT10+CS11-DB10)))</f>
        <v>4.034393273873186</v>
      </c>
      <c r="CU11" s="18">
        <f>CT11*VLOOKUP('Données projet'!$B$13,Paramètres!$A$1:$I$89,3,0)*VLOOKUP('Données projet'!$B$13,Paramètres!$A$1:$I$89,5,0)</f>
        <v>3.4615094289831938</v>
      </c>
      <c r="CV11" s="14">
        <f t="shared" si="41"/>
        <v>1.3805339060131132</v>
      </c>
      <c r="CW11" s="22">
        <f t="shared" si="13"/>
        <v>8.4332254751185669</v>
      </c>
      <c r="CX11" s="62">
        <f t="shared" si="14"/>
        <v>274.877669919563</v>
      </c>
      <c r="CY11" s="62">
        <f ca="1">AVERAGE(OFFSET($CX$3,0,0,'Données projet'!$E$13+1,1))-AVERAGE(OFFSET($H$3,0,0,'Données projet'!$E$13+1,1))</f>
        <v>255.77222823147724</v>
      </c>
      <c r="CZ11" s="62">
        <f t="shared" si="42"/>
        <v>199.6931080052031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1.2</v>
      </c>
      <c r="DO11" s="13">
        <f>IF('Données projet'!$A$166&gt;35,DO10+DN11-DW10,IF(A11&lt;'Données projet'!$A$166,$DL$205^A11,IF(A11='Données projet'!$A$166,'Données projet'!$B$166,DO10+DN11-DW10)))</f>
        <v>2.9694690391391689</v>
      </c>
      <c r="DP11" s="18">
        <f>DO11*VLOOKUP('Données projet'!$B$14,Paramètres!$A$1:$I$89,3,0)*VLOOKUP('Données projet'!$B$14,Paramètres!$A$1:$I$89,5,0)</f>
        <v>2.8720704546554043</v>
      </c>
      <c r="DQ11" s="14">
        <f t="shared" si="43"/>
        <v>1.1706127387002112</v>
      </c>
      <c r="DR11" s="22">
        <f t="shared" si="16"/>
        <v>7.04100656176103</v>
      </c>
      <c r="DS11" s="62">
        <f t="shared" si="17"/>
        <v>273.48545100620549</v>
      </c>
      <c r="DT11" s="62">
        <f ca="1">AVERAGE(OFFSET($DS$3,0,0,'Données projet'!$E$14+1,1))-AVERAGE(OFFSET($H$3,0,0,'Données projet'!$E$14+1,1))</f>
        <v>349.73011349954953</v>
      </c>
      <c r="DU11" s="62">
        <f t="shared" si="44"/>
        <v>154.08406475869634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2.4833333333333334</v>
      </c>
      <c r="N12" s="14">
        <f>IF('Données projet'!$A$36&gt;35,N11+M12-V11,IF(A12&lt;'Données projet'!$A$36,$K$205^A12,IF(A12='Données projet'!$A$36,'Données projet'!$B$36,N11+M12-V11)))</f>
        <v>12.754463581129452</v>
      </c>
      <c r="O12" s="14">
        <f>N12*VLOOKUP('Données projet'!$B$9,Paramètres!$A$1:$I$89,3,0)*VLOOKUP('Données projet'!$B$9,Paramètres!$A$1:$I$89,5,0)</f>
        <v>7.6271692215154125</v>
      </c>
      <c r="P12" s="14">
        <f t="shared" si="33"/>
        <v>2.7746509016072261</v>
      </c>
      <c r="Q12" s="22">
        <f t="shared" si="2"/>
        <v>18.116503381105261</v>
      </c>
      <c r="R12" s="62">
        <f t="shared" si="0"/>
        <v>285.78317004777193</v>
      </c>
      <c r="S12" s="62">
        <f ca="1">AVERAGE(OFFSET($R$3,0,0,'Données projet'!$E$9+1,1))-AVERAGE(OFFSET($H$3,0,0,'Données projet'!$E$9+1,1))</f>
        <v>203.63995177374335</v>
      </c>
      <c r="T12" s="62">
        <f t="shared" si="34"/>
        <v>268.97461244918378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3.4498610765552797</v>
      </c>
      <c r="AK12" s="14">
        <f t="shared" si="35"/>
        <v>1.3764282087582862</v>
      </c>
      <c r="AL12" s="22">
        <f t="shared" si="4"/>
        <v>8.4057871719211263</v>
      </c>
      <c r="AM12" s="62">
        <f t="shared" si="5"/>
        <v>276.07245383858782</v>
      </c>
      <c r="AN12" s="62">
        <f ca="1">AVERAGE(OFFSET($AM$3,0,0,'Données projet'!$E$10+1,1))-AVERAGE(OFFSET($H$3,0,0,'Données projet'!$E$10+1,1))</f>
        <v>364.69354394930866</v>
      </c>
      <c r="AO12" s="62">
        <f t="shared" si="36"/>
        <v>159.6134369231965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0.9</v>
      </c>
      <c r="BD12" s="13">
        <f>IF('Données projet'!$A$88&gt;35,BD11+BC12-BL11,IF(A12&lt;'Données projet'!$A$88,$BA$205^A12,IF(A12='Données projet'!$A$88,'Données projet'!$B$88,BD11+BC12-BL11)))</f>
        <v>7.2246740558420788</v>
      </c>
      <c r="BE12" s="14">
        <f>BD12*VLOOKUP('Données projet'!$B$11,Paramètres!$A$1:$I$89,3,0)*VLOOKUP('Données projet'!$B$11,Paramètres!$A$1:$I$89,5,0)</f>
        <v>6.3114752551836411</v>
      </c>
      <c r="BF12" s="14">
        <f t="shared" si="37"/>
        <v>2.34718712267503</v>
      </c>
      <c r="BG12" s="22">
        <f t="shared" si="7"/>
        <v>15.080503641437184</v>
      </c>
      <c r="BH12" s="62">
        <f t="shared" si="8"/>
        <v>282.74717030810388</v>
      </c>
      <c r="BI12" s="62">
        <f ca="1">AVERAGE(OFFSET($BH$3,0,0,'Données projet'!$E$11+1,1))-AVERAGE(OFFSET($H$3,0,0,'Données projet'!$E$11+1,1))</f>
        <v>241.00707378755914</v>
      </c>
      <c r="BJ12" s="62">
        <f t="shared" si="38"/>
        <v>239.93573789765657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1.6346153846153846</v>
      </c>
      <c r="BY12" s="13">
        <f>IF('Données projet'!$A$114&gt;35,BY11+BX12-CG11,IF(A12&lt;'Données projet'!$A$114,$BV$205^A12,IF(A12='Données projet'!$A$114,'Données projet'!$B$114,BY11+BX12-CG11)))</f>
        <v>4.8028664423173124</v>
      </c>
      <c r="BZ12" s="14">
        <f>BY12*VLOOKUP('Données projet'!$B$12,Paramètres!$A$1:$I$89,3,0)*VLOOKUP('Données projet'!$B$12,Paramètres!$A$1:$I$89,5,0)</f>
        <v>3.221762809506453</v>
      </c>
      <c r="CA12" s="14">
        <f t="shared" si="39"/>
        <v>1.2956972527763424</v>
      </c>
      <c r="CB12" s="22">
        <f t="shared" si="10"/>
        <v>7.8679096084758688</v>
      </c>
      <c r="CC12" s="62">
        <f t="shared" si="11"/>
        <v>275.53457627514257</v>
      </c>
      <c r="CD12" s="62">
        <f ca="1">AVERAGE(OFFSET($CC$3,0,0,'Données projet'!$E$12+1,1))-AVERAGE(OFFSET($H$3,0,0,'Données projet'!$E$12+1,1))</f>
        <v>207.91006140109965</v>
      </c>
      <c r="CE12" s="62">
        <f t="shared" si="40"/>
        <v>164.93317437647255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1.6346153846153846</v>
      </c>
      <c r="CT12" s="13">
        <f>IF('Données projet'!$A$140&gt;35,CT11+CS12-DB11,IF(A12&lt;'Données projet'!$A$140,$CQ$205^A12,IF(A12='Données projet'!$A$140,'Données projet'!$B$140,CT11+CS12-DB11)))</f>
        <v>4.8028664423173124</v>
      </c>
      <c r="CU12" s="18">
        <f>CT12*VLOOKUP('Données projet'!$B$13,Paramètres!$A$1:$I$89,3,0)*VLOOKUP('Données projet'!$B$13,Paramètres!$A$1:$I$89,5,0)</f>
        <v>4.1208594075082541</v>
      </c>
      <c r="CV12" s="14">
        <f t="shared" si="41"/>
        <v>1.6104798042049104</v>
      </c>
      <c r="CW12" s="22">
        <f t="shared" si="13"/>
        <v>9.9820824604004272</v>
      </c>
      <c r="CX12" s="62">
        <f t="shared" si="14"/>
        <v>277.64874912706711</v>
      </c>
      <c r="CY12" s="62">
        <f ca="1">AVERAGE(OFFSET($CX$3,0,0,'Données projet'!$E$13+1,1))-AVERAGE(OFFSET($H$3,0,0,'Données projet'!$E$13+1,1))</f>
        <v>255.77222823147724</v>
      </c>
      <c r="CZ12" s="62">
        <f t="shared" si="42"/>
        <v>199.6931080052031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1.2</v>
      </c>
      <c r="DO12" s="13">
        <f>IF('Données projet'!$A$166&gt;35,DO11+DN12-DW11,IF(A12&lt;'Données projet'!$A$166,$DL$205^A12,IF(A12='Données projet'!$A$166,'Données projet'!$B$166,DO11+DN12-DW11)))</f>
        <v>3.4022298585357786</v>
      </c>
      <c r="DP12" s="18">
        <f>DO12*VLOOKUP('Données projet'!$B$14,Paramètres!$A$1:$I$89,3,0)*VLOOKUP('Données projet'!$B$14,Paramètres!$A$1:$I$89,5,0)</f>
        <v>3.2906367191758048</v>
      </c>
      <c r="DQ12" s="14">
        <f t="shared" si="43"/>
        <v>1.3201419124753617</v>
      </c>
      <c r="DR12" s="22">
        <f t="shared" si="16"/>
        <v>8.0304394501257814</v>
      </c>
      <c r="DS12" s="62">
        <f t="shared" si="17"/>
        <v>275.69710611679244</v>
      </c>
      <c r="DT12" s="62">
        <f ca="1">AVERAGE(OFFSET($DS$3,0,0,'Données projet'!$E$14+1,1))-AVERAGE(OFFSET($H$3,0,0,'Données projet'!$E$14+1,1))</f>
        <v>349.73011349954953</v>
      </c>
      <c r="DU12" s="62">
        <f t="shared" si="44"/>
        <v>154.08406475869634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2.4833333333333334</v>
      </c>
      <c r="N13" s="14">
        <f>IF('Données projet'!$A$36&gt;35,N12+M13-V12,IF(A13&lt;'Données projet'!$A$36,$K$205^A13,IF(A13='Données projet'!$A$36,'Données projet'!$B$36,N12+M13-V12)))</f>
        <v>16.924410610583799</v>
      </c>
      <c r="O13" s="14">
        <f>N13*VLOOKUP('Données projet'!$B$9,Paramètres!$A$1:$I$89,3,0)*VLOOKUP('Données projet'!$B$9,Paramètres!$A$1:$I$89,5,0)</f>
        <v>10.120797545129113</v>
      </c>
      <c r="P13" s="14">
        <f t="shared" si="33"/>
        <v>3.5625404720453053</v>
      </c>
      <c r="Q13" s="22">
        <f t="shared" si="2"/>
        <v>23.831813713245442</v>
      </c>
      <c r="R13" s="62">
        <f t="shared" si="0"/>
        <v>292.72070260213428</v>
      </c>
      <c r="S13" s="62">
        <f ca="1">AVERAGE(OFFSET($R$3,0,0,'Données projet'!$E$9+1,1))-AVERAGE(OFFSET($H$3,0,0,'Données projet'!$E$9+1,1))</f>
        <v>203.63995177374335</v>
      </c>
      <c r="T13" s="62">
        <f t="shared" si="34"/>
        <v>268.97461244918378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3.9526326786890178</v>
      </c>
      <c r="AK13" s="14">
        <f t="shared" si="35"/>
        <v>1.552247389613062</v>
      </c>
      <c r="AL13" s="22">
        <f t="shared" si="4"/>
        <v>9.5876661189594543</v>
      </c>
      <c r="AM13" s="62">
        <f t="shared" si="5"/>
        <v>278.47655500784833</v>
      </c>
      <c r="AN13" s="62">
        <f ca="1">AVERAGE(OFFSET($AM$3,0,0,'Données projet'!$E$10+1,1))-AVERAGE(OFFSET($H$3,0,0,'Données projet'!$E$10+1,1))</f>
        <v>364.69354394930866</v>
      </c>
      <c r="AO13" s="62">
        <f t="shared" si="36"/>
        <v>159.6134369231965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9</v>
      </c>
      <c r="BB13" s="13">
        <f>VLOOKUP(A13,'Données projet'!$A$87:$I$107,9,0)</f>
        <v>0.9</v>
      </c>
      <c r="BC13" s="13">
        <f t="array" ref="BC13">INDEX(BB:BB,MIN(IF(ISNUMBER(BB13:BB209),ROW(BB13:BB209),"")))</f>
        <v>0.9</v>
      </c>
      <c r="BD13" s="13">
        <f>IF('Données projet'!$A$88&gt;35,BD12+BC13-BL12,IF(A13&lt;'Données projet'!$A$88,$BA$205^A13,IF(A13='Données projet'!$A$88,'Données projet'!$B$88,BD12+BC13-BL12)))</f>
        <v>9</v>
      </c>
      <c r="BE13" s="14">
        <f>BD13*VLOOKUP('Données projet'!$B$11,Paramètres!$A$1:$I$89,3,0)*VLOOKUP('Données projet'!$B$11,Paramètres!$A$1:$I$89,5,0)</f>
        <v>7.8624000000000018</v>
      </c>
      <c r="BF13" s="14">
        <f t="shared" si="37"/>
        <v>2.8501294257559766</v>
      </c>
      <c r="BG13" s="22">
        <f t="shared" si="7"/>
        <v>18.657655416524996</v>
      </c>
      <c r="BH13" s="62">
        <f t="shared" si="8"/>
        <v>287.54654430541387</v>
      </c>
      <c r="BI13" s="62">
        <f ca="1">AVERAGE(OFFSET($BH$3,0,0,'Données projet'!$E$11+1,1))-AVERAGE(OFFSET($H$3,0,0,'Données projet'!$E$11+1,1))</f>
        <v>241.00707378755914</v>
      </c>
      <c r="BJ13" s="62">
        <f t="shared" si="38"/>
        <v>239.93573789765657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1.6346153846153846</v>
      </c>
      <c r="BY13" s="13">
        <f>IF('Données projet'!$A$114&gt;35,BY12+BX13-CG12,IF(A13&lt;'Données projet'!$A$114,$BV$205^A13,IF(A13='Données projet'!$A$114,'Données projet'!$B$114,BY12+BX13-CG12)))</f>
        <v>5.7177187489686574</v>
      </c>
      <c r="BZ13" s="14">
        <f>BY13*VLOOKUP('Données projet'!$B$12,Paramètres!$A$1:$I$89,3,0)*VLOOKUP('Données projet'!$B$12,Paramètres!$A$1:$I$89,5,0)</f>
        <v>3.8354457368081754</v>
      </c>
      <c r="CA13" s="14">
        <f t="shared" si="39"/>
        <v>1.5115125017003845</v>
      </c>
      <c r="CB13" s="22">
        <f t="shared" si="10"/>
        <v>9.3126189320690731</v>
      </c>
      <c r="CC13" s="62">
        <f t="shared" si="11"/>
        <v>278.20150782095794</v>
      </c>
      <c r="CD13" s="62">
        <f ca="1">AVERAGE(OFFSET($CC$3,0,0,'Données projet'!$E$12+1,1))-AVERAGE(OFFSET($H$3,0,0,'Données projet'!$E$12+1,1))</f>
        <v>207.91006140109965</v>
      </c>
      <c r="CE13" s="62">
        <f t="shared" si="40"/>
        <v>164.93317437647255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1.6346153846153846</v>
      </c>
      <c r="CT13" s="13">
        <f>IF('Données projet'!$A$140&gt;35,CT12+CS13-DB12,IF(A13&lt;'Données projet'!$A$140,$CQ$205^A13,IF(A13='Données projet'!$A$140,'Données projet'!$B$140,CT12+CS13-DB12)))</f>
        <v>5.7177187489686574</v>
      </c>
      <c r="CU13" s="18">
        <f>CT13*VLOOKUP('Données projet'!$B$13,Paramètres!$A$1:$I$89,3,0)*VLOOKUP('Données projet'!$B$13,Paramètres!$A$1:$I$89,5,0)</f>
        <v>4.9058026866151083</v>
      </c>
      <c r="CV13" s="14">
        <f t="shared" si="41"/>
        <v>1.8787261859016238</v>
      </c>
      <c r="CW13" s="22">
        <f t="shared" si="13"/>
        <v>11.816387786299977</v>
      </c>
      <c r="CX13" s="62">
        <f t="shared" si="14"/>
        <v>280.70527667518883</v>
      </c>
      <c r="CY13" s="62">
        <f ca="1">AVERAGE(OFFSET($CX$3,0,0,'Données projet'!$E$13+1,1))-AVERAGE(OFFSET($H$3,0,0,'Données projet'!$E$13+1,1))</f>
        <v>255.77222823147724</v>
      </c>
      <c r="CZ13" s="62">
        <f t="shared" si="42"/>
        <v>199.6931080052031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1.2</v>
      </c>
      <c r="DO13" s="13">
        <f>IF('Données projet'!$A$166&gt;35,DO12+DN13-DW12,IF(A13&lt;'Données projet'!$A$166,$DL$205^A13,IF(A13='Données projet'!$A$166,'Données projet'!$B$166,DO12+DN13-DW12)))</f>
        <v>3.8980598409161908</v>
      </c>
      <c r="DP13" s="18">
        <f>DO13*VLOOKUP('Données projet'!$B$14,Paramètres!$A$1:$I$89,3,0)*VLOOKUP('Données projet'!$B$14,Paramètres!$A$1:$I$89,5,0)</f>
        <v>3.7702034781341398</v>
      </c>
      <c r="DQ13" s="14">
        <f t="shared" si="43"/>
        <v>1.4887713173266797</v>
      </c>
      <c r="DR13" s="22">
        <f t="shared" si="16"/>
        <v>9.1593811020942599</v>
      </c>
      <c r="DS13" s="62">
        <f t="shared" si="17"/>
        <v>278.0482699909831</v>
      </c>
      <c r="DT13" s="62">
        <f ca="1">AVERAGE(OFFSET($DS$3,0,0,'Données projet'!$E$14+1,1))-AVERAGE(OFFSET($H$3,0,0,'Données projet'!$E$14+1,1))</f>
        <v>349.73011349954953</v>
      </c>
      <c r="DU13" s="62">
        <f t="shared" si="44"/>
        <v>154.08406475869634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2.4833333333333334</v>
      </c>
      <c r="N14" s="14">
        <f>IF('Données projet'!$A$36&gt;35,N13+M14-V13,IF(A14&lt;'Données projet'!$A$36,$K$205^A14,IF(A14='Données projet'!$A$36,'Données projet'!$B$36,N13+M14-V13)))</f>
        <v>22.457681006626594</v>
      </c>
      <c r="O14" s="14">
        <f>N14*VLOOKUP('Données projet'!$B$9,Paramètres!$A$1:$I$89,3,0)*VLOOKUP('Données projet'!$B$9,Paramètres!$A$1:$I$89,5,0)</f>
        <v>13.429693241962703</v>
      </c>
      <c r="P14" s="14">
        <f t="shared" si="33"/>
        <v>4.5741590798356206</v>
      </c>
      <c r="Q14" s="22">
        <f t="shared" si="2"/>
        <v>31.35670946046541</v>
      </c>
      <c r="R14" s="62">
        <f t="shared" si="0"/>
        <v>301.46782057157657</v>
      </c>
      <c r="S14" s="62">
        <f ca="1">AVERAGE(OFFSET($R$3,0,0,'Données projet'!$E$9+1,1))-AVERAGE(OFFSET($H$3,0,0,'Données projet'!$E$9+1,1))</f>
        <v>203.63995177374335</v>
      </c>
      <c r="T14" s="62">
        <f t="shared" si="34"/>
        <v>268.97461244918378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4.5286765889832141</v>
      </c>
      <c r="AK14" s="14">
        <f t="shared" si="35"/>
        <v>1.7505249770594407</v>
      </c>
      <c r="AL14" s="22">
        <f t="shared" si="4"/>
        <v>10.936276060857622</v>
      </c>
      <c r="AM14" s="62">
        <f t="shared" si="5"/>
        <v>281.04738717196875</v>
      </c>
      <c r="AN14" s="62">
        <f ca="1">AVERAGE(OFFSET($AM$3,0,0,'Données projet'!$E$10+1,1))-AVERAGE(OFFSET($H$3,0,0,'Données projet'!$E$10+1,1))</f>
        <v>364.69354394930866</v>
      </c>
      <c r="AO14" s="62">
        <f t="shared" si="36"/>
        <v>159.6134369231965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3.2</v>
      </c>
      <c r="BD14" s="13">
        <f>IF('Données projet'!$A$88&gt;35,BD13+BC14-BL13,IF(A14&lt;'Données projet'!$A$88,$BA$205^A14,IF(A14='Données projet'!$A$88,'Données projet'!$B$88,BD13+BC14-BL13)))</f>
        <v>12.2</v>
      </c>
      <c r="BE14" s="14">
        <f>BD14*VLOOKUP('Données projet'!$B$11,Paramètres!$A$1:$I$89,3,0)*VLOOKUP('Données projet'!$B$11,Paramètres!$A$1:$I$89,5,0)</f>
        <v>10.657920000000001</v>
      </c>
      <c r="BF14" s="14">
        <f t="shared" si="37"/>
        <v>3.7290949975640704</v>
      </c>
      <c r="BG14" s="22">
        <f t="shared" si="7"/>
        <v>25.057384454090755</v>
      </c>
      <c r="BH14" s="62">
        <f t="shared" si="8"/>
        <v>295.16849556520191</v>
      </c>
      <c r="BI14" s="62">
        <f ca="1">AVERAGE(OFFSET($BH$3,0,0,'Données projet'!$E$11+1,1))-AVERAGE(OFFSET($H$3,0,0,'Données projet'!$E$11+1,1))</f>
        <v>241.00707378755914</v>
      </c>
      <c r="BJ14" s="62">
        <f t="shared" si="38"/>
        <v>239.93573789765657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1.6346153846153846</v>
      </c>
      <c r="BY14" s="13">
        <f>IF('Données projet'!$A$114&gt;35,BY13+BX14-CG13,IF(A14&lt;'Données projet'!$A$114,$BV$205^A14,IF(A14='Données projet'!$A$114,'Données projet'!$B$114,BY13+BX14-CG13)))</f>
        <v>6.8068325623758437</v>
      </c>
      <c r="BZ14" s="14">
        <f>BY14*VLOOKUP('Données projet'!$B$12,Paramètres!$A$1:$I$89,3,0)*VLOOKUP('Données projet'!$B$12,Paramètres!$A$1:$I$89,5,0)</f>
        <v>4.5660232828417167</v>
      </c>
      <c r="CA14" s="14">
        <f t="shared" si="39"/>
        <v>1.7632745904964304</v>
      </c>
      <c r="CB14" s="22">
        <f t="shared" si="10"/>
        <v>11.023527129397273</v>
      </c>
      <c r="CC14" s="62">
        <f t="shared" si="11"/>
        <v>281.13463824050842</v>
      </c>
      <c r="CD14" s="62">
        <f ca="1">AVERAGE(OFFSET($CC$3,0,0,'Données projet'!$E$12+1,1))-AVERAGE(OFFSET($H$3,0,0,'Données projet'!$E$12+1,1))</f>
        <v>207.91006140109965</v>
      </c>
      <c r="CE14" s="62">
        <f t="shared" si="40"/>
        <v>164.93317437647255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1.6346153846153846</v>
      </c>
      <c r="CT14" s="13">
        <f>IF('Données projet'!$A$140&gt;35,CT13+CS14-DB13,IF(A14&lt;'Données projet'!$A$140,$CQ$205^A14,IF(A14='Données projet'!$A$140,'Données projet'!$B$140,CT13+CS14-DB13)))</f>
        <v>6.8068325623758437</v>
      </c>
      <c r="CU14" s="18">
        <f>CT14*VLOOKUP('Données projet'!$B$13,Paramètres!$A$1:$I$89,3,0)*VLOOKUP('Données projet'!$B$13,Paramètres!$A$1:$I$89,5,0)</f>
        <v>5.8402623385184746</v>
      </c>
      <c r="CV14" s="14">
        <f t="shared" si="41"/>
        <v>2.1916524953475109</v>
      </c>
      <c r="CW14" s="22">
        <f t="shared" si="13"/>
        <v>13.988918335649926</v>
      </c>
      <c r="CX14" s="62">
        <f t="shared" si="14"/>
        <v>284.10002944676108</v>
      </c>
      <c r="CY14" s="62">
        <f ca="1">AVERAGE(OFFSET($CX$3,0,0,'Données projet'!$E$13+1,1))-AVERAGE(OFFSET($H$3,0,0,'Données projet'!$E$13+1,1))</f>
        <v>255.77222823147724</v>
      </c>
      <c r="CZ14" s="62">
        <f t="shared" si="42"/>
        <v>199.6931080052031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1.2</v>
      </c>
      <c r="DO14" s="13">
        <f>IF('Données projet'!$A$166&gt;35,DO13+DN14-DW13,IF(A14&lt;'Données projet'!$A$166,$DL$205^A14,IF(A14='Données projet'!$A$166,'Données projet'!$B$166,DO13+DN14-DW13)))</f>
        <v>4.4661504822319662</v>
      </c>
      <c r="DP14" s="18">
        <f>DO14*VLOOKUP('Données projet'!$B$14,Paramètres!$A$1:$I$89,3,0)*VLOOKUP('Données projet'!$B$14,Paramètres!$A$1:$I$89,5,0)</f>
        <v>4.3196607464147583</v>
      </c>
      <c r="DQ14" s="14">
        <f t="shared" si="43"/>
        <v>1.6789407368626241</v>
      </c>
      <c r="DR14" s="22">
        <f t="shared" si="16"/>
        <v>10.44756425004144</v>
      </c>
      <c r="DS14" s="62">
        <f t="shared" si="17"/>
        <v>280.55867536115261</v>
      </c>
      <c r="DT14" s="62">
        <f ca="1">AVERAGE(OFFSET($DS$3,0,0,'Données projet'!$E$14+1,1))-AVERAGE(OFFSET($H$3,0,0,'Données projet'!$E$14+1,1))</f>
        <v>349.73011349954953</v>
      </c>
      <c r="DU14" s="62">
        <f t="shared" si="44"/>
        <v>154.08406475869634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29.8</v>
      </c>
      <c r="L15" s="13">
        <f>VLOOKUP(A15,'Données projet'!$A$35:$I$55,9,0)</f>
        <v>2.4833333333333334</v>
      </c>
      <c r="M15" s="13">
        <f t="array" ref="M15">INDEX(L:L,MIN(IF(ISNUMBER(L15:L211),ROW(L15:L211),"")))</f>
        <v>2.4833333333333334</v>
      </c>
      <c r="N15" s="14">
        <f>IF('Données projet'!$A$36&gt;35,N14+M15-V14,IF(A15&lt;'Données projet'!$A$36,$K$205^A15,IF(A15='Données projet'!$A$36,'Données projet'!$B$36,N14+M15-V14)))</f>
        <v>29.8</v>
      </c>
      <c r="O15" s="14">
        <f>N15*VLOOKUP('Données projet'!$B$9,Paramètres!$A$1:$I$89,3,0)*VLOOKUP('Données projet'!$B$9,Paramètres!$A$1:$I$89,5,0)</f>
        <v>17.820399999999999</v>
      </c>
      <c r="P15" s="14">
        <f t="shared" si="33"/>
        <v>5.8730367982684291</v>
      </c>
      <c r="Q15" s="22">
        <f t="shared" si="2"/>
        <v>41.266069090317508</v>
      </c>
      <c r="R15" s="62">
        <f t="shared" si="0"/>
        <v>312.59940242365082</v>
      </c>
      <c r="S15" s="62">
        <f ca="1">AVERAGE(OFFSET($R$3,0,0,'Données projet'!$E$9+1,1))-AVERAGE(OFFSET($H$3,0,0,'Données projet'!$E$9+1,1))</f>
        <v>203.63995177374335</v>
      </c>
      <c r="T15" s="62">
        <f t="shared" si="34"/>
        <v>268.97461244918378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5.1886712767873213</v>
      </c>
      <c r="AK15" s="14">
        <f t="shared" si="35"/>
        <v>1.9741297139966976</v>
      </c>
      <c r="AL15" s="22">
        <f t="shared" si="4"/>
        <v>12.4752117256155</v>
      </c>
      <c r="AM15" s="62">
        <f t="shared" si="5"/>
        <v>283.80854505894882</v>
      </c>
      <c r="AN15" s="62">
        <f ca="1">AVERAGE(OFFSET($AM$3,0,0,'Données projet'!$E$10+1,1))-AVERAGE(OFFSET($H$3,0,0,'Données projet'!$E$10+1,1))</f>
        <v>364.69354394930866</v>
      </c>
      <c r="AO15" s="62">
        <f t="shared" si="36"/>
        <v>159.6134369231965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3.2</v>
      </c>
      <c r="BD15" s="13">
        <f>IF('Données projet'!$A$88&gt;35,BD14+BC15-BL14,IF(A15&lt;'Données projet'!$A$88,$BA$205^A15,IF(A15='Données projet'!$A$88,'Données projet'!$B$88,BD14+BC15-BL14)))</f>
        <v>15.399999999999999</v>
      </c>
      <c r="BE15" s="14">
        <f>BD15*VLOOKUP('Données projet'!$B$11,Paramètres!$A$1:$I$89,3,0)*VLOOKUP('Données projet'!$B$11,Paramètres!$A$1:$I$89,5,0)</f>
        <v>13.453440000000001</v>
      </c>
      <c r="BF15" s="14">
        <f t="shared" si="37"/>
        <v>4.5813050391539978</v>
      </c>
      <c r="BG15" s="22">
        <f t="shared" si="7"/>
        <v>31.410514276526541</v>
      </c>
      <c r="BH15" s="62">
        <f t="shared" si="8"/>
        <v>302.74384760985987</v>
      </c>
      <c r="BI15" s="62">
        <f ca="1">AVERAGE(OFFSET($BH$3,0,0,'Données projet'!$E$11+1,1))-AVERAGE(OFFSET($H$3,0,0,'Données projet'!$E$11+1,1))</f>
        <v>241.00707378755914</v>
      </c>
      <c r="BJ15" s="62">
        <f t="shared" si="38"/>
        <v>239.93573789765657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1.6346153846153846</v>
      </c>
      <c r="BY15" s="13">
        <f>IF('Données projet'!$A$114&gt;35,BY14+BX15-CG14,IF(A15&lt;'Données projet'!$A$114,$BV$205^A15,IF(A15='Données projet'!$A$114,'Données projet'!$B$114,BY14+BX15-CG14)))</f>
        <v>8.1034012980399712</v>
      </c>
      <c r="BZ15" s="14">
        <f>BY15*VLOOKUP('Données projet'!$B$12,Paramètres!$A$1:$I$89,3,0)*VLOOKUP('Données projet'!$B$12,Paramètres!$A$1:$I$89,5,0)</f>
        <v>5.435761590725213</v>
      </c>
      <c r="CA15" s="14">
        <f t="shared" si="39"/>
        <v>2.0569709334145188</v>
      </c>
      <c r="CB15" s="22">
        <f t="shared" si="10"/>
        <v>13.049842479543365</v>
      </c>
      <c r="CC15" s="62">
        <f t="shared" si="11"/>
        <v>284.38317581287669</v>
      </c>
      <c r="CD15" s="62">
        <f ca="1">AVERAGE(OFFSET($CC$3,0,0,'Données projet'!$E$12+1,1))-AVERAGE(OFFSET($H$3,0,0,'Données projet'!$E$12+1,1))</f>
        <v>207.91006140109965</v>
      </c>
      <c r="CE15" s="62">
        <f t="shared" si="40"/>
        <v>164.93317437647255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1.6346153846153846</v>
      </c>
      <c r="CT15" s="13">
        <f>IF('Données projet'!$A$140&gt;35,CT14+CS15-DB14,IF(A15&lt;'Données projet'!$A$140,$CQ$205^A15,IF(A15='Données projet'!$A$140,'Données projet'!$B$140,CT14+CS15-DB14)))</f>
        <v>8.1034012980399712</v>
      </c>
      <c r="CU15" s="18">
        <f>CT15*VLOOKUP('Données projet'!$B$13,Paramètres!$A$1:$I$89,3,0)*VLOOKUP('Données projet'!$B$13,Paramètres!$A$1:$I$89,5,0)</f>
        <v>6.9527183137182966</v>
      </c>
      <c r="CV15" s="14">
        <f t="shared" si="41"/>
        <v>2.5567007562934392</v>
      </c>
      <c r="CW15" s="22">
        <f t="shared" si="13"/>
        <v>16.562238213603774</v>
      </c>
      <c r="CX15" s="62">
        <f t="shared" si="14"/>
        <v>287.89557154693711</v>
      </c>
      <c r="CY15" s="62">
        <f ca="1">AVERAGE(OFFSET($CX$3,0,0,'Données projet'!$E$13+1,1))-AVERAGE(OFFSET($H$3,0,0,'Données projet'!$E$13+1,1))</f>
        <v>255.77222823147724</v>
      </c>
      <c r="CZ15" s="62">
        <f t="shared" si="42"/>
        <v>199.6931080052031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1.2</v>
      </c>
      <c r="DO15" s="13">
        <f>IF('Données projet'!$A$166&gt;35,DO14+DN15-DW14,IF(A15&lt;'Données projet'!$A$166,$DL$205^A15,IF(A15='Données projet'!$A$166,'Données projet'!$B$166,DO14+DN15-DW14)))</f>
        <v>5.1170328173444979</v>
      </c>
      <c r="DP15" s="18">
        <f>DO15*VLOOKUP('Données projet'!$B$14,Paramètres!$A$1:$I$89,3,0)*VLOOKUP('Données projet'!$B$14,Paramètres!$A$1:$I$89,5,0)</f>
        <v>4.9491941409355986</v>
      </c>
      <c r="DQ15" s="14">
        <f t="shared" si="43"/>
        <v>1.8934016024425293</v>
      </c>
      <c r="DR15" s="22">
        <f t="shared" si="16"/>
        <v>11.917520919716907</v>
      </c>
      <c r="DS15" s="62">
        <f t="shared" si="17"/>
        <v>283.25085425305019</v>
      </c>
      <c r="DT15" s="62">
        <f ca="1">AVERAGE(OFFSET($DS$3,0,0,'Données projet'!$E$14+1,1))-AVERAGE(OFFSET($H$3,0,0,'Données projet'!$E$14+1,1))</f>
        <v>349.73011349954953</v>
      </c>
      <c r="DU15" s="62">
        <f t="shared" si="44"/>
        <v>154.08406475869634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13.1</v>
      </c>
      <c r="N16" s="14">
        <f>IF('Données projet'!$A$36&gt;35,N15+M16-V15,IF(A16&lt;'Données projet'!$A$36,$K$205^A16,IF(A16='Données projet'!$A$36,'Données projet'!$B$36,N15+M16-V15)))</f>
        <v>42.9</v>
      </c>
      <c r="O16" s="14">
        <f>N16*VLOOKUP('Données projet'!$B$9,Paramètres!$A$1:$I$89,3,0)*VLOOKUP('Données projet'!$B$9,Paramètres!$A$1:$I$89,5,0)</f>
        <v>25.654200000000003</v>
      </c>
      <c r="P16" s="14">
        <f t="shared" si="33"/>
        <v>8.1037212606716889</v>
      </c>
      <c r="Q16" s="22">
        <f t="shared" si="2"/>
        <v>58.795046195669869</v>
      </c>
      <c r="R16" s="62">
        <f t="shared" si="0"/>
        <v>331.35060175122544</v>
      </c>
      <c r="S16" s="62">
        <f ca="1">AVERAGE(OFFSET($R$3,0,0,'Données projet'!$E$9+1,1))-AVERAGE(OFFSET($H$3,0,0,'Données projet'!$E$9+1,1))</f>
        <v>203.63995177374335</v>
      </c>
      <c r="T16" s="62">
        <f t="shared" si="34"/>
        <v>268.97461244918378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5.9448514570572168</v>
      </c>
      <c r="AK16" s="14">
        <f t="shared" si="35"/>
        <v>2.2262967845401667</v>
      </c>
      <c r="AL16" s="22">
        <f t="shared" si="4"/>
        <v>14.231416520782107</v>
      </c>
      <c r="AM16" s="62">
        <f t="shared" si="5"/>
        <v>286.78697207633763</v>
      </c>
      <c r="AN16" s="62">
        <f ca="1">AVERAGE(OFFSET($AM$3,0,0,'Données projet'!$E$10+1,1))-AVERAGE(OFFSET($H$3,0,0,'Données projet'!$E$10+1,1))</f>
        <v>364.69354394930866</v>
      </c>
      <c r="AO16" s="62">
        <f t="shared" si="36"/>
        <v>159.6134369231965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3.2</v>
      </c>
      <c r="BD16" s="13">
        <f>IF('Données projet'!$A$88&gt;35,BD15+BC16-BL15,IF(A16&lt;'Données projet'!$A$88,$BA$205^A16,IF(A16='Données projet'!$A$88,'Données projet'!$B$88,BD15+BC16-BL15)))</f>
        <v>18.599999999999998</v>
      </c>
      <c r="BE16" s="14">
        <f>BD16*VLOOKUP('Données projet'!$B$11,Paramètres!$A$1:$I$89,3,0)*VLOOKUP('Données projet'!$B$11,Paramètres!$A$1:$I$89,5,0)</f>
        <v>16.24896</v>
      </c>
      <c r="BF16" s="14">
        <f t="shared" si="37"/>
        <v>5.4129939058841172</v>
      </c>
      <c r="BG16" s="22">
        <f t="shared" si="7"/>
        <v>37.727903052748168</v>
      </c>
      <c r="BH16" s="62">
        <f t="shared" si="8"/>
        <v>310.2834586083037</v>
      </c>
      <c r="BI16" s="62">
        <f ca="1">AVERAGE(OFFSET($BH$3,0,0,'Données projet'!$E$11+1,1))-AVERAGE(OFFSET($H$3,0,0,'Données projet'!$E$11+1,1))</f>
        <v>241.00707378755914</v>
      </c>
      <c r="BJ16" s="62">
        <f t="shared" si="38"/>
        <v>239.93573789765657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1.6346153846153846</v>
      </c>
      <c r="BY16" s="13">
        <f>IF('Données projet'!$A$114&gt;35,BY15+BX16-CG15,IF(A16&lt;'Données projet'!$A$114,$BV$205^A16,IF(A16='Données projet'!$A$114,'Données projet'!$B$114,BY15+BX16-CG15)))</f>
        <v>9.6469410691889088</v>
      </c>
      <c r="BZ16" s="14">
        <f>BY16*VLOOKUP('Données projet'!$B$12,Paramètres!$A$1:$I$89,3,0)*VLOOKUP('Données projet'!$B$12,Paramètres!$A$1:$I$89,5,0)</f>
        <v>6.4711680692119211</v>
      </c>
      <c r="CA16" s="14">
        <f t="shared" si="39"/>
        <v>2.399586226511079</v>
      </c>
      <c r="CB16" s="22">
        <f t="shared" si="10"/>
        <v>15.449897065050889</v>
      </c>
      <c r="CC16" s="62">
        <f t="shared" si="11"/>
        <v>288.00545262060643</v>
      </c>
      <c r="CD16" s="62">
        <f ca="1">AVERAGE(OFFSET($CC$3,0,0,'Données projet'!$E$12+1,1))-AVERAGE(OFFSET($H$3,0,0,'Données projet'!$E$12+1,1))</f>
        <v>207.91006140109965</v>
      </c>
      <c r="CE16" s="62">
        <f t="shared" si="40"/>
        <v>164.93317437647255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1.6346153846153846</v>
      </c>
      <c r="CT16" s="13">
        <f>IF('Données projet'!$A$140&gt;35,CT15+CS16-DB15,IF(A16&lt;'Données projet'!$A$140,$CQ$205^A16,IF(A16='Données projet'!$A$140,'Données projet'!$B$140,CT15+CS16-DB15)))</f>
        <v>9.6469410691889088</v>
      </c>
      <c r="CU16" s="18">
        <f>CT16*VLOOKUP('Données projet'!$B$13,Paramètres!$A$1:$I$89,3,0)*VLOOKUP('Données projet'!$B$13,Paramètres!$A$1:$I$89,5,0)</f>
        <v>8.2770754373640845</v>
      </c>
      <c r="CV16" s="14">
        <f t="shared" si="41"/>
        <v>2.9825525584497266</v>
      </c>
      <c r="CW16" s="22">
        <f t="shared" si="13"/>
        <v>19.610518759375719</v>
      </c>
      <c r="CX16" s="62">
        <f t="shared" si="14"/>
        <v>292.16607431493128</v>
      </c>
      <c r="CY16" s="62">
        <f ca="1">AVERAGE(OFFSET($CX$3,0,0,'Données projet'!$E$13+1,1))-AVERAGE(OFFSET($H$3,0,0,'Données projet'!$E$13+1,1))</f>
        <v>255.77222823147724</v>
      </c>
      <c r="CZ16" s="62">
        <f t="shared" si="42"/>
        <v>199.6931080052031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1.2</v>
      </c>
      <c r="DO16" s="13">
        <f>IF('Données projet'!$A$166&gt;35,DO15+DN16-DW15,IF(A16&lt;'Données projet'!$A$166,$DL$205^A16,IF(A16='Données projet'!$A$166,'Données projet'!$B$166,DO15+DN16-DW15)))</f>
        <v>5.8627726400958746</v>
      </c>
      <c r="DP16" s="18">
        <f>DO16*VLOOKUP('Données projet'!$B$14,Paramètres!$A$1:$I$89,3,0)*VLOOKUP('Données projet'!$B$14,Paramètres!$A$1:$I$89,5,0)</f>
        <v>5.6704736975007304</v>
      </c>
      <c r="DQ16" s="14">
        <f t="shared" si="43"/>
        <v>2.1352568017564701</v>
      </c>
      <c r="DR16" s="22">
        <f t="shared" si="16"/>
        <v>13.594980619539625</v>
      </c>
      <c r="DS16" s="62">
        <f t="shared" si="17"/>
        <v>286.15053617509517</v>
      </c>
      <c r="DT16" s="62">
        <f ca="1">AVERAGE(OFFSET($DS$3,0,0,'Données projet'!$E$14+1,1))-AVERAGE(OFFSET($H$3,0,0,'Données projet'!$E$14+1,1))</f>
        <v>349.73011349954953</v>
      </c>
      <c r="DU16" s="62">
        <f t="shared" si="44"/>
        <v>154.08406475869634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56</v>
      </c>
      <c r="L17" s="13">
        <f>VLOOKUP(A17,'Données projet'!$A$35:$I$55,9,0)</f>
        <v>13.1</v>
      </c>
      <c r="M17" s="13">
        <f t="array" ref="M17">INDEX(L:L,MIN(IF(ISNUMBER(L17:L213),ROW(L17:L213),"")))</f>
        <v>13.1</v>
      </c>
      <c r="N17" s="14">
        <f>IF('Données projet'!$A$36&gt;35,N16+M17-V16,IF(A17&lt;'Données projet'!$A$36,$K$205^A17,IF(A17='Données projet'!$A$36,'Données projet'!$B$36,N16+M17-V16)))</f>
        <v>56</v>
      </c>
      <c r="O17" s="14">
        <f>N17*VLOOKUP('Données projet'!$B$9,Paramètres!$A$1:$I$89,3,0)*VLOOKUP('Données projet'!$B$9,Paramètres!$A$1:$I$89,5,0)</f>
        <v>33.488000000000007</v>
      </c>
      <c r="P17" s="14">
        <f t="shared" si="33"/>
        <v>10.255200877844667</v>
      </c>
      <c r="Q17" s="22">
        <f t="shared" si="2"/>
        <v>76.18607486224613</v>
      </c>
      <c r="R17" s="62">
        <f t="shared" si="0"/>
        <v>349.9638526400239</v>
      </c>
      <c r="S17" s="62">
        <f ca="1">AVERAGE(OFFSET($R$3,0,0,'Données projet'!$E$9+1,1))-AVERAGE(OFFSET($H$3,0,0,'Données projet'!$E$9+1,1))</f>
        <v>203.63995177374335</v>
      </c>
      <c r="T17" s="62">
        <f t="shared" si="34"/>
        <v>268.97461244918378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6.8112348925595523</v>
      </c>
      <c r="AK17" s="14">
        <f t="shared" si="35"/>
        <v>2.5106746216891089</v>
      </c>
      <c r="AL17" s="22">
        <f t="shared" si="4"/>
        <v>16.235659070649749</v>
      </c>
      <c r="AM17" s="62">
        <f t="shared" si="5"/>
        <v>290.01343684842755</v>
      </c>
      <c r="AN17" s="62">
        <f ca="1">AVERAGE(OFFSET($AM$3,0,0,'Données projet'!$E$10+1,1))-AVERAGE(OFFSET($H$3,0,0,'Données projet'!$E$10+1,1))</f>
        <v>364.69354394930866</v>
      </c>
      <c r="AO17" s="62">
        <f t="shared" si="36"/>
        <v>159.6134369231965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3.2</v>
      </c>
      <c r="BD17" s="13">
        <f>IF('Données projet'!$A$88&gt;35,BD16+BC17-BL16,IF(A17&lt;'Données projet'!$A$88,$BA$205^A17,IF(A17='Données projet'!$A$88,'Données projet'!$B$88,BD16+BC17-BL16)))</f>
        <v>21.799999999999997</v>
      </c>
      <c r="BE17" s="14">
        <f>BD17*VLOOKUP('Données projet'!$B$11,Paramètres!$A$1:$I$89,3,0)*VLOOKUP('Données projet'!$B$11,Paramètres!$A$1:$I$89,5,0)</f>
        <v>19.04448</v>
      </c>
      <c r="BF17" s="14">
        <f t="shared" si="37"/>
        <v>6.2281069020478963</v>
      </c>
      <c r="BG17" s="22">
        <f t="shared" si="7"/>
        <v>44.016422187733419</v>
      </c>
      <c r="BH17" s="62">
        <f t="shared" si="8"/>
        <v>317.79419996551121</v>
      </c>
      <c r="BI17" s="62">
        <f ca="1">AVERAGE(OFFSET($BH$3,0,0,'Données projet'!$E$11+1,1))-AVERAGE(OFFSET($H$3,0,0,'Données projet'!$E$11+1,1))</f>
        <v>241.00707378755914</v>
      </c>
      <c r="BJ17" s="62">
        <f t="shared" si="38"/>
        <v>239.93573789765657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1.6346153846153846</v>
      </c>
      <c r="BY17" s="13">
        <f>IF('Données projet'!$A$114&gt;35,BY16+BX17-CG16,IF(A17&lt;'Données projet'!$A$114,$BV$205^A17,IF(A17='Données projet'!$A$114,'Données projet'!$B$114,BY16+BX17-CG16)))</f>
        <v>11.484495037276947</v>
      </c>
      <c r="BZ17" s="14">
        <f>BY17*VLOOKUP('Données projet'!$B$12,Paramètres!$A$1:$I$89,3,0)*VLOOKUP('Données projet'!$B$12,Paramètres!$A$1:$I$89,5,0)</f>
        <v>7.7037992710053755</v>
      </c>
      <c r="CA17" s="14">
        <f t="shared" si="39"/>
        <v>2.7992685579195422</v>
      </c>
      <c r="CB17" s="22">
        <f t="shared" si="10"/>
        <v>18.292843135377566</v>
      </c>
      <c r="CC17" s="62">
        <f t="shared" si="11"/>
        <v>292.07062091315532</v>
      </c>
      <c r="CD17" s="62">
        <f ca="1">AVERAGE(OFFSET($CC$3,0,0,'Données projet'!$E$12+1,1))-AVERAGE(OFFSET($H$3,0,0,'Données projet'!$E$12+1,1))</f>
        <v>207.91006140109965</v>
      </c>
      <c r="CE17" s="62">
        <f t="shared" si="40"/>
        <v>164.93317437647255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1.6346153846153846</v>
      </c>
      <c r="CT17" s="13">
        <f>IF('Données projet'!$A$140&gt;35,CT16+CS17-DB16,IF(A17&lt;'Données projet'!$A$140,$CQ$205^A17,IF(A17='Données projet'!$A$140,'Données projet'!$B$140,CT16+CS17-DB16)))</f>
        <v>11.484495037276947</v>
      </c>
      <c r="CU17" s="18">
        <f>CT17*VLOOKUP('Données projet'!$B$13,Paramètres!$A$1:$I$89,3,0)*VLOOKUP('Données projet'!$B$13,Paramètres!$A$1:$I$89,5,0)</f>
        <v>9.8536967419836206</v>
      </c>
      <c r="CV17" s="14">
        <f t="shared" si="41"/>
        <v>3.4793355233372618</v>
      </c>
      <c r="CW17" s="22">
        <f t="shared" si="13"/>
        <v>23.221697862100537</v>
      </c>
      <c r="CX17" s="62">
        <f t="shared" si="14"/>
        <v>296.99947563987831</v>
      </c>
      <c r="CY17" s="62">
        <f ca="1">AVERAGE(OFFSET($CX$3,0,0,'Données projet'!$E$13+1,1))-AVERAGE(OFFSET($H$3,0,0,'Données projet'!$E$13+1,1))</f>
        <v>255.77222823147724</v>
      </c>
      <c r="CZ17" s="62">
        <f t="shared" si="42"/>
        <v>199.6931080052031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1.2</v>
      </c>
      <c r="DO17" s="13">
        <f>IF('Données projet'!$A$166&gt;35,DO16+DN17-DW16,IF(A17&lt;'Données projet'!$A$166,$DL$205^A17,IF(A17='Données projet'!$A$166,'Données projet'!$B$166,DO16+DN17-DW16)))</f>
        <v>6.7171941741218459</v>
      </c>
      <c r="DP17" s="18">
        <f>DO17*VLOOKUP('Données projet'!$B$14,Paramètres!$A$1:$I$89,3,0)*VLOOKUP('Données projet'!$B$14,Paramètres!$A$1:$I$89,5,0)</f>
        <v>6.4968702052106497</v>
      </c>
      <c r="DQ17" s="14">
        <f t="shared" si="43"/>
        <v>2.4080055723865681</v>
      </c>
      <c r="DR17" s="22">
        <f t="shared" si="16"/>
        <v>15.509325312648487</v>
      </c>
      <c r="DS17" s="62">
        <f t="shared" si="17"/>
        <v>289.28710309042629</v>
      </c>
      <c r="DT17" s="62">
        <f ca="1">AVERAGE(OFFSET($DS$3,0,0,'Données projet'!$E$14+1,1))-AVERAGE(OFFSET($H$3,0,0,'Données projet'!$E$14+1,1))</f>
        <v>349.73011349954953</v>
      </c>
      <c r="DU17" s="62">
        <f t="shared" si="44"/>
        <v>154.08406475869634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16.200000000000003</v>
      </c>
      <c r="N18" s="14">
        <f>IF('Données projet'!$A$36&gt;35,N17+M18-V17,IF(A18&lt;'Données projet'!$A$36,$K$205^A18,IF(A18='Données projet'!$A$36,'Données projet'!$B$36,N17+M18-V17)))</f>
        <v>72.2</v>
      </c>
      <c r="O18" s="14">
        <f>N18*VLOOKUP('Données projet'!$B$9,Paramètres!$A$1:$I$89,3,0)*VLOOKUP('Données projet'!$B$9,Paramètres!$A$1:$I$89,5,0)</f>
        <v>43.175600000000003</v>
      </c>
      <c r="P18" s="14">
        <f t="shared" si="33"/>
        <v>12.836561291924522</v>
      </c>
      <c r="Q18" s="22">
        <f t="shared" si="2"/>
        <v>97.554514250101889</v>
      </c>
      <c r="R18" s="62">
        <f t="shared" si="0"/>
        <v>372.55451425010187</v>
      </c>
      <c r="S18" s="62">
        <f ca="1">AVERAGE(OFFSET($R$3,0,0,'Données projet'!$E$9+1,1))-AVERAGE(OFFSET($H$3,0,0,'Données projet'!$E$9+1,1))</f>
        <v>203.63995177374335</v>
      </c>
      <c r="T18" s="62">
        <f t="shared" si="34"/>
        <v>268.97461244918378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7.8038822494962501</v>
      </c>
      <c r="AK18" s="14">
        <f t="shared" si="35"/>
        <v>2.8313776940102406</v>
      </c>
      <c r="AL18" s="22">
        <f t="shared" si="4"/>
        <v>18.523077734940472</v>
      </c>
      <c r="AM18" s="62">
        <f t="shared" si="5"/>
        <v>293.52307773494044</v>
      </c>
      <c r="AN18" s="62">
        <f ca="1">AVERAGE(OFFSET($AM$3,0,0,'Données projet'!$E$10+1,1))-AVERAGE(OFFSET($H$3,0,0,'Données projet'!$E$10+1,1))</f>
        <v>364.69354394930866</v>
      </c>
      <c r="AO18" s="62">
        <f t="shared" si="36"/>
        <v>159.6134369231965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25</v>
      </c>
      <c r="BB18" s="13">
        <f>VLOOKUP(A18,'Données projet'!$A$87:$I$107,9,0)</f>
        <v>3.2</v>
      </c>
      <c r="BC18" s="13">
        <f t="array" ref="BC18">INDEX(BB:BB,MIN(IF(ISNUMBER(BB18:BB214),ROW(BB18:BB214),"")))</f>
        <v>3.2</v>
      </c>
      <c r="BD18" s="13">
        <f>IF('Données projet'!$A$88&gt;35,BD17+BC18-BL17,IF(A18&lt;'Données projet'!$A$88,$BA$205^A18,IF(A18='Données projet'!$A$88,'Données projet'!$B$88,BD17+BC18-BL17)))</f>
        <v>24.999999999999996</v>
      </c>
      <c r="BE18" s="14">
        <f>BD18*VLOOKUP('Données projet'!$B$11,Paramètres!$A$1:$I$89,3,0)*VLOOKUP('Données projet'!$B$11,Paramètres!$A$1:$I$89,5,0)</f>
        <v>21.84</v>
      </c>
      <c r="BF18" s="14">
        <f t="shared" si="37"/>
        <v>7.0293584875852613</v>
      </c>
      <c r="BG18" s="22">
        <f t="shared" si="7"/>
        <v>50.280799365877662</v>
      </c>
      <c r="BH18" s="62">
        <f t="shared" si="8"/>
        <v>325.28079936587767</v>
      </c>
      <c r="BI18" s="62">
        <f ca="1">AVERAGE(OFFSET($BH$3,0,0,'Données projet'!$E$11+1,1))-AVERAGE(OFFSET($H$3,0,0,'Données projet'!$E$11+1,1))</f>
        <v>241.00707378755914</v>
      </c>
      <c r="BJ18" s="62">
        <f t="shared" si="38"/>
        <v>239.93573789765657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1.6346153846153846</v>
      </c>
      <c r="BY18" s="13">
        <f>IF('Données projet'!$A$114&gt;35,BY17+BX18-CG17,IF(A18&lt;'Données projet'!$A$114,$BV$205^A18,IF(A18='Données projet'!$A$114,'Données projet'!$B$114,BY17+BX18-CG17)))</f>
        <v>13.672067167746068</v>
      </c>
      <c r="BZ18" s="14">
        <f>BY18*VLOOKUP('Données projet'!$B$12,Paramètres!$A$1:$I$89,3,0)*VLOOKUP('Données projet'!$B$12,Paramètres!$A$1:$I$89,5,0)</f>
        <v>9.171222656124062</v>
      </c>
      <c r="CA18" s="14">
        <f t="shared" si="39"/>
        <v>3.2655231859494838</v>
      </c>
      <c r="CB18" s="22">
        <f t="shared" si="10"/>
        <v>21.660665674944756</v>
      </c>
      <c r="CC18" s="62">
        <f t="shared" si="11"/>
        <v>296.66066567494477</v>
      </c>
      <c r="CD18" s="62">
        <f ca="1">AVERAGE(OFFSET($CC$3,0,0,'Données projet'!$E$12+1,1))-AVERAGE(OFFSET($H$3,0,0,'Données projet'!$E$12+1,1))</f>
        <v>207.91006140109965</v>
      </c>
      <c r="CE18" s="62">
        <f t="shared" si="40"/>
        <v>164.93317437647255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1.6346153846153846</v>
      </c>
      <c r="CT18" s="13">
        <f>IF('Données projet'!$A$140&gt;35,CT17+CS18-DB17,IF(A18&lt;'Données projet'!$A$140,$CQ$205^A18,IF(A18='Données projet'!$A$140,'Données projet'!$B$140,CT17+CS18-DB17)))</f>
        <v>13.672067167746068</v>
      </c>
      <c r="CU18" s="18">
        <f>CT18*VLOOKUP('Données projet'!$B$13,Paramètres!$A$1:$I$89,3,0)*VLOOKUP('Données projet'!$B$13,Paramètres!$A$1:$I$89,5,0)</f>
        <v>11.730633629926126</v>
      </c>
      <c r="CV18" s="14">
        <f t="shared" si="41"/>
        <v>4.0588641597145649</v>
      </c>
      <c r="CW18" s="22">
        <f t="shared" si="13"/>
        <v>27.500041983624204</v>
      </c>
      <c r="CX18" s="62">
        <f t="shared" si="14"/>
        <v>302.50004198362421</v>
      </c>
      <c r="CY18" s="62">
        <f ca="1">AVERAGE(OFFSET($CX$3,0,0,'Données projet'!$E$13+1,1))-AVERAGE(OFFSET($H$3,0,0,'Données projet'!$E$13+1,1))</f>
        <v>255.77222823147724</v>
      </c>
      <c r="CZ18" s="62">
        <f t="shared" si="42"/>
        <v>199.6931080052031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1.2</v>
      </c>
      <c r="DO18" s="13">
        <f>IF('Données projet'!$A$166&gt;35,DO17+DN18-DW17,IF(A18&lt;'Données projet'!$A$166,$DL$205^A18,IF(A18='Données projet'!$A$166,'Données projet'!$B$166,DO17+DN18-DW17)))</f>
        <v>7.6961363407260848</v>
      </c>
      <c r="DP18" s="18">
        <f>DO18*VLOOKUP('Données projet'!$B$14,Paramètres!$A$1:$I$89,3,0)*VLOOKUP('Données projet'!$B$14,Paramètres!$A$1:$I$89,5,0)</f>
        <v>7.4437030687502697</v>
      </c>
      <c r="DQ18" s="14">
        <f t="shared" si="43"/>
        <v>2.7155941298840056</v>
      </c>
      <c r="DR18" s="22">
        <f t="shared" si="16"/>
        <v>17.694109287621362</v>
      </c>
      <c r="DS18" s="62">
        <f t="shared" si="17"/>
        <v>292.69410928762136</v>
      </c>
      <c r="DT18" s="62">
        <f ca="1">AVERAGE(OFFSET($DS$3,0,0,'Données projet'!$E$14+1,1))-AVERAGE(OFFSET($H$3,0,0,'Données projet'!$E$14+1,1))</f>
        <v>349.73011349954953</v>
      </c>
      <c r="DU18" s="62">
        <f t="shared" si="44"/>
        <v>154.08406475869634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88.4</v>
      </c>
      <c r="L19" s="13">
        <f>VLOOKUP(A19,'Données projet'!$A$35:$I$55,9,0)</f>
        <v>16.200000000000003</v>
      </c>
      <c r="M19" s="13">
        <f t="array" ref="M19">INDEX(L:L,MIN(IF(ISNUMBER(L19:L215),ROW(L19:L215),"")))</f>
        <v>16.200000000000003</v>
      </c>
      <c r="N19" s="14">
        <f>IF('Données projet'!$A$36&gt;35,N18+M19-V18,IF(A19&lt;'Données projet'!$A$36,$K$205^A19,IF(A19='Données projet'!$A$36,'Données projet'!$B$36,N18+M19-V18)))</f>
        <v>88.4</v>
      </c>
      <c r="O19" s="14">
        <f>N19*VLOOKUP('Données projet'!$B$9,Paramètres!$A$1:$I$89,3,0)*VLOOKUP('Données projet'!$B$9,Paramètres!$A$1:$I$89,5,0)</f>
        <v>52.863200000000006</v>
      </c>
      <c r="P19" s="14">
        <f t="shared" si="33"/>
        <v>15.350780168625182</v>
      </c>
      <c r="Q19" s="22">
        <f t="shared" si="2"/>
        <v>118.80601546035552</v>
      </c>
      <c r="R19" s="62">
        <f t="shared" si="0"/>
        <v>395.02823768257775</v>
      </c>
      <c r="S19" s="62">
        <f ca="1">AVERAGE(OFFSET($R$3,0,0,'Données projet'!$E$9+1,1))-AVERAGE(OFFSET($H$3,0,0,'Données projet'!$E$9+1,1))</f>
        <v>203.63995177374335</v>
      </c>
      <c r="T19" s="62">
        <f t="shared" si="34"/>
        <v>268.97461244918378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23.1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0.22500000000000001</v>
      </c>
      <c r="Y19" s="17">
        <f>IF(ISNA(VLOOKUP(A19,'Données projet'!$A$35:$I$55,7,0)),0%,VLOOKUP(A19,'Données projet'!$A$35:$I$55,7,0))</f>
        <v>0.5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4.1068673946837917</v>
      </c>
      <c r="AB19" s="23">
        <f>EXP(-LN(2)/2)*AB18+(1-EXP(-LN(2)/2))/(LN(2)/2)*V19*Y19*VLOOKUP('Données projet'!$B$9,Paramètres!$A$1:$I$89,3,0)*0.475*44/12</f>
        <v>7.8202152557855475</v>
      </c>
      <c r="AC19" s="24">
        <f t="shared" si="3"/>
        <v>11.927082650469339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8.9411948236477841</v>
      </c>
      <c r="AK19" s="14">
        <f t="shared" si="35"/>
        <v>3.1930460350713803</v>
      </c>
      <c r="AL19" s="22">
        <f t="shared" si="4"/>
        <v>21.133802828935874</v>
      </c>
      <c r="AM19" s="62">
        <f t="shared" si="5"/>
        <v>297.3560250511581</v>
      </c>
      <c r="AN19" s="62">
        <f ca="1">AVERAGE(OFFSET($AM$3,0,0,'Données projet'!$E$10+1,1))-AVERAGE(OFFSET($H$3,0,0,'Données projet'!$E$10+1,1))</f>
        <v>364.69354394930866</v>
      </c>
      <c r="AO19" s="62">
        <f t="shared" si="36"/>
        <v>159.6134369231965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4.5999999999999996</v>
      </c>
      <c r="BD19" s="13">
        <f>IF('Données projet'!$A$88&gt;35,BD18+BC19-BL18,IF(A19&lt;'Données projet'!$A$88,$BA$205^A19,IF(A19='Données projet'!$A$88,'Données projet'!$B$88,BD18+BC19-BL18)))</f>
        <v>29.599999999999994</v>
      </c>
      <c r="BE19" s="14">
        <f>BD19*VLOOKUP('Données projet'!$B$11,Paramètres!$A$1:$I$89,3,0)*VLOOKUP('Données projet'!$B$11,Paramètres!$A$1:$I$89,5,0)</f>
        <v>25.858559999999997</v>
      </c>
      <c r="BF19" s="14">
        <f t="shared" si="37"/>
        <v>8.1607346448714573</v>
      </c>
      <c r="BG19" s="22">
        <f t="shared" si="7"/>
        <v>59.250271506484438</v>
      </c>
      <c r="BH19" s="62">
        <f t="shared" si="8"/>
        <v>335.4724937287067</v>
      </c>
      <c r="BI19" s="62">
        <f ca="1">AVERAGE(OFFSET($BH$3,0,0,'Données projet'!$E$11+1,1))-AVERAGE(OFFSET($H$3,0,0,'Données projet'!$E$11+1,1))</f>
        <v>241.00707378755914</v>
      </c>
      <c r="BJ19" s="62">
        <f t="shared" si="38"/>
        <v>239.93573789765657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1.6346153846153846</v>
      </c>
      <c r="BY19" s="13">
        <f>IF('Données projet'!$A$114&gt;35,BY18+BX19-CG18,IF(A19&lt;'Données projet'!$A$114,$BV$205^A19,IF(A19='Données projet'!$A$114,'Données projet'!$B$114,BY18+BX19-CG18)))</f>
        <v>16.276329088273204</v>
      </c>
      <c r="BZ19" s="14">
        <f>BY19*VLOOKUP('Données projet'!$B$12,Paramètres!$A$1:$I$89,3,0)*VLOOKUP('Données projet'!$B$12,Paramètres!$A$1:$I$89,5,0)</f>
        <v>10.918161552413665</v>
      </c>
      <c r="CA19" s="14">
        <f t="shared" si="39"/>
        <v>3.8094385934513699</v>
      </c>
      <c r="CB19" s="22">
        <f t="shared" si="10"/>
        <v>25.650570254048265</v>
      </c>
      <c r="CC19" s="62">
        <f t="shared" si="11"/>
        <v>301.87279247627049</v>
      </c>
      <c r="CD19" s="62">
        <f ca="1">AVERAGE(OFFSET($CC$3,0,0,'Données projet'!$E$12+1,1))-AVERAGE(OFFSET($H$3,0,0,'Données projet'!$E$12+1,1))</f>
        <v>207.91006140109965</v>
      </c>
      <c r="CE19" s="62">
        <f t="shared" si="40"/>
        <v>164.93317437647255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1.6346153846153846</v>
      </c>
      <c r="CT19" s="13">
        <f>IF('Données projet'!$A$140&gt;35,CT18+CS19-DB18,IF(A19&lt;'Données projet'!$A$140,$CQ$205^A19,IF(A19='Données projet'!$A$140,'Données projet'!$B$140,CT18+CS19-DB18)))</f>
        <v>16.276329088273204</v>
      </c>
      <c r="CU19" s="18">
        <f>CT19*VLOOKUP('Données projet'!$B$13,Paramètres!$A$1:$I$89,3,0)*VLOOKUP('Données projet'!$B$13,Paramètres!$A$1:$I$89,5,0)</f>
        <v>13.965090357738411</v>
      </c>
      <c r="CV19" s="14">
        <f t="shared" si="41"/>
        <v>4.7349208366124351</v>
      </c>
      <c r="CW19" s="22">
        <f t="shared" si="13"/>
        <v>32.569186163494386</v>
      </c>
      <c r="CX19" s="62">
        <f t="shared" si="14"/>
        <v>308.79140838571664</v>
      </c>
      <c r="CY19" s="62">
        <f ca="1">AVERAGE(OFFSET($CX$3,0,0,'Données projet'!$E$13+1,1))-AVERAGE(OFFSET($H$3,0,0,'Données projet'!$E$13+1,1))</f>
        <v>255.77222823147724</v>
      </c>
      <c r="CZ19" s="62">
        <f t="shared" si="42"/>
        <v>199.6931080052031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1.2</v>
      </c>
      <c r="DO19" s="13">
        <f>IF('Données projet'!$A$166&gt;35,DO18+DN19-DW18,IF(A19&lt;'Données projet'!$A$166,$DL$205^A19,IF(A19='Données projet'!$A$166,'Données projet'!$B$166,DO18+DN19-DW18)))</f>
        <v>8.8177463744060987</v>
      </c>
      <c r="DP19" s="18">
        <f>DO19*VLOOKUP('Données projet'!$B$14,Paramètres!$A$1:$I$89,3,0)*VLOOKUP('Données projet'!$B$14,Paramètres!$A$1:$I$89,5,0)</f>
        <v>8.528524293325578</v>
      </c>
      <c r="DQ19" s="14">
        <f t="shared" si="43"/>
        <v>3.0624727628647754</v>
      </c>
      <c r="DR19" s="22">
        <f t="shared" si="16"/>
        <v>20.187653206198199</v>
      </c>
      <c r="DS19" s="62">
        <f t="shared" si="17"/>
        <v>296.40987542842043</v>
      </c>
      <c r="DT19" s="62">
        <f ca="1">AVERAGE(OFFSET($DS$3,0,0,'Données projet'!$E$14+1,1))-AVERAGE(OFFSET($H$3,0,0,'Données projet'!$E$14+1,1))</f>
        <v>349.73011349954953</v>
      </c>
      <c r="DU19" s="62">
        <f t="shared" si="44"/>
        <v>154.08406475869634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9.9499999999999957</v>
      </c>
      <c r="N20" s="14">
        <f>IF('Données projet'!$A$36&gt;35,N19+M20-V19,IF(A20&lt;'Données projet'!$A$36,$K$205^A20,IF(A20='Données projet'!$A$36,'Données projet'!$B$36,N19+M20-V19)))</f>
        <v>75.25</v>
      </c>
      <c r="O20" s="14">
        <f>N20*VLOOKUP('Données projet'!$B$9,Paramètres!$A$1:$I$89,3,0)*VLOOKUP('Données projet'!$B$9,Paramètres!$A$1:$I$89,5,0)</f>
        <v>44.999500000000005</v>
      </c>
      <c r="P20" s="14">
        <f t="shared" si="33"/>
        <v>13.314546483682367</v>
      </c>
      <c r="Q20" s="22">
        <f t="shared" si="2"/>
        <v>101.56363095908013</v>
      </c>
      <c r="R20" s="62">
        <f t="shared" si="0"/>
        <v>379.00807540352457</v>
      </c>
      <c r="S20" s="62">
        <f ca="1">AVERAGE(OFFSET($R$3,0,0,'Données projet'!$E$9+1,1))-AVERAGE(OFFSET($H$3,0,0,'Données projet'!$E$9+1,1))</f>
        <v>203.63995177374335</v>
      </c>
      <c r="T20" s="62">
        <f t="shared" si="34"/>
        <v>268.97461244918378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3.9945648898053934</v>
      </c>
      <c r="AB20" s="23">
        <f>EXP(-LN(2)/2)*AB19+(1-EXP(-LN(2)/2))/(LN(2)/2)*V20*Y20*VLOOKUP('Données projet'!$B$9,Paramètres!$A$1:$I$89,3,0)*0.475*44/12</f>
        <v>5.529727237704452</v>
      </c>
      <c r="AC20" s="24">
        <f t="shared" si="3"/>
        <v>9.5242921275098453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10.244255656162224</v>
      </c>
      <c r="AK20" s="14">
        <f t="shared" si="35"/>
        <v>3.6009123769158946</v>
      </c>
      <c r="AL20" s="22">
        <f t="shared" si="4"/>
        <v>24.113667657611057</v>
      </c>
      <c r="AM20" s="62">
        <f t="shared" si="5"/>
        <v>301.55811210205553</v>
      </c>
      <c r="AN20" s="62">
        <f ca="1">AVERAGE(OFFSET($AM$3,0,0,'Données projet'!$E$10+1,1))-AVERAGE(OFFSET($H$3,0,0,'Données projet'!$E$10+1,1))</f>
        <v>364.69354394930866</v>
      </c>
      <c r="AO20" s="62">
        <f t="shared" si="36"/>
        <v>159.6134369231965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4.5999999999999996</v>
      </c>
      <c r="BD20" s="13">
        <f>IF('Données projet'!$A$88&gt;35,BD19+BC20-BL19,IF(A20&lt;'Données projet'!$A$88,$BA$205^A20,IF(A20='Données projet'!$A$88,'Données projet'!$B$88,BD19+BC20-BL19)))</f>
        <v>34.199999999999996</v>
      </c>
      <c r="BE20" s="14">
        <f>BD20*VLOOKUP('Données projet'!$B$11,Paramètres!$A$1:$I$89,3,0)*VLOOKUP('Données projet'!$B$11,Paramètres!$A$1:$I$89,5,0)</f>
        <v>29.877120000000001</v>
      </c>
      <c r="BF20" s="14">
        <f t="shared" si="37"/>
        <v>9.2717426343874898</v>
      </c>
      <c r="BG20" s="22">
        <f t="shared" si="7"/>
        <v>68.18426908822488</v>
      </c>
      <c r="BH20" s="62">
        <f t="shared" si="8"/>
        <v>345.62871353266934</v>
      </c>
      <c r="BI20" s="62">
        <f ca="1">AVERAGE(OFFSET($BH$3,0,0,'Données projet'!$E$11+1,1))-AVERAGE(OFFSET($H$3,0,0,'Données projet'!$E$11+1,1))</f>
        <v>241.00707378755914</v>
      </c>
      <c r="BJ20" s="62">
        <f t="shared" si="38"/>
        <v>239.93573789765657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1.6346153846153846</v>
      </c>
      <c r="BY20" s="13">
        <f>IF('Données projet'!$A$114&gt;35,BY19+BX20-CG19,IF(A20&lt;'Données projet'!$A$114,$BV$205^A20,IF(A20='Données projet'!$A$114,'Données projet'!$B$114,BY19+BX20-CG19)))</f>
        <v>19.376652070196204</v>
      </c>
      <c r="BZ20" s="14">
        <f>BY20*VLOOKUP('Données projet'!$B$12,Paramètres!$A$1:$I$89,3,0)*VLOOKUP('Données projet'!$B$12,Paramètres!$A$1:$I$89,5,0)</f>
        <v>12.997858208687614</v>
      </c>
      <c r="CA20" s="14">
        <f t="shared" si="39"/>
        <v>4.4439501944792648</v>
      </c>
      <c r="CB20" s="22">
        <f t="shared" si="10"/>
        <v>30.37781630218231</v>
      </c>
      <c r="CC20" s="62">
        <f t="shared" si="11"/>
        <v>307.82226074662674</v>
      </c>
      <c r="CD20" s="62">
        <f ca="1">AVERAGE(OFFSET($CC$3,0,0,'Données projet'!$E$12+1,1))-AVERAGE(OFFSET($H$3,0,0,'Données projet'!$E$12+1,1))</f>
        <v>207.91006140109965</v>
      </c>
      <c r="CE20" s="62">
        <f t="shared" si="40"/>
        <v>164.93317437647255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1.6346153846153846</v>
      </c>
      <c r="CT20" s="13">
        <f>IF('Données projet'!$A$140&gt;35,CT19+CS20-DB19,IF(A20&lt;'Données projet'!$A$140,$CQ$205^A20,IF(A20='Données projet'!$A$140,'Données projet'!$B$140,CT19+CS20-DB19)))</f>
        <v>19.376652070196204</v>
      </c>
      <c r="CU20" s="18">
        <f>CT20*VLOOKUP('Données projet'!$B$13,Paramètres!$A$1:$I$89,3,0)*VLOOKUP('Données projet'!$B$13,Paramètres!$A$1:$I$89,5,0)</f>
        <v>16.625167476228345</v>
      </c>
      <c r="CV20" s="14">
        <f t="shared" si="41"/>
        <v>5.5235835560861011</v>
      </c>
      <c r="CW20" s="22">
        <f t="shared" si="13"/>
        <v>38.575741381280992</v>
      </c>
      <c r="CX20" s="62">
        <f t="shared" si="14"/>
        <v>316.02018582572543</v>
      </c>
      <c r="CY20" s="62">
        <f ca="1">AVERAGE(OFFSET($CX$3,0,0,'Données projet'!$E$13+1,1))-AVERAGE(OFFSET($H$3,0,0,'Données projet'!$E$13+1,1))</f>
        <v>255.77222823147724</v>
      </c>
      <c r="CZ20" s="62">
        <f t="shared" si="42"/>
        <v>199.6931080052031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1.2</v>
      </c>
      <c r="DO20" s="13">
        <f>IF('Données projet'!$A$166&gt;35,DO19+DN20-DW19,IF(A20&lt;'Données projet'!$A$166,$DL$205^A20,IF(A20='Données projet'!$A$166,'Données projet'!$B$166,DO19+DN20-DW19)))</f>
        <v>10.102816228956828</v>
      </c>
      <c r="DP20" s="18">
        <f>DO20*VLOOKUP('Données projet'!$B$14,Paramètres!$A$1:$I$89,3,0)*VLOOKUP('Données projet'!$B$14,Paramètres!$A$1:$I$89,5,0)</f>
        <v>9.7714438566470445</v>
      </c>
      <c r="DQ20" s="14">
        <f t="shared" si="43"/>
        <v>3.4536602211941068</v>
      </c>
      <c r="DR20" s="22">
        <f t="shared" si="16"/>
        <v>23.033722935573341</v>
      </c>
      <c r="DS20" s="62">
        <f t="shared" si="17"/>
        <v>300.47816738001779</v>
      </c>
      <c r="DT20" s="62">
        <f ca="1">AVERAGE(OFFSET($DS$3,0,0,'Données projet'!$E$14+1,1))-AVERAGE(OFFSET($H$3,0,0,'Données projet'!$E$14+1,1))</f>
        <v>349.73011349954953</v>
      </c>
      <c r="DU20" s="62">
        <f t="shared" si="44"/>
        <v>154.08406475869634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85.2</v>
      </c>
      <c r="L21" s="13">
        <f>VLOOKUP(A21,'Données projet'!$A$35:$I$55,9,0)</f>
        <v>9.9499999999999957</v>
      </c>
      <c r="M21" s="13">
        <f t="array" ref="M21">INDEX(L:L,MIN(IF(ISNUMBER(L21:L217),ROW(L21:L217),"")))</f>
        <v>9.9499999999999957</v>
      </c>
      <c r="N21" s="14">
        <f>IF('Données projet'!$A$36&gt;35,N20+M21-V20,IF(A21&lt;'Données projet'!$A$36,$K$205^A21,IF(A21='Données projet'!$A$36,'Données projet'!$B$36,N20+M21-V20)))</f>
        <v>85.199999999999989</v>
      </c>
      <c r="O21" s="14">
        <f>N21*VLOOKUP('Données projet'!$B$9,Paramètres!$A$1:$I$89,3,0)*VLOOKUP('Données projet'!$B$9,Paramètres!$A$1:$I$89,5,0)</f>
        <v>50.94959999999999</v>
      </c>
      <c r="P21" s="14">
        <f t="shared" si="33"/>
        <v>14.858728830847703</v>
      </c>
      <c r="Q21" s="22">
        <f t="shared" si="2"/>
        <v>114.61617271372639</v>
      </c>
      <c r="R21" s="62">
        <f t="shared" si="0"/>
        <v>393.28283938039306</v>
      </c>
      <c r="S21" s="62">
        <f ca="1">AVERAGE(OFFSET($R$3,0,0,'Données projet'!$E$9+1,1))-AVERAGE(OFFSET($H$3,0,0,'Données projet'!$E$9+1,1))</f>
        <v>203.63995177374335</v>
      </c>
      <c r="T21" s="62">
        <f t="shared" si="34"/>
        <v>268.97461244918378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3.8853333028286272</v>
      </c>
      <c r="AB21" s="23">
        <f>EXP(-LN(2)/2)*AB20+(1-EXP(-LN(2)/2))/(LN(2)/2)*V21*Y21*VLOOKUP('Données projet'!$B$9,Paramètres!$A$1:$I$89,3,0)*0.475*44/12</f>
        <v>3.9101076278927742</v>
      </c>
      <c r="AC21" s="24">
        <f t="shared" si="3"/>
        <v>7.7954409307214014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11.737220362456757</v>
      </c>
      <c r="AK21" s="14">
        <f t="shared" si="35"/>
        <v>4.0608778588863084</v>
      </c>
      <c r="AL21" s="22">
        <f t="shared" si="4"/>
        <v>27.515021068839172</v>
      </c>
      <c r="AM21" s="62">
        <f t="shared" si="5"/>
        <v>306.18168773550588</v>
      </c>
      <c r="AN21" s="62">
        <f ca="1">AVERAGE(OFFSET($AM$3,0,0,'Données projet'!$E$10+1,1))-AVERAGE(OFFSET($H$3,0,0,'Données projet'!$E$10+1,1))</f>
        <v>364.69354394930866</v>
      </c>
      <c r="AO21" s="62">
        <f t="shared" si="36"/>
        <v>159.6134369231965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4.5999999999999996</v>
      </c>
      <c r="BD21" s="13">
        <f>IF('Données projet'!$A$88&gt;35,BD20+BC21-BL20,IF(A21&lt;'Données projet'!$A$88,$BA$205^A21,IF(A21='Données projet'!$A$88,'Données projet'!$B$88,BD20+BC21-BL20)))</f>
        <v>38.799999999999997</v>
      </c>
      <c r="BE21" s="14">
        <f>BD21*VLOOKUP('Données projet'!$B$11,Paramètres!$A$1:$I$89,3,0)*VLOOKUP('Données projet'!$B$11,Paramètres!$A$1:$I$89,5,0)</f>
        <v>33.895680000000006</v>
      </c>
      <c r="BF21" s="14">
        <f t="shared" si="37"/>
        <v>10.365436928111139</v>
      </c>
      <c r="BG21" s="22">
        <f t="shared" si="7"/>
        <v>77.088111983126907</v>
      </c>
      <c r="BH21" s="62">
        <f t="shared" si="8"/>
        <v>355.75477864979359</v>
      </c>
      <c r="BI21" s="62">
        <f ca="1">AVERAGE(OFFSET($BH$3,0,0,'Données projet'!$E$11+1,1))-AVERAGE(OFFSET($H$3,0,0,'Données projet'!$E$11+1,1))</f>
        <v>241.00707378755914</v>
      </c>
      <c r="BJ21" s="62">
        <f t="shared" si="38"/>
        <v>239.93573789765657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1.6346153846153846</v>
      </c>
      <c r="BY21" s="13">
        <f>IF('Données projet'!$A$114&gt;35,BY20+BX21-CG20,IF(A21&lt;'Données projet'!$A$114,$BV$205^A21,IF(A21='Données projet'!$A$114,'Données projet'!$B$114,BY20+BX21-CG20)))</f>
        <v>23.067526062737759</v>
      </c>
      <c r="BZ21" s="14">
        <f>BY21*VLOOKUP('Données projet'!$B$12,Paramètres!$A$1:$I$89,3,0)*VLOOKUP('Données projet'!$B$12,Paramètres!$A$1:$I$89,5,0)</f>
        <v>15.473696482884488</v>
      </c>
      <c r="CA21" s="14">
        <f t="shared" si="39"/>
        <v>5.1841479647319577</v>
      </c>
      <c r="CB21" s="22">
        <f t="shared" si="10"/>
        <v>35.979079079598641</v>
      </c>
      <c r="CC21" s="62">
        <f t="shared" si="11"/>
        <v>314.64574574626533</v>
      </c>
      <c r="CD21" s="62">
        <f ca="1">AVERAGE(OFFSET($CC$3,0,0,'Données projet'!$E$12+1,1))-AVERAGE(OFFSET($H$3,0,0,'Données projet'!$E$12+1,1))</f>
        <v>207.91006140109965</v>
      </c>
      <c r="CE21" s="62">
        <f t="shared" si="40"/>
        <v>164.93317437647255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1.6346153846153846</v>
      </c>
      <c r="CT21" s="13">
        <f>IF('Données projet'!$A$140&gt;35,CT20+CS21-DB20,IF(A21&lt;'Données projet'!$A$140,$CQ$205^A21,IF(A21='Données projet'!$A$140,'Données projet'!$B$140,CT20+CS21-DB20)))</f>
        <v>23.067526062737759</v>
      </c>
      <c r="CU21" s="18">
        <f>CT21*VLOOKUP('Données projet'!$B$13,Paramètres!$A$1:$I$89,3,0)*VLOOKUP('Données projet'!$B$13,Paramètres!$A$1:$I$89,5,0)</f>
        <v>19.791937361829</v>
      </c>
      <c r="CV21" s="14">
        <f t="shared" si="41"/>
        <v>6.4436083207872388</v>
      </c>
      <c r="CW21" s="22">
        <f t="shared" si="13"/>
        <v>45.693575397223277</v>
      </c>
      <c r="CX21" s="62">
        <f t="shared" si="14"/>
        <v>324.36024206388998</v>
      </c>
      <c r="CY21" s="62">
        <f ca="1">AVERAGE(OFFSET($CX$3,0,0,'Données projet'!$E$13+1,1))-AVERAGE(OFFSET($H$3,0,0,'Données projet'!$E$13+1,1))</f>
        <v>255.77222823147724</v>
      </c>
      <c r="CZ21" s="62">
        <f t="shared" si="42"/>
        <v>199.6931080052031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1.2</v>
      </c>
      <c r="DO21" s="13">
        <f>IF('Données projet'!$A$166&gt;35,DO20+DN21-DW20,IF(A21&lt;'Données projet'!$A$166,$DL$205^A21,IF(A21='Données projet'!$A$166,'Données projet'!$B$166,DO20+DN21-DW20)))</f>
        <v>11.575168010312384</v>
      </c>
      <c r="DP21" s="18">
        <f>DO21*VLOOKUP('Données projet'!$B$14,Paramètres!$A$1:$I$89,3,0)*VLOOKUP('Données projet'!$B$14,Paramètres!$A$1:$I$89,5,0)</f>
        <v>11.195502499574138</v>
      </c>
      <c r="DQ21" s="14">
        <f t="shared" si="43"/>
        <v>3.8948163288481799</v>
      </c>
      <c r="DR21" s="22">
        <f t="shared" si="16"/>
        <v>26.282305292835535</v>
      </c>
      <c r="DS21" s="62">
        <f t="shared" si="17"/>
        <v>304.94897195950222</v>
      </c>
      <c r="DT21" s="62">
        <f ca="1">AVERAGE(OFFSET($DS$3,0,0,'Données projet'!$E$14+1,1))-AVERAGE(OFFSET($H$3,0,0,'Données projet'!$E$14+1,1))</f>
        <v>349.73011349954953</v>
      </c>
      <c r="DU21" s="62">
        <f t="shared" si="44"/>
        <v>154.08406475869634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11.5</v>
      </c>
      <c r="N22" s="14">
        <f>IF('Données projet'!$A$36&gt;35,N21+M22-V21,IF(A22&lt;'Données projet'!$A$36,$K$205^A22,IF(A22='Données projet'!$A$36,'Données projet'!$B$36,N21+M22-V21)))</f>
        <v>96.699999999999989</v>
      </c>
      <c r="O22" s="14">
        <f>N22*VLOOKUP('Données projet'!$B$9,Paramètres!$A$1:$I$89,3,0)*VLOOKUP('Données projet'!$B$9,Paramètres!$A$1:$I$89,5,0)</f>
        <v>57.826599999999999</v>
      </c>
      <c r="P22" s="14">
        <f t="shared" si="33"/>
        <v>16.617590917275841</v>
      </c>
      <c r="Q22" s="22">
        <f t="shared" si="2"/>
        <v>129.65696584758876</v>
      </c>
      <c r="R22" s="62">
        <f t="shared" si="0"/>
        <v>409.54585473647762</v>
      </c>
      <c r="S22" s="62">
        <f ca="1">AVERAGE(OFFSET($R$3,0,0,'Données projet'!$E$9+1,1))-AVERAGE(OFFSET($H$3,0,0,'Données projet'!$E$9+1,1))</f>
        <v>203.63995177374335</v>
      </c>
      <c r="T22" s="62">
        <f t="shared" si="34"/>
        <v>268.97461244918378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3.7790886593419799</v>
      </c>
      <c r="AB22" s="23">
        <f>EXP(-LN(2)/2)*AB21+(1-EXP(-LN(2)/2))/(LN(2)/2)*V22*Y22*VLOOKUP('Données projet'!$B$9,Paramètres!$A$1:$I$89,3,0)*0.475*44/12</f>
        <v>2.7648636188522264</v>
      </c>
      <c r="AC22" s="24">
        <f t="shared" si="3"/>
        <v>6.5439522781942063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13.447764919260033</v>
      </c>
      <c r="AK22" s="14">
        <f t="shared" si="35"/>
        <v>4.5795974071762906</v>
      </c>
      <c r="AL22" s="22">
        <f t="shared" si="4"/>
        <v>31.397656051876599</v>
      </c>
      <c r="AM22" s="62">
        <f t="shared" si="5"/>
        <v>311.28654494076545</v>
      </c>
      <c r="AN22" s="62">
        <f ca="1">AVERAGE(OFFSET($AM$3,0,0,'Données projet'!$E$10+1,1))-AVERAGE(OFFSET($H$3,0,0,'Données projet'!$E$10+1,1))</f>
        <v>364.69354394930866</v>
      </c>
      <c r="AO22" s="62">
        <f t="shared" si="36"/>
        <v>159.6134369231965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4.5999999999999996</v>
      </c>
      <c r="BD22" s="13">
        <f>IF('Données projet'!$A$88&gt;35,BD21+BC22-BL21,IF(A22&lt;'Données projet'!$A$88,$BA$205^A22,IF(A22='Données projet'!$A$88,'Données projet'!$B$88,BD21+BC22-BL21)))</f>
        <v>43.4</v>
      </c>
      <c r="BE22" s="14">
        <f>BD22*VLOOKUP('Données projet'!$B$11,Paramètres!$A$1:$I$89,3,0)*VLOOKUP('Données projet'!$B$11,Paramètres!$A$1:$I$89,5,0)</f>
        <v>37.914240000000007</v>
      </c>
      <c r="BF22" s="14">
        <f t="shared" si="37"/>
        <v>11.444104784431099</v>
      </c>
      <c r="BG22" s="22">
        <f t="shared" si="7"/>
        <v>85.965783832884156</v>
      </c>
      <c r="BH22" s="62">
        <f t="shared" si="8"/>
        <v>365.854672721773</v>
      </c>
      <c r="BI22" s="62">
        <f ca="1">AVERAGE(OFFSET($BH$3,0,0,'Données projet'!$E$11+1,1))-AVERAGE(OFFSET($H$3,0,0,'Données projet'!$E$11+1,1))</f>
        <v>241.00707378755914</v>
      </c>
      <c r="BJ22" s="62">
        <f t="shared" si="38"/>
        <v>239.93573789765657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1.6346153846153846</v>
      </c>
      <c r="BY22" s="13">
        <f>IF('Données projet'!$A$114&gt;35,BY21+BX22-CG21,IF(A22&lt;'Données projet'!$A$114,$BV$205^A22,IF(A22='Données projet'!$A$114,'Données projet'!$B$114,BY21+BX22-CG21)))</f>
        <v>27.461439506030089</v>
      </c>
      <c r="BZ22" s="14">
        <f>BY22*VLOOKUP('Données projet'!$B$12,Paramètres!$A$1:$I$89,3,0)*VLOOKUP('Données projet'!$B$12,Paramètres!$A$1:$I$89,5,0)</f>
        <v>18.421133620644984</v>
      </c>
      <c r="CA22" s="14">
        <f t="shared" si="39"/>
        <v>6.0476353118497785</v>
      </c>
      <c r="CB22" s="22">
        <f t="shared" si="10"/>
        <v>42.616439224095039</v>
      </c>
      <c r="CC22" s="62">
        <f t="shared" si="11"/>
        <v>322.50532811298388</v>
      </c>
      <c r="CD22" s="62">
        <f ca="1">AVERAGE(OFFSET($CC$3,0,0,'Données projet'!$E$12+1,1))-AVERAGE(OFFSET($H$3,0,0,'Données projet'!$E$12+1,1))</f>
        <v>207.91006140109965</v>
      </c>
      <c r="CE22" s="62">
        <f t="shared" si="40"/>
        <v>164.93317437647255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1.6346153846153846</v>
      </c>
      <c r="CT22" s="13">
        <f>IF('Données projet'!$A$140&gt;35,CT21+CS22-DB21,IF(A22&lt;'Données projet'!$A$140,$CQ$205^A22,IF(A22='Données projet'!$A$140,'Données projet'!$B$140,CT21+CS22-DB21)))</f>
        <v>27.461439506030089</v>
      </c>
      <c r="CU22" s="18">
        <f>CT22*VLOOKUP('Données projet'!$B$13,Paramètres!$A$1:$I$89,3,0)*VLOOKUP('Données projet'!$B$13,Paramètres!$A$1:$I$89,5,0)</f>
        <v>23.561915096173816</v>
      </c>
      <c r="CV22" s="14">
        <f t="shared" si="41"/>
        <v>7.5168751898339758</v>
      </c>
      <c r="CW22" s="22">
        <f t="shared" si="13"/>
        <v>54.128893081463566</v>
      </c>
      <c r="CX22" s="62">
        <f t="shared" si="14"/>
        <v>334.01778197035242</v>
      </c>
      <c r="CY22" s="62">
        <f ca="1">AVERAGE(OFFSET($CX$3,0,0,'Données projet'!$E$13+1,1))-AVERAGE(OFFSET($H$3,0,0,'Données projet'!$E$13+1,1))</f>
        <v>255.77222823147724</v>
      </c>
      <c r="CZ22" s="62">
        <f t="shared" si="42"/>
        <v>199.6931080052031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1.2</v>
      </c>
      <c r="DO22" s="13">
        <f>IF('Données projet'!$A$166&gt;35,DO21+DN22-DW21,IF(A22&lt;'Données projet'!$A$166,$DL$205^A22,IF(A22='Données projet'!$A$166,'Données projet'!$B$166,DO21+DN22-DW21)))</f>
        <v>13.262095581124292</v>
      </c>
      <c r="DP22" s="18">
        <f>DO22*VLOOKUP('Données projet'!$B$14,Paramètres!$A$1:$I$89,3,0)*VLOOKUP('Données projet'!$B$14,Paramètres!$A$1:$I$89,5,0)</f>
        <v>12.827098846063416</v>
      </c>
      <c r="DQ22" s="14">
        <f t="shared" si="43"/>
        <v>4.3923238720390128</v>
      </c>
      <c r="DR22" s="22">
        <f t="shared" si="16"/>
        <v>29.990494567361733</v>
      </c>
      <c r="DS22" s="62">
        <f t="shared" si="17"/>
        <v>309.87938345625059</v>
      </c>
      <c r="DT22" s="62">
        <f ca="1">AVERAGE(OFFSET($DS$3,0,0,'Données projet'!$E$14+1,1))-AVERAGE(OFFSET($H$3,0,0,'Données projet'!$E$14+1,1))</f>
        <v>349.73011349954953</v>
      </c>
      <c r="DU22" s="62">
        <f t="shared" si="44"/>
        <v>154.08406475869634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108.2</v>
      </c>
      <c r="L23" s="13">
        <f>VLOOKUP(A23,'Données projet'!$A$35:$I$55,9,0)</f>
        <v>11.5</v>
      </c>
      <c r="M23" s="13">
        <f t="array" ref="M23">INDEX(L:L,MIN(IF(ISNUMBER(L23:L219),ROW(L23:L219),"")))</f>
        <v>11.5</v>
      </c>
      <c r="N23" s="14">
        <f>IF('Données projet'!$A$36&gt;35,N22+M23-V22,IF(A23&lt;'Données projet'!$A$36,$K$205^A23,IF(A23='Données projet'!$A$36,'Données projet'!$B$36,N22+M23-V22)))</f>
        <v>108.19999999999999</v>
      </c>
      <c r="O23" s="14">
        <f>N23*VLOOKUP('Données projet'!$B$9,Paramètres!$A$1:$I$89,3,0)*VLOOKUP('Données projet'!$B$9,Paramètres!$A$1:$I$89,5,0)</f>
        <v>64.703599999999994</v>
      </c>
      <c r="P23" s="14">
        <f t="shared" si="33"/>
        <v>18.352212896494471</v>
      </c>
      <c r="Q23" s="22">
        <f t="shared" si="2"/>
        <v>144.65554079472784</v>
      </c>
      <c r="R23" s="62">
        <f t="shared" si="0"/>
        <v>425.76665190583901</v>
      </c>
      <c r="S23" s="62">
        <f ca="1">AVERAGE(OFFSET($R$3,0,0,'Données projet'!$E$9+1,1))-AVERAGE(OFFSET($H$3,0,0,'Données projet'!$E$9+1,1))</f>
        <v>203.63995177374335</v>
      </c>
      <c r="T23" s="62">
        <f t="shared" si="34"/>
        <v>268.97461244918378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3.6757492812186383</v>
      </c>
      <c r="AB23" s="23">
        <f>EXP(-LN(2)/2)*AB22+(1-EXP(-LN(2)/2))/(LN(2)/2)*V23*Y23*VLOOKUP('Données projet'!$B$9,Paramètres!$A$1:$I$89,3,0)*0.475*44/12</f>
        <v>1.9550538139463873</v>
      </c>
      <c r="AC23" s="24">
        <f t="shared" si="3"/>
        <v>5.6308030951650254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15.407598710690648</v>
      </c>
      <c r="AK23" s="14">
        <f t="shared" si="35"/>
        <v>5.1645760204094255</v>
      </c>
      <c r="AL23" s="22">
        <f t="shared" si="4"/>
        <v>35.829870989999293</v>
      </c>
      <c r="AM23" s="62">
        <f t="shared" si="5"/>
        <v>316.94098210111042</v>
      </c>
      <c r="AN23" s="62">
        <f ca="1">AVERAGE(OFFSET($AM$3,0,0,'Données projet'!$E$10+1,1))-AVERAGE(OFFSET($H$3,0,0,'Données projet'!$E$10+1,1))</f>
        <v>364.69354394930866</v>
      </c>
      <c r="AO23" s="62">
        <f t="shared" si="36"/>
        <v>159.6134369231965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48</v>
      </c>
      <c r="BB23" s="13">
        <f>VLOOKUP(A23,'Données projet'!$A$87:$I$107,9,0)</f>
        <v>4.5999999999999996</v>
      </c>
      <c r="BC23" s="13">
        <f t="array" ref="BC23">INDEX(BB:BB,MIN(IF(ISNUMBER(BB23:BB219),ROW(BB23:BB219),"")))</f>
        <v>4.5999999999999996</v>
      </c>
      <c r="BD23" s="13">
        <f>IF('Données projet'!$A$88&gt;35,BD22+BC23-BL22,IF(A23&lt;'Données projet'!$A$88,$BA$205^A23,IF(A23='Données projet'!$A$88,'Données projet'!$B$88,BD22+BC23-BL22)))</f>
        <v>48</v>
      </c>
      <c r="BE23" s="14">
        <f>BD23*VLOOKUP('Données projet'!$B$11,Paramètres!$A$1:$I$89,3,0)*VLOOKUP('Données projet'!$B$11,Paramètres!$A$1:$I$89,5,0)</f>
        <v>41.932800000000007</v>
      </c>
      <c r="BF23" s="14">
        <f t="shared" si="37"/>
        <v>12.509520351031943</v>
      </c>
      <c r="BG23" s="22">
        <f t="shared" si="7"/>
        <v>94.820374611380657</v>
      </c>
      <c r="BH23" s="62">
        <f t="shared" si="8"/>
        <v>375.9314857224918</v>
      </c>
      <c r="BI23" s="62">
        <f ca="1">AVERAGE(OFFSET($BH$3,0,0,'Données projet'!$E$11+1,1))-AVERAGE(OFFSET($H$3,0,0,'Données projet'!$E$11+1,1))</f>
        <v>241.00707378755914</v>
      </c>
      <c r="BJ23" s="62">
        <f t="shared" si="38"/>
        <v>239.93573789765657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32.692307692307693</v>
      </c>
      <c r="BW23" s="13">
        <f>VLOOKUP(A23,'Données projet'!$A$113:$I$133,9,0)</f>
        <v>1.6346153846153846</v>
      </c>
      <c r="BX23" s="13">
        <f t="array" ref="BX23">INDEX(BW:BW,MIN(IF(ISNUMBER(BW23:BW219),ROW(BW23:BW219),"")))</f>
        <v>1.6346153846153846</v>
      </c>
      <c r="BY23" s="13">
        <f>IF('Données projet'!$A$114&gt;35,BY22+BX23-CG22,IF(A23&lt;'Données projet'!$A$114,$BV$205^A23,IF(A23='Données projet'!$A$114,'Données projet'!$B$114,BY22+BX23-CG22)))</f>
        <v>32.692307692307693</v>
      </c>
      <c r="BZ23" s="14">
        <f>BY23*VLOOKUP('Données projet'!$B$12,Paramètres!$A$1:$I$89,3,0)*VLOOKUP('Données projet'!$B$12,Paramètres!$A$1:$I$89,5,0)</f>
        <v>21.930000000000003</v>
      </c>
      <c r="CA23" s="14">
        <f t="shared" si="39"/>
        <v>7.0549477202322466</v>
      </c>
      <c r="CB23" s="22">
        <f t="shared" si="10"/>
        <v>50.482117279404498</v>
      </c>
      <c r="CC23" s="62">
        <f t="shared" si="11"/>
        <v>331.59322839051566</v>
      </c>
      <c r="CD23" s="62">
        <f ca="1">AVERAGE(OFFSET($CC$3,0,0,'Données projet'!$E$12+1,1))-AVERAGE(OFFSET($H$3,0,0,'Données projet'!$E$12+1,1))</f>
        <v>207.91006140109965</v>
      </c>
      <c r="CE23" s="62">
        <f t="shared" si="40"/>
        <v>164.93317437647255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32.692307692307693</v>
      </c>
      <c r="CR23" s="13">
        <f>VLOOKUP(A23,'Données projet'!$A$139:$I$159,9,0)</f>
        <v>1.6346153846153846</v>
      </c>
      <c r="CS23" s="13">
        <f t="array" ref="CS23">INDEX(CR:CR,MIN(IF(ISNUMBER(CR23:CR219),ROW(CR23:CR219),"")))</f>
        <v>1.6346153846153846</v>
      </c>
      <c r="CT23" s="13">
        <f>IF('Données projet'!$A$140&gt;35,CT22+CS23-DB22,IF(A23&lt;'Données projet'!$A$140,$CQ$205^A23,IF(A23='Données projet'!$A$140,'Données projet'!$B$140,CT22+CS23-DB22)))</f>
        <v>32.692307692307693</v>
      </c>
      <c r="CU23" s="18">
        <f>CT23*VLOOKUP('Données projet'!$B$13,Paramètres!$A$1:$I$89,3,0)*VLOOKUP('Données projet'!$B$13,Paramètres!$A$1:$I$89,5,0)</f>
        <v>28.050000000000004</v>
      </c>
      <c r="CV23" s="14">
        <f t="shared" si="41"/>
        <v>8.768908631094197</v>
      </c>
      <c r="CW23" s="22">
        <f t="shared" si="13"/>
        <v>64.12626586582239</v>
      </c>
      <c r="CX23" s="62">
        <f t="shared" si="14"/>
        <v>345.23737697693355</v>
      </c>
      <c r="CY23" s="62">
        <f ca="1">AVERAGE(OFFSET($CX$3,0,0,'Données projet'!$E$13+1,1))-AVERAGE(OFFSET($H$3,0,0,'Données projet'!$E$13+1,1))</f>
        <v>255.77222823147724</v>
      </c>
      <c r="CZ23" s="62">
        <f t="shared" si="42"/>
        <v>199.6931080052031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1.2</v>
      </c>
      <c r="DO23" s="13">
        <f>IF('Données projet'!$A$166&gt;35,DO22+DN23-DW22,IF(A23&lt;'Données projet'!$A$166,$DL$205^A23,IF(A23='Données projet'!$A$166,'Données projet'!$B$166,DO22+DN23-DW22)))</f>
        <v>15.194870523363559</v>
      </c>
      <c r="DP23" s="18">
        <f>DO23*VLOOKUP('Données projet'!$B$14,Paramètres!$A$1:$I$89,3,0)*VLOOKUP('Données projet'!$B$14,Paramètres!$A$1:$I$89,5,0)</f>
        <v>14.696478770197235</v>
      </c>
      <c r="DQ23" s="14">
        <f t="shared" si="43"/>
        <v>4.9533809473858224</v>
      </c>
      <c r="DR23" s="22">
        <f t="shared" si="16"/>
        <v>34.223505674790481</v>
      </c>
      <c r="DS23" s="62">
        <f t="shared" si="17"/>
        <v>315.33461678590163</v>
      </c>
      <c r="DT23" s="62">
        <f ca="1">AVERAGE(OFFSET($DS$3,0,0,'Données projet'!$E$14+1,1))-AVERAGE(OFFSET($H$3,0,0,'Données projet'!$E$14+1,1))</f>
        <v>349.73011349954953</v>
      </c>
      <c r="DU23" s="62">
        <f t="shared" si="44"/>
        <v>154.08406475869634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15.399999999999999</v>
      </c>
      <c r="N24" s="14">
        <f>IF('Données projet'!$A$36&gt;35,N23+M24-V23,IF(A24&lt;'Données projet'!$A$36,$K$205^A24,IF(A24='Données projet'!$A$36,'Données projet'!$B$36,N23+M24-V23)))</f>
        <v>123.6</v>
      </c>
      <c r="O24" s="14">
        <f>N24*VLOOKUP('Données projet'!$B$9,Paramètres!$A$1:$I$89,3,0)*VLOOKUP('Données projet'!$B$9,Paramètres!$A$1:$I$89,5,0)</f>
        <v>73.912800000000004</v>
      </c>
      <c r="P24" s="14">
        <f t="shared" si="33"/>
        <v>20.642046488339506</v>
      </c>
      <c r="Q24" s="22">
        <f t="shared" si="2"/>
        <v>164.68302430052464</v>
      </c>
      <c r="R24" s="62">
        <f t="shared" si="0"/>
        <v>447.01635763385798</v>
      </c>
      <c r="S24" s="62">
        <f ca="1">AVERAGE(OFFSET($R$3,0,0,'Données projet'!$E$9+1,1))-AVERAGE(OFFSET($H$3,0,0,'Données projet'!$E$9+1,1))</f>
        <v>203.63995177374335</v>
      </c>
      <c r="T24" s="62">
        <f t="shared" si="34"/>
        <v>268.97461244918378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3.575235723824461</v>
      </c>
      <c r="AB24" s="23">
        <f>EXP(-LN(2)/2)*AB23+(1-EXP(-LN(2)/2))/(LN(2)/2)*V24*Y24*VLOOKUP('Données projet'!$B$9,Paramètres!$A$1:$I$89,3,0)*0.475*44/12</f>
        <v>1.3824318094261134</v>
      </c>
      <c r="AC24" s="24">
        <f t="shared" si="3"/>
        <v>4.9576675332505742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17.653052344012782</v>
      </c>
      <c r="AK24" s="14">
        <f t="shared" si="35"/>
        <v>5.8242773543349813</v>
      </c>
      <c r="AL24" s="22">
        <f t="shared" si="4"/>
        <v>40.889682557955688</v>
      </c>
      <c r="AM24" s="62">
        <f t="shared" si="5"/>
        <v>323.22301589128898</v>
      </c>
      <c r="AN24" s="62">
        <f ca="1">AVERAGE(OFFSET($AM$3,0,0,'Données projet'!$E$10+1,1))-AVERAGE(OFFSET($H$3,0,0,'Données projet'!$E$10+1,1))</f>
        <v>364.69354394930866</v>
      </c>
      <c r="AO24" s="62">
        <f t="shared" si="36"/>
        <v>159.6134369231965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53.6</v>
      </c>
      <c r="BE24" s="14">
        <f>BD24*VLOOKUP('Données projet'!$B$11,Paramètres!$A$1:$I$89,3,0)*VLOOKUP('Données projet'!$B$11,Paramètres!$A$1:$I$89,5,0)</f>
        <v>46.824960000000011</v>
      </c>
      <c r="BF24" s="14">
        <f t="shared" si="37"/>
        <v>13.790687228101087</v>
      </c>
      <c r="BG24" s="22">
        <f t="shared" si="7"/>
        <v>105.5722522556094</v>
      </c>
      <c r="BH24" s="62">
        <f t="shared" si="8"/>
        <v>387.9055855889427</v>
      </c>
      <c r="BI24" s="62">
        <f ca="1">AVERAGE(OFFSET($BH$3,0,0,'Données projet'!$E$11+1,1))-AVERAGE(OFFSET($H$3,0,0,'Données projet'!$E$11+1,1))</f>
        <v>241.00707378755914</v>
      </c>
      <c r="BJ24" s="62">
        <f t="shared" si="38"/>
        <v>239.93573789765657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5.1282051282051269</v>
      </c>
      <c r="BY24" s="13">
        <f>IF('Données projet'!$A$114&gt;35,BY23+BX24-CG23,IF(A24&lt;'Données projet'!$A$114,$BV$205^A24,IF(A24='Données projet'!$A$114,'Données projet'!$B$114,BY23+BX24-CG23)))</f>
        <v>37.820512820512818</v>
      </c>
      <c r="BZ24" s="14">
        <f>BY24*VLOOKUP('Données projet'!$B$12,Paramètres!$A$1:$I$89,3,0)*VLOOKUP('Données projet'!$B$12,Paramètres!$A$1:$I$89,5,0)</f>
        <v>25.369999999999997</v>
      </c>
      <c r="CA24" s="14">
        <f t="shared" si="39"/>
        <v>8.0243456866877754</v>
      </c>
      <c r="CB24" s="22">
        <f t="shared" si="10"/>
        <v>58.16181873764787</v>
      </c>
      <c r="CC24" s="62">
        <f t="shared" si="11"/>
        <v>340.49515207098119</v>
      </c>
      <c r="CD24" s="62">
        <f ca="1">AVERAGE(OFFSET($CC$3,0,0,'Données projet'!$E$12+1,1))-AVERAGE(OFFSET($H$3,0,0,'Données projet'!$E$12+1,1))</f>
        <v>207.91006140109965</v>
      </c>
      <c r="CE24" s="62">
        <f t="shared" si="40"/>
        <v>164.93317437647255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5.1282051282051269</v>
      </c>
      <c r="CT24" s="13">
        <f>IF('Données projet'!$A$140&gt;35,CT23+CS24-DB23,IF(A24&lt;'Données projet'!$A$140,$CQ$205^A24,IF(A24='Données projet'!$A$140,'Données projet'!$B$140,CT23+CS24-DB23)))</f>
        <v>37.820512820512818</v>
      </c>
      <c r="CU24" s="18">
        <f>CT24*VLOOKUP('Données projet'!$B$13,Paramètres!$A$1:$I$89,3,0)*VLOOKUP('Données projet'!$B$13,Paramètres!$A$1:$I$89,5,0)</f>
        <v>32.450000000000003</v>
      </c>
      <c r="CV24" s="14">
        <f t="shared" si="41"/>
        <v>9.9738165244070078</v>
      </c>
      <c r="CW24" s="22">
        <f t="shared" si="13"/>
        <v>73.888147113342214</v>
      </c>
      <c r="CX24" s="62">
        <f t="shared" si="14"/>
        <v>356.22148044667551</v>
      </c>
      <c r="CY24" s="62">
        <f ca="1">AVERAGE(OFFSET($CX$3,0,0,'Données projet'!$E$13+1,1))-AVERAGE(OFFSET($H$3,0,0,'Données projet'!$E$13+1,1))</f>
        <v>255.77222823147724</v>
      </c>
      <c r="CZ24" s="62">
        <f t="shared" si="42"/>
        <v>199.6931080052031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1.2</v>
      </c>
      <c r="DO24" s="13">
        <f>IF('Données projet'!$A$166&gt;35,DO23+DN24-DW23,IF(A24&lt;'Données projet'!$A$166,$DL$205^A24,IF(A24='Données projet'!$A$166,'Données projet'!$B$166,DO23+DN24-DW23)))</f>
        <v>17.409321838276906</v>
      </c>
      <c r="DP24" s="18">
        <f>DO24*VLOOKUP('Données projet'!$B$14,Paramètres!$A$1:$I$89,3,0)*VLOOKUP('Données projet'!$B$14,Paramètres!$A$1:$I$89,5,0)</f>
        <v>16.838296081981426</v>
      </c>
      <c r="DQ24" s="14">
        <f t="shared" si="43"/>
        <v>5.5861051062554639</v>
      </c>
      <c r="DR24" s="22">
        <f t="shared" si="16"/>
        <v>39.055832069512576</v>
      </c>
      <c r="DS24" s="62">
        <f t="shared" si="17"/>
        <v>321.38916540284589</v>
      </c>
      <c r="DT24" s="62">
        <f ca="1">AVERAGE(OFFSET($DS$3,0,0,'Données projet'!$E$14+1,1))-AVERAGE(OFFSET($H$3,0,0,'Données projet'!$E$14+1,1))</f>
        <v>349.73011349954953</v>
      </c>
      <c r="DU24" s="62">
        <f t="shared" si="44"/>
        <v>154.08406475869634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139</v>
      </c>
      <c r="L25" s="13">
        <f>VLOOKUP(A25,'Données projet'!$A$35:$I$55,9,0)</f>
        <v>15.399999999999999</v>
      </c>
      <c r="M25" s="13">
        <f t="array" ref="M25">INDEX(L:L,MIN(IF(ISNUMBER(L25:L221),ROW(L25:L221),"")))</f>
        <v>15.399999999999999</v>
      </c>
      <c r="N25" s="14">
        <f>IF('Données projet'!$A$36&gt;35,N24+M25-V24,IF(A25&lt;'Données projet'!$A$36,$K$205^A25,IF(A25='Données projet'!$A$36,'Données projet'!$B$36,N24+M25-V24)))</f>
        <v>139</v>
      </c>
      <c r="O25" s="14">
        <f>N25*VLOOKUP('Données projet'!$B$9,Paramètres!$A$1:$I$89,3,0)*VLOOKUP('Données projet'!$B$9,Paramètres!$A$1:$I$89,5,0)</f>
        <v>83.122000000000014</v>
      </c>
      <c r="P25" s="14">
        <f t="shared" si="33"/>
        <v>22.898820278178533</v>
      </c>
      <c r="Q25" s="22">
        <f t="shared" si="2"/>
        <v>184.65292865116098</v>
      </c>
      <c r="R25" s="62">
        <f t="shared" si="0"/>
        <v>468.20848420671655</v>
      </c>
      <c r="S25" s="62">
        <f ca="1">AVERAGE(OFFSET($R$3,0,0,'Données projet'!$E$9+1,1))-AVERAGE(OFFSET($H$3,0,0,'Données projet'!$E$9+1,1))</f>
        <v>203.63995177374335</v>
      </c>
      <c r="T25" s="62">
        <f t="shared" si="34"/>
        <v>268.97461244918378</v>
      </c>
      <c r="U25" s="16">
        <f>IF(ISNA(VLOOKUP(A25,'Données projet'!$A$35:$I$55,3,0)),0,VLOOKUP(A25,'Données projet'!$A$35:$I$55,3,0))</f>
        <v>2</v>
      </c>
      <c r="V25" s="16">
        <f>IF(ISNA(VLOOKUP(A25,'Données projet'!$A$35:$I$55,4,0)),0,VLOOKUP(A25,'Données projet'!$A$35:$I$55,4,0))</f>
        <v>35.9</v>
      </c>
      <c r="W25" s="17">
        <f>IF(ISNA(VLOOKUP(A25,'Données projet'!$A$35:$I$55,5,0)),0%,VLOOKUP(A25,'Données projet'!$A$35:$I$55,5,0)*VLOOKUP('Données projet'!$B$9,Paramètres!$A$1:$I$89,7,0))</f>
        <v>0.1125</v>
      </c>
      <c r="X25" s="17">
        <f>IF(ISNA(VLOOKUP(A25,'Données projet'!$A$35:$I$55,6,0)),0%,VLOOKUP(A25,'Données projet'!$A$35:$I$55,6,0)*VLOOKUP('Données projet'!$B$9,Paramètres!$A$1:$I$89,7,0))</f>
        <v>0.18000000000000002</v>
      </c>
      <c r="Y25" s="17">
        <f>IF(ISNA(VLOOKUP(A25,'Données projet'!$A$35:$I$55,7,0)),0%,VLOOKUP(A25,'Données projet'!$A$35:$I$55,7,0))</f>
        <v>0.35</v>
      </c>
      <c r="Z25" s="23">
        <f>EXP(-LN(2)/35)*Z24+(1-EXP(-LN(2)/35))/(LN(2)/35)*V25*W25*VLOOKUP('Données projet'!$B$9,Paramètres!$A$1:$I$89,3,0)*0.475*44/12</f>
        <v>3.2038819922550528</v>
      </c>
      <c r="AA25" s="23">
        <f>EXP(-LN(2)/25)*AA24+(1-EXP(-LN(2)/25))/(LN(2)/25)*Calculateur!V25*Calculateur!X25*VLOOKUP('Données projet'!$B$9,Paramètres!$A$1:$I$89,3,0)*0.475*44/12</f>
        <v>8.5834980558658831</v>
      </c>
      <c r="AB25" s="23">
        <f>EXP(-LN(2)/2)*AB24+(1-EXP(-LN(2)/2))/(LN(2)/2)*V25*Y25*VLOOKUP('Données projet'!$B$9,Paramètres!$A$1:$I$89,3,0)*0.475*44/12</f>
        <v>9.4849732003883798</v>
      </c>
      <c r="AC25" s="24">
        <f t="shared" si="3"/>
        <v>21.272353248509315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20.225751131759992</v>
      </c>
      <c r="AK25" s="14">
        <f t="shared" si="35"/>
        <v>6.5682461766784241</v>
      </c>
      <c r="AL25" s="22">
        <f t="shared" si="4"/>
        <v>46.666211978863579</v>
      </c>
      <c r="AM25" s="62">
        <f t="shared" si="5"/>
        <v>330.22176753441914</v>
      </c>
      <c r="AN25" s="62">
        <f ca="1">AVERAGE(OFFSET($AM$3,0,0,'Données projet'!$E$10+1,1))-AVERAGE(OFFSET($H$3,0,0,'Données projet'!$E$10+1,1))</f>
        <v>364.69354394930866</v>
      </c>
      <c r="AO25" s="62">
        <f t="shared" si="36"/>
        <v>159.6134369231965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59.2</v>
      </c>
      <c r="BE25" s="14">
        <f>BD25*VLOOKUP('Données projet'!$B$11,Paramètres!$A$1:$I$89,3,0)*VLOOKUP('Données projet'!$B$11,Paramètres!$A$1:$I$89,5,0)</f>
        <v>51.717120000000016</v>
      </c>
      <c r="BF25" s="14">
        <f t="shared" si="37"/>
        <v>15.056338174085301</v>
      </c>
      <c r="BG25" s="22">
        <f t="shared" si="7"/>
        <v>116.29710631986525</v>
      </c>
      <c r="BH25" s="62">
        <f t="shared" si="8"/>
        <v>399.85266187542078</v>
      </c>
      <c r="BI25" s="62">
        <f ca="1">AVERAGE(OFFSET($BH$3,0,0,'Données projet'!$E$11+1,1))-AVERAGE(OFFSET($H$3,0,0,'Données projet'!$E$11+1,1))</f>
        <v>241.00707378755914</v>
      </c>
      <c r="BJ25" s="62">
        <f t="shared" si="38"/>
        <v>239.93573789765657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5.1282051282051269</v>
      </c>
      <c r="BY25" s="13">
        <f>IF('Données projet'!$A$114&gt;35,BY24+BX25-CG24,IF(A25&lt;'Données projet'!$A$114,$BV$205^A25,IF(A25='Données projet'!$A$114,'Données projet'!$B$114,BY24+BX25-CG24)))</f>
        <v>42.948717948717942</v>
      </c>
      <c r="BZ25" s="14">
        <f>BY25*VLOOKUP('Données projet'!$B$12,Paramètres!$A$1:$I$89,3,0)*VLOOKUP('Données projet'!$B$12,Paramètres!$A$1:$I$89,5,0)</f>
        <v>28.81</v>
      </c>
      <c r="CA25" s="14">
        <f t="shared" si="39"/>
        <v>8.9785144902494043</v>
      </c>
      <c r="CB25" s="22">
        <f t="shared" si="10"/>
        <v>65.814996070517722</v>
      </c>
      <c r="CC25" s="62">
        <f t="shared" si="11"/>
        <v>349.37055162607328</v>
      </c>
      <c r="CD25" s="62">
        <f ca="1">AVERAGE(OFFSET($CC$3,0,0,'Données projet'!$E$12+1,1))-AVERAGE(OFFSET($H$3,0,0,'Données projet'!$E$12+1,1))</f>
        <v>207.91006140109965</v>
      </c>
      <c r="CE25" s="62">
        <f t="shared" si="40"/>
        <v>164.93317437647255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5.1282051282051269</v>
      </c>
      <c r="CT25" s="13">
        <f>IF('Données projet'!$A$140&gt;35,CT24+CS25-DB24,IF(A25&lt;'Données projet'!$A$140,$CQ$205^A25,IF(A25='Données projet'!$A$140,'Données projet'!$B$140,CT24+CS25-DB24)))</f>
        <v>42.948717948717942</v>
      </c>
      <c r="CU25" s="18">
        <f>CT25*VLOOKUP('Données projet'!$B$13,Paramètres!$A$1:$I$89,3,0)*VLOOKUP('Données projet'!$B$13,Paramètres!$A$1:$I$89,5,0)</f>
        <v>36.849999999999994</v>
      </c>
      <c r="CV25" s="14">
        <f t="shared" si="41"/>
        <v>11.159795413106259</v>
      </c>
      <c r="CW25" s="22">
        <f t="shared" si="13"/>
        <v>83.617060344493396</v>
      </c>
      <c r="CX25" s="62">
        <f t="shared" si="14"/>
        <v>367.17261590004892</v>
      </c>
      <c r="CY25" s="62">
        <f ca="1">AVERAGE(OFFSET($CX$3,0,0,'Données projet'!$E$13+1,1))-AVERAGE(OFFSET($H$3,0,0,'Données projet'!$E$13+1,1))</f>
        <v>255.77222823147724</v>
      </c>
      <c r="CZ25" s="62">
        <f t="shared" si="42"/>
        <v>199.6931080052031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1.2</v>
      </c>
      <c r="DO25" s="13">
        <f>IF('Données projet'!$A$166&gt;35,DO24+DN25-DW24,IF(A25&lt;'Données projet'!$A$166,$DL$205^A25,IF(A25='Données projet'!$A$166,'Données projet'!$B$166,DO24+DN25-DW24)))</f>
        <v>19.946500129940819</v>
      </c>
      <c r="DP25" s="18">
        <f>DO25*VLOOKUP('Données projet'!$B$14,Paramètres!$A$1:$I$89,3,0)*VLOOKUP('Données projet'!$B$14,Paramètres!$A$1:$I$89,5,0)</f>
        <v>19.292254925678762</v>
      </c>
      <c r="DQ25" s="14">
        <f t="shared" si="43"/>
        <v>6.2996508020651527</v>
      </c>
      <c r="DR25" s="22">
        <f t="shared" si="16"/>
        <v>44.572569142487318</v>
      </c>
      <c r="DS25" s="62">
        <f t="shared" si="17"/>
        <v>328.12812469804288</v>
      </c>
      <c r="DT25" s="62">
        <f ca="1">AVERAGE(OFFSET($DS$3,0,0,'Données projet'!$E$14+1,1))-AVERAGE(OFFSET($H$3,0,0,'Données projet'!$E$14+1,1))</f>
        <v>349.73011349954953</v>
      </c>
      <c r="DU25" s="62">
        <f t="shared" si="44"/>
        <v>154.08406475869634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15.450000000000003</v>
      </c>
      <c r="N26" s="14">
        <f>IF('Données projet'!$A$36&gt;35,N25+M26-V25,IF(A26&lt;'Données projet'!$A$36,$K$205^A26,IF(A26='Données projet'!$A$36,'Données projet'!$B$36,N25+M26-V25)))</f>
        <v>118.54999999999998</v>
      </c>
      <c r="O26" s="14">
        <f>N26*VLOOKUP('Données projet'!$B$9,Paramètres!$A$1:$I$89,3,0)*VLOOKUP('Données projet'!$B$9,Paramètres!$A$1:$I$89,5,0)</f>
        <v>70.892899999999997</v>
      </c>
      <c r="P26" s="14">
        <f t="shared" si="33"/>
        <v>19.895032272468764</v>
      </c>
      <c r="Q26" s="22">
        <f t="shared" si="2"/>
        <v>158.12231537454977</v>
      </c>
      <c r="R26" s="62">
        <f t="shared" si="0"/>
        <v>442.90009315232754</v>
      </c>
      <c r="S26" s="62">
        <f ca="1">AVERAGE(OFFSET($R$3,0,0,'Données projet'!$E$9+1,1))-AVERAGE(OFFSET($H$3,0,0,'Données projet'!$E$9+1,1))</f>
        <v>203.63995177374335</v>
      </c>
      <c r="T26" s="62">
        <f t="shared" si="34"/>
        <v>268.97461244918378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3.1410558205619878</v>
      </c>
      <c r="AA26" s="23">
        <f>EXP(-LN(2)/25)*AA25+(1-EXP(-LN(2)/25))/(LN(2)/25)*Calculateur!V26*Calculateur!X26*VLOOKUP('Données projet'!$B$9,Paramètres!$A$1:$I$89,3,0)*0.475*44/12</f>
        <v>8.3487818501416857</v>
      </c>
      <c r="AB26" s="23">
        <f>EXP(-LN(2)/2)*AB25+(1-EXP(-LN(2)/2))/(LN(2)/2)*V26*Y26*VLOOKUP('Données projet'!$B$9,Paramètres!$A$1:$I$89,3,0)*0.475*44/12</f>
        <v>6.7068888693672939</v>
      </c>
      <c r="AC26" s="24">
        <f t="shared" si="3"/>
        <v>18.196726540070969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23.173386724966843</v>
      </c>
      <c r="AK26" s="14">
        <f t="shared" si="35"/>
        <v>7.4072464638622444</v>
      </c>
      <c r="AL26" s="22">
        <f t="shared" si="4"/>
        <v>53.261269470543994</v>
      </c>
      <c r="AM26" s="62">
        <f t="shared" si="5"/>
        <v>338.03904724832176</v>
      </c>
      <c r="AN26" s="62">
        <f ca="1">AVERAGE(OFFSET($AM$3,0,0,'Données projet'!$E$10+1,1))-AVERAGE(OFFSET($H$3,0,0,'Données projet'!$E$10+1,1))</f>
        <v>364.69354394930866</v>
      </c>
      <c r="AO26" s="62">
        <f t="shared" si="36"/>
        <v>159.6134369231965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64.8</v>
      </c>
      <c r="BE26" s="14">
        <f>BD26*VLOOKUP('Données projet'!$B$11,Paramètres!$A$1:$I$89,3,0)*VLOOKUP('Données projet'!$B$11,Paramètres!$A$1:$I$89,5,0)</f>
        <v>56.609280000000005</v>
      </c>
      <c r="BF26" s="14">
        <f t="shared" si="37"/>
        <v>16.308107884812738</v>
      </c>
      <c r="BG26" s="22">
        <f t="shared" si="7"/>
        <v>126.99778389938218</v>
      </c>
      <c r="BH26" s="62">
        <f t="shared" si="8"/>
        <v>411.77556167715994</v>
      </c>
      <c r="BI26" s="62">
        <f ca="1">AVERAGE(OFFSET($BH$3,0,0,'Données projet'!$E$11+1,1))-AVERAGE(OFFSET($H$3,0,0,'Données projet'!$E$11+1,1))</f>
        <v>241.00707378755914</v>
      </c>
      <c r="BJ26" s="62">
        <f t="shared" si="38"/>
        <v>239.93573789765657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5.1282051282051269</v>
      </c>
      <c r="BY26" s="13">
        <f>IF('Données projet'!$A$114&gt;35,BY25+BX26-CG25,IF(A26&lt;'Données projet'!$A$114,$BV$205^A26,IF(A26='Données projet'!$A$114,'Données projet'!$B$114,BY25+BX26-CG25)))</f>
        <v>48.076923076923066</v>
      </c>
      <c r="BZ26" s="14">
        <f>BY26*VLOOKUP('Données projet'!$B$12,Paramètres!$A$1:$I$89,3,0)*VLOOKUP('Données projet'!$B$12,Paramètres!$A$1:$I$89,5,0)</f>
        <v>32.249999999999993</v>
      </c>
      <c r="CA26" s="14">
        <f t="shared" si="39"/>
        <v>9.9194804209870817</v>
      </c>
      <c r="CB26" s="22">
        <f t="shared" si="10"/>
        <v>73.445178399885819</v>
      </c>
      <c r="CC26" s="62">
        <f t="shared" si="11"/>
        <v>358.2229561776636</v>
      </c>
      <c r="CD26" s="62">
        <f ca="1">AVERAGE(OFFSET($CC$3,0,0,'Données projet'!$E$12+1,1))-AVERAGE(OFFSET($H$3,0,0,'Données projet'!$E$12+1,1))</f>
        <v>207.91006140109965</v>
      </c>
      <c r="CE26" s="62">
        <f t="shared" si="40"/>
        <v>164.93317437647255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5.1282051282051269</v>
      </c>
      <c r="CT26" s="13">
        <f>IF('Données projet'!$A$140&gt;35,CT25+CS26-DB25,IF(A26&lt;'Données projet'!$A$140,$CQ$205^A26,IF(A26='Données projet'!$A$140,'Données projet'!$B$140,CT25+CS26-DB25)))</f>
        <v>48.076923076923066</v>
      </c>
      <c r="CU26" s="18">
        <f>CT26*VLOOKUP('Données projet'!$B$13,Paramètres!$A$1:$I$89,3,0)*VLOOKUP('Données projet'!$B$13,Paramètres!$A$1:$I$89,5,0)</f>
        <v>41.25</v>
      </c>
      <c r="CV26" s="14">
        <f t="shared" si="41"/>
        <v>12.329363863337045</v>
      </c>
      <c r="CW26" s="22">
        <f t="shared" si="13"/>
        <v>93.31739206197868</v>
      </c>
      <c r="CX26" s="62">
        <f t="shared" si="14"/>
        <v>378.09516983975647</v>
      </c>
      <c r="CY26" s="62">
        <f ca="1">AVERAGE(OFFSET($CX$3,0,0,'Données projet'!$E$13+1,1))-AVERAGE(OFFSET($H$3,0,0,'Données projet'!$E$13+1,1))</f>
        <v>255.77222823147724</v>
      </c>
      <c r="CZ26" s="62">
        <f t="shared" si="42"/>
        <v>199.6931080052031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1.2</v>
      </c>
      <c r="DO26" s="13">
        <f>IF('Données projet'!$A$166&gt;35,DO25+DN26-DW25,IF(A26&lt;'Données projet'!$A$166,$DL$205^A26,IF(A26='Données projet'!$A$166,'Données projet'!$B$166,DO25+DN26-DW25)))</f>
        <v>22.853438584779923</v>
      </c>
      <c r="DP26" s="18">
        <f>DO26*VLOOKUP('Données projet'!$B$14,Paramètres!$A$1:$I$89,3,0)*VLOOKUP('Données projet'!$B$14,Paramètres!$A$1:$I$89,5,0)</f>
        <v>22.103845799199142</v>
      </c>
      <c r="DQ26" s="14">
        <f t="shared" si="43"/>
        <v>7.1043418398123555</v>
      </c>
      <c r="DR26" s="22">
        <f t="shared" si="16"/>
        <v>50.870926804611692</v>
      </c>
      <c r="DS26" s="62">
        <f t="shared" si="17"/>
        <v>335.64870458238948</v>
      </c>
      <c r="DT26" s="62">
        <f ca="1">AVERAGE(OFFSET($DS$3,0,0,'Données projet'!$E$14+1,1))-AVERAGE(OFFSET($H$3,0,0,'Données projet'!$E$14+1,1))</f>
        <v>349.73011349954953</v>
      </c>
      <c r="DU26" s="62">
        <f t="shared" si="44"/>
        <v>154.08406475869634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15.450000000000003</v>
      </c>
      <c r="N27" s="14">
        <f>IF('Données projet'!$A$36&gt;35,N26+M27-V26,IF(A27&lt;'Données projet'!$A$36,$K$205^A27,IF(A27='Données projet'!$A$36,'Données projet'!$B$36,N26+M27-V26)))</f>
        <v>134</v>
      </c>
      <c r="O27" s="14">
        <f>N27*VLOOKUP('Données projet'!$B$9,Paramètres!$A$1:$I$89,3,0)*VLOOKUP('Données projet'!$B$9,Paramètres!$A$1:$I$89,5,0)</f>
        <v>80.132000000000005</v>
      </c>
      <c r="P27" s="14">
        <f t="shared" si="33"/>
        <v>22.169455717453161</v>
      </c>
      <c r="Q27" s="22">
        <f t="shared" si="2"/>
        <v>178.17503537456423</v>
      </c>
      <c r="R27" s="62">
        <f t="shared" si="0"/>
        <v>464.17503537456423</v>
      </c>
      <c r="S27" s="62">
        <f ca="1">AVERAGE(OFFSET($R$3,0,0,'Données projet'!$E$9+1,1))-AVERAGE(OFFSET($H$3,0,0,'Données projet'!$E$9+1,1))</f>
        <v>203.63995177374335</v>
      </c>
      <c r="T27" s="62">
        <f t="shared" si="34"/>
        <v>268.97461244918378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3.0794616317756427</v>
      </c>
      <c r="AA27" s="23">
        <f>EXP(-LN(2)/25)*AA26+(1-EXP(-LN(2)/25))/(LN(2)/25)*Calculateur!V27*Calculateur!X27*VLOOKUP('Données projet'!$B$9,Paramètres!$A$1:$I$89,3,0)*0.475*44/12</f>
        <v>8.1204839714062054</v>
      </c>
      <c r="AB27" s="23">
        <f>EXP(-LN(2)/2)*AB26+(1-EXP(-LN(2)/2))/(LN(2)/2)*V27*Y27*VLOOKUP('Données projet'!$B$9,Paramètres!$A$1:$I$89,3,0)*0.475*44/12</f>
        <v>4.7424866001941908</v>
      </c>
      <c r="AC27" s="24">
        <f t="shared" si="3"/>
        <v>15.94243220337604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26.550601201733496</v>
      </c>
      <c r="AK27" s="14">
        <f t="shared" si="35"/>
        <v>8.3534171376241328</v>
      </c>
      <c r="AL27" s="22">
        <f t="shared" si="4"/>
        <v>60.7911652743812</v>
      </c>
      <c r="AM27" s="62">
        <f t="shared" si="5"/>
        <v>346.79116527438123</v>
      </c>
      <c r="AN27" s="62">
        <f ca="1">AVERAGE(OFFSET($AM$3,0,0,'Données projet'!$E$10+1,1))-AVERAGE(OFFSET($H$3,0,0,'Données projet'!$E$10+1,1))</f>
        <v>364.69354394930866</v>
      </c>
      <c r="AO27" s="62">
        <f t="shared" si="36"/>
        <v>159.6134369231965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70.399999999999991</v>
      </c>
      <c r="BE27" s="14">
        <f>BD27*VLOOKUP('Données projet'!$B$11,Paramètres!$A$1:$I$89,3,0)*VLOOKUP('Données projet'!$B$11,Paramètres!$A$1:$I$89,5,0)</f>
        <v>61.501440000000002</v>
      </c>
      <c r="BF27" s="14">
        <f t="shared" si="37"/>
        <v>17.547332369013468</v>
      </c>
      <c r="BG27" s="22">
        <f t="shared" si="7"/>
        <v>137.67661187603181</v>
      </c>
      <c r="BH27" s="62">
        <f t="shared" si="8"/>
        <v>423.67661187603181</v>
      </c>
      <c r="BI27" s="62">
        <f ca="1">AVERAGE(OFFSET($BH$3,0,0,'Données projet'!$E$11+1,1))-AVERAGE(OFFSET($H$3,0,0,'Données projet'!$E$11+1,1))</f>
        <v>241.00707378755914</v>
      </c>
      <c r="BJ27" s="62">
        <f t="shared" si="38"/>
        <v>239.93573789765657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5.1282051282051269</v>
      </c>
      <c r="BY27" s="13">
        <f>IF('Données projet'!$A$114&gt;35,BY26+BX27-CG26,IF(A27&lt;'Données projet'!$A$114,$BV$205^A27,IF(A27='Données projet'!$A$114,'Données projet'!$B$114,BY26+BX27-CG26)))</f>
        <v>53.20512820512819</v>
      </c>
      <c r="BZ27" s="14">
        <f>BY27*VLOOKUP('Données projet'!$B$12,Paramètres!$A$1:$I$89,3,0)*VLOOKUP('Données projet'!$B$12,Paramètres!$A$1:$I$89,5,0)</f>
        <v>35.689999999999991</v>
      </c>
      <c r="CA27" s="14">
        <f t="shared" si="39"/>
        <v>10.848812282424118</v>
      </c>
      <c r="CB27" s="22">
        <f t="shared" si="10"/>
        <v>81.055098058555316</v>
      </c>
      <c r="CC27" s="62">
        <f t="shared" si="11"/>
        <v>367.0550980585553</v>
      </c>
      <c r="CD27" s="62">
        <f ca="1">AVERAGE(OFFSET($CC$3,0,0,'Données projet'!$E$12+1,1))-AVERAGE(OFFSET($H$3,0,0,'Données projet'!$E$12+1,1))</f>
        <v>207.91006140109965</v>
      </c>
      <c r="CE27" s="62">
        <f t="shared" si="40"/>
        <v>164.93317437647255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5.1282051282051269</v>
      </c>
      <c r="CT27" s="13">
        <f>IF('Données projet'!$A$140&gt;35,CT26+CS27-DB26,IF(A27&lt;'Données projet'!$A$140,$CQ$205^A27,IF(A27='Données projet'!$A$140,'Données projet'!$B$140,CT26+CS27-DB26)))</f>
        <v>53.20512820512819</v>
      </c>
      <c r="CU27" s="18">
        <f>CT27*VLOOKUP('Données projet'!$B$13,Paramètres!$A$1:$I$89,3,0)*VLOOKUP('Données projet'!$B$13,Paramètres!$A$1:$I$89,5,0)</f>
        <v>45.649999999999991</v>
      </c>
      <c r="CV27" s="14">
        <f t="shared" si="41"/>
        <v>13.48447181084679</v>
      </c>
      <c r="CW27" s="22">
        <f t="shared" si="13"/>
        <v>102.99253840389149</v>
      </c>
      <c r="CX27" s="62">
        <f t="shared" si="14"/>
        <v>388.9925384038915</v>
      </c>
      <c r="CY27" s="62">
        <f ca="1">AVERAGE(OFFSET($CX$3,0,0,'Données projet'!$E$13+1,1))-AVERAGE(OFFSET($H$3,0,0,'Données projet'!$E$13+1,1))</f>
        <v>255.77222823147724</v>
      </c>
      <c r="CZ27" s="62">
        <f t="shared" si="42"/>
        <v>199.6931080052031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1.2</v>
      </c>
      <c r="DO27" s="13">
        <f>IF('Données projet'!$A$166&gt;35,DO26+DN27-DW26,IF(A27&lt;'Données projet'!$A$166,$DL$205^A27,IF(A27='Données projet'!$A$166,'Données projet'!$B$166,DO26+DN27-DW26)))</f>
        <v>26.184024853780567</v>
      </c>
      <c r="DP27" s="18">
        <f>DO27*VLOOKUP('Données projet'!$B$14,Paramètres!$A$1:$I$89,3,0)*VLOOKUP('Données projet'!$B$14,Paramètres!$A$1:$I$89,5,0)</f>
        <v>25.325188838576565</v>
      </c>
      <c r="DQ27" s="14">
        <f t="shared" si="43"/>
        <v>8.0118207441534324</v>
      </c>
      <c r="DR27" s="22">
        <f t="shared" si="16"/>
        <v>58.061958356588072</v>
      </c>
      <c r="DS27" s="62">
        <f t="shared" si="17"/>
        <v>344.06195835658809</v>
      </c>
      <c r="DT27" s="62">
        <f ca="1">AVERAGE(OFFSET($DS$3,0,0,'Données projet'!$E$14+1,1))-AVERAGE(OFFSET($H$3,0,0,'Données projet'!$E$14+1,1))</f>
        <v>349.73011349954953</v>
      </c>
      <c r="DU27" s="62">
        <f t="shared" si="44"/>
        <v>154.08406475869634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15.450000000000003</v>
      </c>
      <c r="N28" s="14">
        <f>IF('Données projet'!$A$36&gt;35,N27+M28-V27,IF(A28&lt;'Données projet'!$A$36,$K$205^A28,IF(A28='Données projet'!$A$36,'Données projet'!$B$36,N27+M28-V27)))</f>
        <v>149.44999999999999</v>
      </c>
      <c r="O28" s="14">
        <f>N28*VLOOKUP('Données projet'!$B$9,Paramètres!$A$1:$I$89,3,0)*VLOOKUP('Données projet'!$B$9,Paramètres!$A$1:$I$89,5,0)</f>
        <v>89.371099999999998</v>
      </c>
      <c r="P28" s="14">
        <f t="shared" si="33"/>
        <v>24.413487612067943</v>
      </c>
      <c r="Q28" s="22">
        <f t="shared" si="2"/>
        <v>198.17482342435164</v>
      </c>
      <c r="R28" s="62">
        <f t="shared" si="0"/>
        <v>485.39704564657387</v>
      </c>
      <c r="S28" s="62">
        <f ca="1">AVERAGE(OFFSET($R$3,0,0,'Données projet'!$E$9+1,1))-AVERAGE(OFFSET($H$3,0,0,'Données projet'!$E$9+1,1))</f>
        <v>203.63995177374335</v>
      </c>
      <c r="T28" s="62">
        <f t="shared" si="34"/>
        <v>268.97461244918378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3.0190752674626524</v>
      </c>
      <c r="AA28" s="23">
        <f>EXP(-LN(2)/25)*AA27+(1-EXP(-LN(2)/25))/(LN(2)/25)*Calculateur!V28*Calculateur!X28*VLOOKUP('Données projet'!$B$9,Paramètres!$A$1:$I$89,3,0)*0.475*44/12</f>
        <v>7.8984289101704102</v>
      </c>
      <c r="AB28" s="23">
        <f>EXP(-LN(2)/2)*AB27+(1-EXP(-LN(2)/2))/(LN(2)/2)*V28*Y28*VLOOKUP('Données projet'!$B$9,Paramètres!$A$1:$I$89,3,0)*0.475*44/12</f>
        <v>3.3534444346836474</v>
      </c>
      <c r="AC28" s="24">
        <f t="shared" si="3"/>
        <v>14.27094861231671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30.42</v>
      </c>
      <c r="AK28" s="14">
        <f t="shared" si="35"/>
        <v>9.4204476947792024</v>
      </c>
      <c r="AL28" s="22">
        <f t="shared" si="4"/>
        <v>69.388779735073783</v>
      </c>
      <c r="AM28" s="62">
        <f t="shared" si="5"/>
        <v>356.61100195729603</v>
      </c>
      <c r="AN28" s="62">
        <f ca="1">AVERAGE(OFFSET($AM$3,0,0,'Données projet'!$E$10+1,1))-AVERAGE(OFFSET($H$3,0,0,'Données projet'!$E$10+1,1))</f>
        <v>364.69354394930866</v>
      </c>
      <c r="AO28" s="62">
        <f t="shared" si="36"/>
        <v>159.6134369231965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76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75.999999999999986</v>
      </c>
      <c r="BE28" s="14">
        <f>BD28*VLOOKUP('Données projet'!$B$11,Paramètres!$A$1:$I$89,3,0)*VLOOKUP('Données projet'!$B$11,Paramètres!$A$1:$I$89,5,0)</f>
        <v>66.393599999999992</v>
      </c>
      <c r="BF28" s="14">
        <f t="shared" si="37"/>
        <v>18.775122997078526</v>
      </c>
      <c r="BG28" s="22">
        <f t="shared" si="7"/>
        <v>148.33552588657841</v>
      </c>
      <c r="BH28" s="62">
        <f t="shared" si="8"/>
        <v>435.55774810880064</v>
      </c>
      <c r="BI28" s="62">
        <f ca="1">AVERAGE(OFFSET($BH$3,0,0,'Données projet'!$E$11+1,1))-AVERAGE(OFFSET($H$3,0,0,'Données projet'!$E$11+1,1))</f>
        <v>241.00707378755914</v>
      </c>
      <c r="BJ28" s="62">
        <f t="shared" si="38"/>
        <v>239.93573789765657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58.333333333333329</v>
      </c>
      <c r="BW28" s="13">
        <f>VLOOKUP(A28,'Données projet'!$A$113:$I$133,9,0)</f>
        <v>5.1282051282051269</v>
      </c>
      <c r="BX28" s="13">
        <f t="array" ref="BX28">INDEX(BW:BW,MIN(IF(ISNUMBER(BW28:BW224),ROW(BW28:BW224),"")))</f>
        <v>5.1282051282051269</v>
      </c>
      <c r="BY28" s="13">
        <f>IF('Données projet'!$A$114&gt;35,BY27+BX28-CG27,IF(A28&lt;'Données projet'!$A$114,$BV$205^A28,IF(A28='Données projet'!$A$114,'Données projet'!$B$114,BY27+BX28-CG27)))</f>
        <v>58.333333333333314</v>
      </c>
      <c r="BZ28" s="14">
        <f>BY28*VLOOKUP('Données projet'!$B$12,Paramètres!$A$1:$I$89,3,0)*VLOOKUP('Données projet'!$B$12,Paramètres!$A$1:$I$89,5,0)</f>
        <v>39.129999999999988</v>
      </c>
      <c r="CA28" s="14">
        <f t="shared" si="39"/>
        <v>11.767759023799293</v>
      </c>
      <c r="CB28" s="22">
        <f t="shared" si="10"/>
        <v>88.646930299783762</v>
      </c>
      <c r="CC28" s="62">
        <f t="shared" si="11"/>
        <v>375.869152522006</v>
      </c>
      <c r="CD28" s="62">
        <f ca="1">AVERAGE(OFFSET($CC$3,0,0,'Données projet'!$E$12+1,1))-AVERAGE(OFFSET($H$3,0,0,'Données projet'!$E$12+1,1))</f>
        <v>207.91006140109965</v>
      </c>
      <c r="CE28" s="62">
        <f t="shared" si="40"/>
        <v>164.93317437647255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58.333333333333329</v>
      </c>
      <c r="CR28" s="13">
        <f>VLOOKUP(A28,'Données projet'!$A$139:$I$159,9,0)</f>
        <v>5.1282051282051269</v>
      </c>
      <c r="CS28" s="13">
        <f t="array" ref="CS28">INDEX(CR:CR,MIN(IF(ISNUMBER(CR28:CR224),ROW(CR28:CR224),"")))</f>
        <v>5.1282051282051269</v>
      </c>
      <c r="CT28" s="13">
        <f>IF('Données projet'!$A$140&gt;35,CT27+CS28-DB27,IF(A28&lt;'Données projet'!$A$140,$CQ$205^A28,IF(A28='Données projet'!$A$140,'Données projet'!$B$140,CT27+CS28-DB27)))</f>
        <v>58.333333333333314</v>
      </c>
      <c r="CU28" s="18">
        <f>CT28*VLOOKUP('Données projet'!$B$13,Paramètres!$A$1:$I$89,3,0)*VLOOKUP('Données projet'!$B$13,Paramètres!$A$1:$I$89,5,0)</f>
        <v>50.05</v>
      </c>
      <c r="CV28" s="14">
        <f t="shared" si="41"/>
        <v>14.626671630251748</v>
      </c>
      <c r="CW28" s="22">
        <f t="shared" si="13"/>
        <v>112.64520308935512</v>
      </c>
      <c r="CX28" s="62">
        <f t="shared" si="14"/>
        <v>399.86742531157734</v>
      </c>
      <c r="CY28" s="62">
        <f ca="1">AVERAGE(OFFSET($CX$3,0,0,'Données projet'!$E$13+1,1))-AVERAGE(OFFSET($H$3,0,0,'Données projet'!$E$13+1,1))</f>
        <v>255.77222823147724</v>
      </c>
      <c r="CZ28" s="62">
        <f t="shared" si="42"/>
        <v>199.6931080052031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30</v>
      </c>
      <c r="DM28" s="13">
        <f>VLOOKUP(A28,'Données projet'!$A$165:$I$185,9,0)</f>
        <v>1.2</v>
      </c>
      <c r="DN28" s="13">
        <f t="array" ref="DN28">INDEX(DM:DM,MIN(IF(ISNUMBER(DM28:DM224),ROW(DM28:DM224),"")))</f>
        <v>1.2</v>
      </c>
      <c r="DO28" s="13">
        <f>IF('Données projet'!$A$166&gt;35,DO27+DN28-DW27,IF(A28&lt;'Données projet'!$A$166,$DL$205^A28,IF(A28='Données projet'!$A$166,'Données projet'!$B$166,DO27+DN28-DW27)))</f>
        <v>30</v>
      </c>
      <c r="DP28" s="18">
        <f>DO28*VLOOKUP('Données projet'!$B$14,Paramètres!$A$1:$I$89,3,0)*VLOOKUP('Données projet'!$B$14,Paramètres!$A$1:$I$89,5,0)</f>
        <v>29.016000000000002</v>
      </c>
      <c r="DQ28" s="14">
        <f t="shared" si="43"/>
        <v>9.0352172071357728</v>
      </c>
      <c r="DR28" s="22">
        <f t="shared" si="16"/>
        <v>66.272536635761469</v>
      </c>
      <c r="DS28" s="62">
        <f t="shared" si="17"/>
        <v>353.4947588579837</v>
      </c>
      <c r="DT28" s="62">
        <f ca="1">AVERAGE(OFFSET($DS$3,0,0,'Données projet'!$E$14+1,1))-AVERAGE(OFFSET($H$3,0,0,'Données projet'!$E$14+1,1))</f>
        <v>349.73011349954953</v>
      </c>
      <c r="DU28" s="62">
        <f t="shared" si="44"/>
        <v>154.08406475869634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>
        <f>VLOOKUP(A29,'Données projet'!$A$35:$I$55,2,0)</f>
        <v>164.9</v>
      </c>
      <c r="L29" s="13">
        <f>VLOOKUP(A29,'Données projet'!$A$35:$I$55,9,0)</f>
        <v>15.450000000000003</v>
      </c>
      <c r="M29" s="13">
        <f t="array" ref="M29">INDEX(L:L,MIN(IF(ISNUMBER(L29:L225),ROW(L29:L225),"")))</f>
        <v>15.450000000000003</v>
      </c>
      <c r="N29" s="14">
        <f>IF('Données projet'!$A$36&gt;35,N28+M29-V28,IF(A29&lt;'Données projet'!$A$36,$K$205^A29,IF(A29='Données projet'!$A$36,'Données projet'!$B$36,N28+M29-V28)))</f>
        <v>164.89999999999998</v>
      </c>
      <c r="O29" s="14">
        <f>N29*VLOOKUP('Données projet'!$B$9,Paramètres!$A$1:$I$89,3,0)*VLOOKUP('Données projet'!$B$9,Paramètres!$A$1:$I$89,5,0)</f>
        <v>98.610200000000006</v>
      </c>
      <c r="P29" s="14">
        <f t="shared" si="33"/>
        <v>26.630627652541392</v>
      </c>
      <c r="Q29" s="22">
        <f t="shared" si="2"/>
        <v>218.12777482817626</v>
      </c>
      <c r="R29" s="62">
        <f t="shared" si="0"/>
        <v>506.57221927262071</v>
      </c>
      <c r="S29" s="62">
        <f ca="1">AVERAGE(OFFSET($R$3,0,0,'Données projet'!$E$9+1,1))-AVERAGE(OFFSET($H$3,0,0,'Données projet'!$E$9+1,1))</f>
        <v>203.63995177374335</v>
      </c>
      <c r="T29" s="62">
        <f t="shared" si="34"/>
        <v>268.97461244918378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2.9598730429217945</v>
      </c>
      <c r="AA29" s="23">
        <f>EXP(-LN(2)/25)*AA28+(1-EXP(-LN(2)/25))/(LN(2)/25)*Calculateur!V29*Calculateur!X29*VLOOKUP('Données projet'!$B$9,Paramètres!$A$1:$I$89,3,0)*0.475*44/12</f>
        <v>7.6824459562614758</v>
      </c>
      <c r="AB29" s="23">
        <f>EXP(-LN(2)/2)*AB28+(1-EXP(-LN(2)/2))/(LN(2)/2)*V29*Y29*VLOOKUP('Données projet'!$B$9,Paramètres!$A$1:$I$89,3,0)*0.475*44/12</f>
        <v>2.3712433000970954</v>
      </c>
      <c r="AC29" s="24">
        <f t="shared" si="3"/>
        <v>13.013562299280366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35.287199999999999</v>
      </c>
      <c r="AK29" s="14">
        <f t="shared" si="35"/>
        <v>10.740552489323523</v>
      </c>
      <c r="AL29" s="22">
        <f t="shared" si="4"/>
        <v>80.165002252238452</v>
      </c>
      <c r="AM29" s="62">
        <f t="shared" si="5"/>
        <v>368.60944669668288</v>
      </c>
      <c r="AN29" s="62">
        <f ca="1">AVERAGE(OFFSET($AM$3,0,0,'Données projet'!$E$10+1,1))-AVERAGE(OFFSET($H$3,0,0,'Données projet'!$E$10+1,1))</f>
        <v>364.69354394930866</v>
      </c>
      <c r="AO29" s="62">
        <f t="shared" si="36"/>
        <v>159.6134369231965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5.8</v>
      </c>
      <c r="BD29" s="13">
        <f>IF('Données projet'!$A$88&gt;35,BD28+BC29-BL28,IF(A29&lt;'Données projet'!$A$88,$BA$205^A29,IF(A29='Données projet'!$A$88,'Données projet'!$B$88,BD28+BC29-BL28)))</f>
        <v>81.799999999999983</v>
      </c>
      <c r="BE29" s="14">
        <f>BD29*VLOOKUP('Données projet'!$B$11,Paramètres!$A$1:$I$89,3,0)*VLOOKUP('Données projet'!$B$11,Paramètres!$A$1:$I$89,5,0)</f>
        <v>71.46047999999999</v>
      </c>
      <c r="BF29" s="14">
        <f t="shared" si="37"/>
        <v>20.035709203981977</v>
      </c>
      <c r="BG29" s="22">
        <f t="shared" si="7"/>
        <v>159.35586286360191</v>
      </c>
      <c r="BH29" s="62">
        <f t="shared" si="8"/>
        <v>447.8003073080464</v>
      </c>
      <c r="BI29" s="62">
        <f ca="1">AVERAGE(OFFSET($BH$3,0,0,'Données projet'!$E$11+1,1))-AVERAGE(OFFSET($H$3,0,0,'Données projet'!$E$11+1,1))</f>
        <v>241.00707378755914</v>
      </c>
      <c r="BJ29" s="62">
        <f t="shared" si="38"/>
        <v>239.93573789765657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5.3846153846153841</v>
      </c>
      <c r="BY29" s="13">
        <f>IF('Données projet'!$A$114&gt;35,BY28+BX29-CG28,IF(A29&lt;'Données projet'!$A$114,$BV$205^A29,IF(A29='Données projet'!$A$114,'Données projet'!$B$114,BY28+BX29-CG28)))</f>
        <v>63.717948717948701</v>
      </c>
      <c r="BZ29" s="14">
        <f>BY29*VLOOKUP('Données projet'!$B$12,Paramètres!$A$1:$I$89,3,0)*VLOOKUP('Données projet'!$B$12,Paramètres!$A$1:$I$89,5,0)</f>
        <v>42.74199999999999</v>
      </c>
      <c r="CA29" s="14">
        <f t="shared" si="39"/>
        <v>12.72258618300452</v>
      </c>
      <c r="CB29" s="22">
        <f t="shared" si="10"/>
        <v>96.600820935399511</v>
      </c>
      <c r="CC29" s="62">
        <f t="shared" si="11"/>
        <v>385.04526537984395</v>
      </c>
      <c r="CD29" s="62">
        <f ca="1">AVERAGE(OFFSET($CC$3,0,0,'Données projet'!$E$12+1,1))-AVERAGE(OFFSET($H$3,0,0,'Données projet'!$E$12+1,1))</f>
        <v>207.91006140109965</v>
      </c>
      <c r="CE29" s="62">
        <f t="shared" si="40"/>
        <v>164.93317437647255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5.3846153846153841</v>
      </c>
      <c r="CT29" s="13">
        <f>IF('Données projet'!$A$140&gt;35,CT28+CS29-DB28,IF(A29&lt;'Données projet'!$A$140,$CQ$205^A29,IF(A29='Données projet'!$A$140,'Données projet'!$B$140,CT28+CS29-DB28)))</f>
        <v>63.717948717948701</v>
      </c>
      <c r="CU29" s="18">
        <f>CT29*VLOOKUP('Données projet'!$B$13,Paramètres!$A$1:$I$89,3,0)*VLOOKUP('Données projet'!$B$13,Paramètres!$A$1:$I$89,5,0)</f>
        <v>54.669999999999995</v>
      </c>
      <c r="CV29" s="14">
        <f t="shared" si="41"/>
        <v>15.813468818492604</v>
      </c>
      <c r="CW29" s="22">
        <f t="shared" si="13"/>
        <v>122.75870819220795</v>
      </c>
      <c r="CX29" s="62">
        <f t="shared" si="14"/>
        <v>411.20315263665242</v>
      </c>
      <c r="CY29" s="62">
        <f ca="1">AVERAGE(OFFSET($CX$3,0,0,'Données projet'!$E$13+1,1))-AVERAGE(OFFSET($H$3,0,0,'Données projet'!$E$13+1,1))</f>
        <v>255.77222823147724</v>
      </c>
      <c r="CZ29" s="62">
        <f t="shared" si="42"/>
        <v>199.6931080052031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4.8</v>
      </c>
      <c r="DO29" s="13">
        <f>IF('Données projet'!$A$166&gt;35,DO28+DN29-DW28,IF(A29&lt;'Données projet'!$A$166,$DL$205^A29,IF(A29='Données projet'!$A$166,'Données projet'!$B$166,DO28+DN29-DW28)))</f>
        <v>34.799999999999997</v>
      </c>
      <c r="DP29" s="18">
        <f>DO29*VLOOKUP('Données projet'!$B$14,Paramètres!$A$1:$I$89,3,0)*VLOOKUP('Données projet'!$B$14,Paramètres!$A$1:$I$89,5,0)</f>
        <v>33.658559999999994</v>
      </c>
      <c r="DQ29" s="14">
        <f t="shared" si="43"/>
        <v>10.301338939492439</v>
      </c>
      <c r="DR29" s="22">
        <f t="shared" si="16"/>
        <v>76.563490652949312</v>
      </c>
      <c r="DS29" s="62">
        <f t="shared" si="17"/>
        <v>365.00793509739378</v>
      </c>
      <c r="DT29" s="62">
        <f ca="1">AVERAGE(OFFSET($DS$3,0,0,'Données projet'!$E$14+1,1))-AVERAGE(OFFSET($H$3,0,0,'Données projet'!$E$14+1,1))</f>
        <v>349.73011349954953</v>
      </c>
      <c r="DU29" s="62">
        <f t="shared" si="44"/>
        <v>154.08406475869634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17.099999999999994</v>
      </c>
      <c r="N30" s="14">
        <f>IF('Données projet'!$A$36&gt;35,N29+M30-V29,IF(A30&lt;'Données projet'!$A$36,$K$205^A30,IF(A30='Données projet'!$A$36,'Données projet'!$B$36,N29+M30-V29)))</f>
        <v>181.99999999999997</v>
      </c>
      <c r="O30" s="14">
        <f>N30*VLOOKUP('Données projet'!$B$9,Paramètres!$A$1:$I$89,3,0)*VLOOKUP('Données projet'!$B$9,Paramètres!$A$1:$I$89,5,0)</f>
        <v>108.83599999999998</v>
      </c>
      <c r="P30" s="14">
        <f t="shared" si="33"/>
        <v>29.056567526298153</v>
      </c>
      <c r="Q30" s="22">
        <f t="shared" si="2"/>
        <v>240.16288844163589</v>
      </c>
      <c r="R30" s="62">
        <f t="shared" si="0"/>
        <v>529.82955510830254</v>
      </c>
      <c r="S30" s="62">
        <f ca="1">AVERAGE(OFFSET($R$3,0,0,'Données projet'!$E$9+1,1))-AVERAGE(OFFSET($H$3,0,0,'Données projet'!$E$9+1,1))</f>
        <v>203.63995177374335</v>
      </c>
      <c r="T30" s="62">
        <f t="shared" si="34"/>
        <v>268.97461244918378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2.9018317378943914</v>
      </c>
      <c r="AA30" s="23">
        <f>EXP(-LN(2)/25)*AA29+(1-EXP(-LN(2)/25))/(LN(2)/25)*Calculateur!V30*Calculateur!X30*VLOOKUP('Données projet'!$B$9,Paramètres!$A$1:$I$89,3,0)*0.475*44/12</f>
        <v>7.4723690675852312</v>
      </c>
      <c r="AB30" s="23">
        <f>EXP(-LN(2)/2)*AB29+(1-EXP(-LN(2)/2))/(LN(2)/2)*V30*Y30*VLOOKUP('Données projet'!$B$9,Paramètres!$A$1:$I$89,3,0)*0.475*44/12</f>
        <v>1.6767222173418237</v>
      </c>
      <c r="AC30" s="24">
        <f t="shared" si="3"/>
        <v>12.050923022821447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40.154399999999995</v>
      </c>
      <c r="AK30" s="14">
        <f t="shared" si="35"/>
        <v>12.039561463286329</v>
      </c>
      <c r="AL30" s="22">
        <f t="shared" si="4"/>
        <v>90.90448288189036</v>
      </c>
      <c r="AM30" s="62">
        <f t="shared" si="5"/>
        <v>380.57114954855706</v>
      </c>
      <c r="AN30" s="62">
        <f ca="1">AVERAGE(OFFSET($AM$3,0,0,'Données projet'!$E$10+1,1))-AVERAGE(OFFSET($H$3,0,0,'Données projet'!$E$10+1,1))</f>
        <v>364.69354394930866</v>
      </c>
      <c r="AO30" s="62">
        <f t="shared" si="36"/>
        <v>159.6134369231965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5.8</v>
      </c>
      <c r="BD30" s="13">
        <f>IF('Données projet'!$A$88&gt;35,BD29+BC30-BL29,IF(A30&lt;'Données projet'!$A$88,$BA$205^A30,IF(A30='Données projet'!$A$88,'Données projet'!$B$88,BD29+BC30-BL29)))</f>
        <v>87.59999999999998</v>
      </c>
      <c r="BE30" s="14">
        <f>BD30*VLOOKUP('Données projet'!$B$11,Paramètres!$A$1:$I$89,3,0)*VLOOKUP('Données projet'!$B$11,Paramètres!$A$1:$I$89,5,0)</f>
        <v>76.527359999999987</v>
      </c>
      <c r="BF30" s="14">
        <f t="shared" si="37"/>
        <v>21.28592506115368</v>
      </c>
      <c r="BG30" s="22">
        <f t="shared" si="7"/>
        <v>170.35813814817595</v>
      </c>
      <c r="BH30" s="62">
        <f t="shared" si="8"/>
        <v>460.02480481484264</v>
      </c>
      <c r="BI30" s="62">
        <f ca="1">AVERAGE(OFFSET($BH$3,0,0,'Données projet'!$E$11+1,1))-AVERAGE(OFFSET($H$3,0,0,'Données projet'!$E$11+1,1))</f>
        <v>241.00707378755914</v>
      </c>
      <c r="BJ30" s="62">
        <f t="shared" si="38"/>
        <v>239.93573789765657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5.3846153846153841</v>
      </c>
      <c r="BY30" s="13">
        <f>IF('Données projet'!$A$114&gt;35,BY29+BX30-CG29,IF(A30&lt;'Données projet'!$A$114,$BV$205^A30,IF(A30='Données projet'!$A$114,'Données projet'!$B$114,BY29+BX30-CG29)))</f>
        <v>69.102564102564088</v>
      </c>
      <c r="BZ30" s="14">
        <f>BY30*VLOOKUP('Données projet'!$B$12,Paramètres!$A$1:$I$89,3,0)*VLOOKUP('Données projet'!$B$12,Paramètres!$A$1:$I$89,5,0)</f>
        <v>46.353999999999992</v>
      </c>
      <c r="CA30" s="14">
        <f t="shared" si="39"/>
        <v>13.668055364575761</v>
      </c>
      <c r="CB30" s="22">
        <f t="shared" si="10"/>
        <v>104.53841309330276</v>
      </c>
      <c r="CC30" s="62">
        <f t="shared" si="11"/>
        <v>394.20507975996946</v>
      </c>
      <c r="CD30" s="62">
        <f ca="1">AVERAGE(OFFSET($CC$3,0,0,'Données projet'!$E$12+1,1))-AVERAGE(OFFSET($H$3,0,0,'Données projet'!$E$12+1,1))</f>
        <v>207.91006140109965</v>
      </c>
      <c r="CE30" s="62">
        <f t="shared" si="40"/>
        <v>164.93317437647255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5.3846153846153841</v>
      </c>
      <c r="CT30" s="13">
        <f>IF('Données projet'!$A$140&gt;35,CT29+CS30-DB29,IF(A30&lt;'Données projet'!$A$140,$CQ$205^A30,IF(A30='Données projet'!$A$140,'Données projet'!$B$140,CT29+CS30-DB29)))</f>
        <v>69.102564102564088</v>
      </c>
      <c r="CU30" s="18">
        <f>CT30*VLOOKUP('Données projet'!$B$13,Paramètres!$A$1:$I$89,3,0)*VLOOKUP('Données projet'!$B$13,Paramètres!$A$1:$I$89,5,0)</f>
        <v>59.289999999999992</v>
      </c>
      <c r="CV30" s="14">
        <f t="shared" si="41"/>
        <v>16.988634559684048</v>
      </c>
      <c r="CW30" s="22">
        <f t="shared" si="13"/>
        <v>132.85195519144966</v>
      </c>
      <c r="CX30" s="62">
        <f t="shared" si="14"/>
        <v>422.51862185811638</v>
      </c>
      <c r="CY30" s="62">
        <f ca="1">AVERAGE(OFFSET($CX$3,0,0,'Données projet'!$E$13+1,1))-AVERAGE(OFFSET($H$3,0,0,'Données projet'!$E$13+1,1))</f>
        <v>255.77222823147724</v>
      </c>
      <c r="CZ30" s="62">
        <f t="shared" si="42"/>
        <v>199.6931080052031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4.8</v>
      </c>
      <c r="DO30" s="13">
        <f>IF('Données projet'!$A$166&gt;35,DO29+DN30-DW29,IF(A30&lt;'Données projet'!$A$166,$DL$205^A30,IF(A30='Données projet'!$A$166,'Données projet'!$B$166,DO29+DN30-DW29)))</f>
        <v>39.599999999999994</v>
      </c>
      <c r="DP30" s="18">
        <f>DO30*VLOOKUP('Données projet'!$B$14,Paramètres!$A$1:$I$89,3,0)*VLOOKUP('Données projet'!$B$14,Paramètres!$A$1:$I$89,5,0)</f>
        <v>38.301119999999997</v>
      </c>
      <c r="DQ30" s="14">
        <f t="shared" si="43"/>
        <v>11.547227522927502</v>
      </c>
      <c r="DR30" s="22">
        <f t="shared" si="16"/>
        <v>86.819205269098731</v>
      </c>
      <c r="DS30" s="62">
        <f t="shared" si="17"/>
        <v>376.48587193576543</v>
      </c>
      <c r="DT30" s="62">
        <f ca="1">AVERAGE(OFFSET($DS$3,0,0,'Données projet'!$E$14+1,1))-AVERAGE(OFFSET($H$3,0,0,'Données projet'!$E$14+1,1))</f>
        <v>349.73011349954953</v>
      </c>
      <c r="DU30" s="62">
        <f t="shared" si="44"/>
        <v>154.08406475869634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17.099999999999994</v>
      </c>
      <c r="N31" s="14">
        <f>IF('Données projet'!$A$36&gt;35,N30+M31-V30,IF(A31&lt;'Données projet'!$A$36,$K$205^A31,IF(A31='Données projet'!$A$36,'Données projet'!$B$36,N30+M31-V30)))</f>
        <v>199.09999999999997</v>
      </c>
      <c r="O31" s="14">
        <f>N31*VLOOKUP('Données projet'!$B$9,Paramètres!$A$1:$I$89,3,0)*VLOOKUP('Données projet'!$B$9,Paramètres!$A$1:$I$89,5,0)</f>
        <v>119.06179999999998</v>
      </c>
      <c r="P31" s="14">
        <f t="shared" si="33"/>
        <v>31.456079691328718</v>
      </c>
      <c r="Q31" s="22">
        <f t="shared" si="2"/>
        <v>262.15197379573078</v>
      </c>
      <c r="R31" s="62">
        <f t="shared" si="0"/>
        <v>553.0408626846197</v>
      </c>
      <c r="S31" s="62">
        <f ca="1">AVERAGE(OFFSET($R$3,0,0,'Données projet'!$E$9+1,1))-AVERAGE(OFFSET($H$3,0,0,'Données projet'!$E$9+1,1))</f>
        <v>203.63995177374335</v>
      </c>
      <c r="T31" s="62">
        <f t="shared" si="34"/>
        <v>268.97461244918378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2.844928587456875</v>
      </c>
      <c r="AA31" s="23">
        <f>EXP(-LN(2)/25)*AA30+(1-EXP(-LN(2)/25))/(LN(2)/25)*Calculateur!V31*Calculateur!X31*VLOOKUP('Données projet'!$B$9,Paramètres!$A$1:$I$89,3,0)*0.475*44/12</f>
        <v>7.2680367424773022</v>
      </c>
      <c r="AB31" s="23">
        <f>EXP(-LN(2)/2)*AB30+(1-EXP(-LN(2)/2))/(LN(2)/2)*V31*Y31*VLOOKUP('Données projet'!$B$9,Paramètres!$A$1:$I$89,3,0)*0.475*44/12</f>
        <v>1.1856216500485477</v>
      </c>
      <c r="AC31" s="24">
        <f t="shared" si="3"/>
        <v>11.298586979982725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45.021599999999992</v>
      </c>
      <c r="AK31" s="14">
        <f t="shared" si="35"/>
        <v>13.320324173992205</v>
      </c>
      <c r="AL31" s="22">
        <f t="shared" si="4"/>
        <v>101.6121846030364</v>
      </c>
      <c r="AM31" s="62">
        <f t="shared" si="5"/>
        <v>392.50107349192524</v>
      </c>
      <c r="AN31" s="62">
        <f ca="1">AVERAGE(OFFSET($AM$3,0,0,'Données projet'!$E$10+1,1))-AVERAGE(OFFSET($H$3,0,0,'Données projet'!$E$10+1,1))</f>
        <v>364.69354394930866</v>
      </c>
      <c r="AO31" s="62">
        <f t="shared" si="36"/>
        <v>159.6134369231965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5.8</v>
      </c>
      <c r="BD31" s="13">
        <f>IF('Données projet'!$A$88&gt;35,BD30+BC31-BL30,IF(A31&lt;'Données projet'!$A$88,$BA$205^A31,IF(A31='Données projet'!$A$88,'Données projet'!$B$88,BD30+BC31-BL30)))</f>
        <v>93.399999999999977</v>
      </c>
      <c r="BE31" s="14">
        <f>BD31*VLOOKUP('Données projet'!$B$11,Paramètres!$A$1:$I$89,3,0)*VLOOKUP('Données projet'!$B$11,Paramètres!$A$1:$I$89,5,0)</f>
        <v>81.594239999999999</v>
      </c>
      <c r="BF31" s="14">
        <f t="shared" si="37"/>
        <v>22.526535320646335</v>
      </c>
      <c r="BG31" s="22">
        <f t="shared" si="7"/>
        <v>181.34368368345903</v>
      </c>
      <c r="BH31" s="62">
        <f t="shared" si="8"/>
        <v>472.23257257234786</v>
      </c>
      <c r="BI31" s="62">
        <f ca="1">AVERAGE(OFFSET($BH$3,0,0,'Données projet'!$E$11+1,1))-AVERAGE(OFFSET($H$3,0,0,'Données projet'!$E$11+1,1))</f>
        <v>241.00707378755914</v>
      </c>
      <c r="BJ31" s="62">
        <f t="shared" si="38"/>
        <v>239.93573789765657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5.3846153846153841</v>
      </c>
      <c r="BY31" s="13">
        <f>IF('Données projet'!$A$114&gt;35,BY30+BX31-CG30,IF(A31&lt;'Données projet'!$A$114,$BV$205^A31,IF(A31='Données projet'!$A$114,'Données projet'!$B$114,BY30+BX31-CG30)))</f>
        <v>74.487179487179475</v>
      </c>
      <c r="BZ31" s="14">
        <f>BY31*VLOOKUP('Données projet'!$B$12,Paramètres!$A$1:$I$89,3,0)*VLOOKUP('Données projet'!$B$12,Paramètres!$A$1:$I$89,5,0)</f>
        <v>49.965999999999994</v>
      </c>
      <c r="CA31" s="14">
        <f t="shared" si="39"/>
        <v>14.604978667596622</v>
      </c>
      <c r="CB31" s="22">
        <f t="shared" si="10"/>
        <v>112.46112117939744</v>
      </c>
      <c r="CC31" s="62">
        <f t="shared" si="11"/>
        <v>403.35001006828628</v>
      </c>
      <c r="CD31" s="62">
        <f ca="1">AVERAGE(OFFSET($CC$3,0,0,'Données projet'!$E$12+1,1))-AVERAGE(OFFSET($H$3,0,0,'Données projet'!$E$12+1,1))</f>
        <v>207.91006140109965</v>
      </c>
      <c r="CE31" s="62">
        <f t="shared" si="40"/>
        <v>164.93317437647255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5.3846153846153841</v>
      </c>
      <c r="CT31" s="13">
        <f>IF('Données projet'!$A$140&gt;35,CT30+CS31-DB30,IF(A31&lt;'Données projet'!$A$140,$CQ$205^A31,IF(A31='Données projet'!$A$140,'Données projet'!$B$140,CT30+CS31-DB30)))</f>
        <v>74.487179487179475</v>
      </c>
      <c r="CU31" s="18">
        <f>CT31*VLOOKUP('Données projet'!$B$13,Paramètres!$A$1:$I$89,3,0)*VLOOKUP('Données projet'!$B$13,Paramètres!$A$1:$I$89,5,0)</f>
        <v>63.91</v>
      </c>
      <c r="CV31" s="14">
        <f t="shared" si="41"/>
        <v>18.153178247934438</v>
      </c>
      <c r="CW31" s="22">
        <f t="shared" si="13"/>
        <v>142.92670211515247</v>
      </c>
      <c r="CX31" s="62">
        <f t="shared" si="14"/>
        <v>433.81559100404132</v>
      </c>
      <c r="CY31" s="62">
        <f ca="1">AVERAGE(OFFSET($CX$3,0,0,'Données projet'!$E$13+1,1))-AVERAGE(OFFSET($H$3,0,0,'Données projet'!$E$13+1,1))</f>
        <v>255.77222823147724</v>
      </c>
      <c r="CZ31" s="62">
        <f t="shared" si="42"/>
        <v>199.6931080052031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4.8</v>
      </c>
      <c r="DO31" s="13">
        <f>IF('Données projet'!$A$166&gt;35,DO30+DN31-DW30,IF(A31&lt;'Données projet'!$A$166,$DL$205^A31,IF(A31='Données projet'!$A$166,'Données projet'!$B$166,DO30+DN31-DW30)))</f>
        <v>44.399999999999991</v>
      </c>
      <c r="DP31" s="18">
        <f>DO31*VLOOKUP('Données projet'!$B$14,Paramètres!$A$1:$I$89,3,0)*VLOOKUP('Données projet'!$B$14,Paramètres!$A$1:$I$89,5,0)</f>
        <v>42.943679999999993</v>
      </c>
      <c r="DQ31" s="14">
        <f t="shared" si="43"/>
        <v>12.775615987781539</v>
      </c>
      <c r="DR31" s="22">
        <f t="shared" si="16"/>
        <v>97.044440512052844</v>
      </c>
      <c r="DS31" s="62">
        <f t="shared" si="17"/>
        <v>387.93332940094172</v>
      </c>
      <c r="DT31" s="62">
        <f ca="1">AVERAGE(OFFSET($DS$3,0,0,'Données projet'!$E$14+1,1))-AVERAGE(OFFSET($H$3,0,0,'Données projet'!$E$14+1,1))</f>
        <v>349.73011349954953</v>
      </c>
      <c r="DU31" s="62">
        <f t="shared" si="44"/>
        <v>154.08406475869634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>
        <f>VLOOKUP(A32,'Données projet'!$A$35:$I$55,2,0)</f>
        <v>216.2</v>
      </c>
      <c r="L32" s="13">
        <f>VLOOKUP(A32,'Données projet'!$A$35:$I$55,9,0)</f>
        <v>17.099999999999994</v>
      </c>
      <c r="M32" s="13">
        <f t="array" ref="M32">INDEX(L:L,MIN(IF(ISNUMBER(L32:L228),ROW(L32:L228),"")))</f>
        <v>17.099999999999994</v>
      </c>
      <c r="N32" s="14">
        <f>IF('Données projet'!$A$36&gt;35,N31+M32-V31,IF(A32&lt;'Données projet'!$A$36,$K$205^A32,IF(A32='Données projet'!$A$36,'Données projet'!$B$36,N31+M32-V31)))</f>
        <v>216.19999999999996</v>
      </c>
      <c r="O32" s="14">
        <f>N32*VLOOKUP('Données projet'!$B$9,Paramètres!$A$1:$I$89,3,0)*VLOOKUP('Données projet'!$B$9,Paramètres!$A$1:$I$89,5,0)</f>
        <v>129.2876</v>
      </c>
      <c r="P32" s="14">
        <f t="shared" si="33"/>
        <v>33.831691999989637</v>
      </c>
      <c r="Q32" s="22">
        <f t="shared" si="2"/>
        <v>284.09943356664854</v>
      </c>
      <c r="R32" s="62">
        <f t="shared" si="0"/>
        <v>576.21054467775969</v>
      </c>
      <c r="S32" s="62">
        <f ca="1">AVERAGE(OFFSET($R$3,0,0,'Données projet'!$E$9+1,1))-AVERAGE(OFFSET($H$3,0,0,'Données projet'!$E$9+1,1))</f>
        <v>203.63995177374335</v>
      </c>
      <c r="T32" s="62">
        <f t="shared" si="34"/>
        <v>268.97461244918378</v>
      </c>
      <c r="U32" s="16">
        <f>IF(ISNA(VLOOKUP(A32,'Données projet'!$A$35:$I$55,3,0)),0,VLOOKUP(A32,'Données projet'!$A$35:$I$55,3,0))</f>
        <v>3</v>
      </c>
      <c r="V32" s="16">
        <f>IF(ISNA(VLOOKUP(A32,'Données projet'!$A$35:$I$55,4,0)),0,VLOOKUP(A32,'Données projet'!$A$35:$I$55,4,0))</f>
        <v>54.5</v>
      </c>
      <c r="W32" s="17">
        <f>IF(ISNA(VLOOKUP(A32,'Données projet'!$A$35:$I$55,5,0)),0%,VLOOKUP(A32,'Données projet'!$A$35:$I$55,5,0)*VLOOKUP('Données projet'!$B$9,Paramètres!$A$1:$I$89,7,0))</f>
        <v>0.27</v>
      </c>
      <c r="X32" s="17">
        <f>IF(ISNA(VLOOKUP(A32,'Données projet'!$A$35:$I$55,6,0)),0%,VLOOKUP(A32,'Données projet'!$A$35:$I$55,6,0)*VLOOKUP('Données projet'!$B$9,Paramètres!$A$1:$I$89,7,0))</f>
        <v>0.13500000000000001</v>
      </c>
      <c r="Y32" s="17">
        <f>IF(ISNA(VLOOKUP(A32,'Données projet'!$A$35:$I$55,7,0)),0%,VLOOKUP(A32,'Données projet'!$A$35:$I$55,7,0))</f>
        <v>0.1</v>
      </c>
      <c r="Z32" s="23">
        <f>EXP(-LN(2)/35)*Z31+(1-EXP(-LN(2)/35))/(LN(2)/35)*V32*W32*VLOOKUP('Données projet'!$B$9,Paramètres!$A$1:$I$89,3,0)*0.475*44/12</f>
        <v>14.462338058244061</v>
      </c>
      <c r="AA32" s="23">
        <f>EXP(-LN(2)/25)*AA31+(1-EXP(-LN(2)/25))/(LN(2)/25)*Calculateur!V32*Calculateur!X32*VLOOKUP('Données projet'!$B$9,Paramètres!$A$1:$I$89,3,0)*0.475*44/12</f>
        <v>12.882909376330964</v>
      </c>
      <c r="AB32" s="23">
        <f>EXP(-LN(2)/2)*AB31+(1-EXP(-LN(2)/2))/(LN(2)/2)*V32*Y32*VLOOKUP('Données projet'!$B$9,Paramètres!$A$1:$I$89,3,0)*0.475*44/12</f>
        <v>4.5284193895394171</v>
      </c>
      <c r="AC32" s="24">
        <f t="shared" si="3"/>
        <v>31.873666824114444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49.888799999999989</v>
      </c>
      <c r="AK32" s="14">
        <f t="shared" si="35"/>
        <v>14.585038058304724</v>
      </c>
      <c r="AL32" s="22">
        <f t="shared" si="4"/>
        <v>112.29193461821403</v>
      </c>
      <c r="AM32" s="62">
        <f t="shared" si="5"/>
        <v>404.40304572932519</v>
      </c>
      <c r="AN32" s="62">
        <f ca="1">AVERAGE(OFFSET($AM$3,0,0,'Données projet'!$E$10+1,1))-AVERAGE(OFFSET($H$3,0,0,'Données projet'!$E$10+1,1))</f>
        <v>364.69354394930866</v>
      </c>
      <c r="AO32" s="62">
        <f t="shared" si="36"/>
        <v>159.6134369231965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5.8</v>
      </c>
      <c r="BD32" s="13">
        <f>IF('Données projet'!$A$88&gt;35,BD31+BC32-BL31,IF(A32&lt;'Données projet'!$A$88,$BA$205^A32,IF(A32='Données projet'!$A$88,'Données projet'!$B$88,BD31+BC32-BL31)))</f>
        <v>99.199999999999974</v>
      </c>
      <c r="BE32" s="14">
        <f>BD32*VLOOKUP('Données projet'!$B$11,Paramètres!$A$1:$I$89,3,0)*VLOOKUP('Données projet'!$B$11,Paramètres!$A$1:$I$89,5,0)</f>
        <v>86.661119999999997</v>
      </c>
      <c r="BF32" s="14">
        <f t="shared" si="37"/>
        <v>23.75820438670381</v>
      </c>
      <c r="BG32" s="22">
        <f t="shared" si="7"/>
        <v>192.31365664017576</v>
      </c>
      <c r="BH32" s="62">
        <f t="shared" si="8"/>
        <v>484.42476775128694</v>
      </c>
      <c r="BI32" s="62">
        <f ca="1">AVERAGE(OFFSET($BH$3,0,0,'Données projet'!$E$11+1,1))-AVERAGE(OFFSET($H$3,0,0,'Données projet'!$E$11+1,1))</f>
        <v>241.00707378755914</v>
      </c>
      <c r="BJ32" s="62">
        <f t="shared" si="38"/>
        <v>239.93573789765657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5.3846153846153841</v>
      </c>
      <c r="BY32" s="13">
        <f>IF('Données projet'!$A$114&gt;35,BY31+BX32-CG31,IF(A32&lt;'Données projet'!$A$114,$BV$205^A32,IF(A32='Données projet'!$A$114,'Données projet'!$B$114,BY31+BX32-CG31)))</f>
        <v>79.871794871794862</v>
      </c>
      <c r="BZ32" s="14">
        <f>BY32*VLOOKUP('Données projet'!$B$12,Paramètres!$A$1:$I$89,3,0)*VLOOKUP('Données projet'!$B$12,Paramètres!$A$1:$I$89,5,0)</f>
        <v>53.577999999999996</v>
      </c>
      <c r="CA32" s="14">
        <f t="shared" si="39"/>
        <v>15.534044123832324</v>
      </c>
      <c r="CB32" s="22">
        <f t="shared" si="10"/>
        <v>120.37014351567463</v>
      </c>
      <c r="CC32" s="62">
        <f t="shared" si="11"/>
        <v>412.48125462678576</v>
      </c>
      <c r="CD32" s="62">
        <f ca="1">AVERAGE(OFFSET($CC$3,0,0,'Données projet'!$E$12+1,1))-AVERAGE(OFFSET($H$3,0,0,'Données projet'!$E$12+1,1))</f>
        <v>207.91006140109965</v>
      </c>
      <c r="CE32" s="62">
        <f t="shared" si="40"/>
        <v>164.93317437647255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5.3846153846153841</v>
      </c>
      <c r="CT32" s="13">
        <f>IF('Données projet'!$A$140&gt;35,CT31+CS32-DB31,IF(A32&lt;'Données projet'!$A$140,$CQ$205^A32,IF(A32='Données projet'!$A$140,'Données projet'!$B$140,CT31+CS32-DB31)))</f>
        <v>79.871794871794862</v>
      </c>
      <c r="CU32" s="18">
        <f>CT32*VLOOKUP('Données projet'!$B$13,Paramètres!$A$1:$I$89,3,0)*VLOOKUP('Données projet'!$B$13,Paramètres!$A$1:$I$89,5,0)</f>
        <v>68.53</v>
      </c>
      <c r="CV32" s="14">
        <f t="shared" si="41"/>
        <v>19.307955068558197</v>
      </c>
      <c r="CW32" s="22">
        <f t="shared" si="13"/>
        <v>152.9844384110722</v>
      </c>
      <c r="CX32" s="62">
        <f t="shared" si="14"/>
        <v>445.09554952218332</v>
      </c>
      <c r="CY32" s="62">
        <f ca="1">AVERAGE(OFFSET($CX$3,0,0,'Données projet'!$E$13+1,1))-AVERAGE(OFFSET($H$3,0,0,'Données projet'!$E$13+1,1))</f>
        <v>255.77222823147724</v>
      </c>
      <c r="CZ32" s="62">
        <f t="shared" si="42"/>
        <v>199.6931080052031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4.8</v>
      </c>
      <c r="DO32" s="13">
        <f>IF('Données projet'!$A$166&gt;35,DO31+DN32-DW31,IF(A32&lt;'Données projet'!$A$166,$DL$205^A32,IF(A32='Données projet'!$A$166,'Données projet'!$B$166,DO31+DN32-DW31)))</f>
        <v>49.199999999999989</v>
      </c>
      <c r="DP32" s="18">
        <f>DO32*VLOOKUP('Données projet'!$B$14,Paramètres!$A$1:$I$89,3,0)*VLOOKUP('Données projet'!$B$14,Paramètres!$A$1:$I$89,5,0)</f>
        <v>47.586239999999989</v>
      </c>
      <c r="DQ32" s="14">
        <f t="shared" si="43"/>
        <v>13.98861191110446</v>
      </c>
      <c r="DR32" s="22">
        <f t="shared" si="16"/>
        <v>107.2428670785069</v>
      </c>
      <c r="DS32" s="62">
        <f t="shared" si="17"/>
        <v>399.35397818961803</v>
      </c>
      <c r="DT32" s="62">
        <f ca="1">AVERAGE(OFFSET($DS$3,0,0,'Données projet'!$E$14+1,1))-AVERAGE(OFFSET($H$3,0,0,'Données projet'!$E$14+1,1))</f>
        <v>349.73011349954953</v>
      </c>
      <c r="DU32" s="62">
        <f t="shared" si="44"/>
        <v>154.08406475869634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175.9</v>
      </c>
      <c r="L33" s="13">
        <f>VLOOKUP(A33,'Données projet'!$A$35:$I$55,9,0)</f>
        <v>14.200000000000017</v>
      </c>
      <c r="M33" s="13">
        <f t="array" ref="M33">INDEX(L:L,MIN(IF(ISNUMBER(L33:L229),ROW(L33:L229),"")))</f>
        <v>14.200000000000017</v>
      </c>
      <c r="N33" s="14">
        <f>IF('Données projet'!$A$36&gt;35,N32+M33-V32,IF(A33&lt;'Données projet'!$A$36,$K$205^A33,IF(A33='Données projet'!$A$36,'Données projet'!$B$36,N32+M33-V32)))</f>
        <v>175.89999999999998</v>
      </c>
      <c r="O33" s="14">
        <f>N33*VLOOKUP('Données projet'!$B$9,Paramètres!$A$1:$I$89,3,0)*VLOOKUP('Données projet'!$B$9,Paramètres!$A$1:$I$89,5,0)</f>
        <v>105.18819999999998</v>
      </c>
      <c r="P33" s="14">
        <f t="shared" si="33"/>
        <v>28.194352602402233</v>
      </c>
      <c r="Q33" s="22">
        <f t="shared" si="2"/>
        <v>232.30794578251718</v>
      </c>
      <c r="R33" s="62">
        <f t="shared" si="0"/>
        <v>525.64127911585047</v>
      </c>
      <c r="S33" s="62">
        <f ca="1">AVERAGE(OFFSET($R$3,0,0,'Données projet'!$E$9+1,1))-AVERAGE(OFFSET($H$3,0,0,'Données projet'!$E$9+1,1))</f>
        <v>203.63995177374335</v>
      </c>
      <c r="T33" s="62">
        <f t="shared" si="34"/>
        <v>268.97461244918378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14.178740430077093</v>
      </c>
      <c r="AA33" s="23">
        <f>EXP(-LN(2)/25)*AA32+(1-EXP(-LN(2)/25))/(LN(2)/25)*Calculateur!V33*Calculateur!X33*VLOOKUP('Données projet'!$B$9,Paramètres!$A$1:$I$89,3,0)*0.475*44/12</f>
        <v>12.530625541952434</v>
      </c>
      <c r="AB33" s="23">
        <f>EXP(-LN(2)/2)*AB32+(1-EXP(-LN(2)/2))/(LN(2)/2)*V33*Y33*VLOOKUP('Données projet'!$B$9,Paramètres!$A$1:$I$89,3,0)*0.475*44/12</f>
        <v>3.2020760583999679</v>
      </c>
      <c r="AC33" s="24">
        <f t="shared" si="3"/>
        <v>29.911442030429495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54.755999999999993</v>
      </c>
      <c r="AK33" s="14">
        <f t="shared" si="35"/>
        <v>15.835447037242044</v>
      </c>
      <c r="AL33" s="22">
        <f t="shared" si="4"/>
        <v>122.94677025652987</v>
      </c>
      <c r="AM33" s="62">
        <f t="shared" si="5"/>
        <v>416.28010358986319</v>
      </c>
      <c r="AN33" s="62">
        <f ca="1">AVERAGE(OFFSET($AM$3,0,0,'Données projet'!$E$10+1,1))-AVERAGE(OFFSET($H$3,0,0,'Données projet'!$E$10+1,1))</f>
        <v>364.69354394930866</v>
      </c>
      <c r="AO33" s="62">
        <f t="shared" si="36"/>
        <v>159.6134369231965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5.8</v>
      </c>
      <c r="BC33" s="13">
        <f t="array" ref="BC33">INDEX(BB:BB,MIN(IF(ISNUMBER(BB33:BB229),ROW(BB33:BB229),"")))</f>
        <v>5.8</v>
      </c>
      <c r="BD33" s="13">
        <f>IF('Données projet'!$A$88&gt;35,BD32+BC33-BL32,IF(A33&lt;'Données projet'!$A$88,$BA$205^A33,IF(A33='Données projet'!$A$88,'Données projet'!$B$88,BD32+BC33-BL32)))</f>
        <v>104.99999999999997</v>
      </c>
      <c r="BE33" s="14">
        <f>BD33*VLOOKUP('Données projet'!$B$11,Paramètres!$A$1:$I$89,3,0)*VLOOKUP('Données projet'!$B$11,Paramètres!$A$1:$I$89,5,0)</f>
        <v>91.727999999999994</v>
      </c>
      <c r="BF33" s="14">
        <f t="shared" si="37"/>
        <v>24.981514582386563</v>
      </c>
      <c r="BG33" s="22">
        <f t="shared" si="7"/>
        <v>203.26907123098991</v>
      </c>
      <c r="BH33" s="62">
        <f t="shared" si="8"/>
        <v>496.60240456432325</v>
      </c>
      <c r="BI33" s="62">
        <f ca="1">AVERAGE(OFFSET($BH$3,0,0,'Données projet'!$E$11+1,1))-AVERAGE(OFFSET($H$3,0,0,'Données projet'!$E$11+1,1))</f>
        <v>241.00707378755914</v>
      </c>
      <c r="BJ33" s="62">
        <f t="shared" si="38"/>
        <v>239.93573789765657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39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85.256410256410248</v>
      </c>
      <c r="BW33" s="13">
        <f>VLOOKUP(A33,'Données projet'!$A$113:$I$133,9,0)</f>
        <v>5.3846153846153841</v>
      </c>
      <c r="BX33" s="13">
        <f t="array" ref="BX33">INDEX(BW:BW,MIN(IF(ISNUMBER(BW33:BW229),ROW(BW33:BW229),"")))</f>
        <v>5.3846153846153841</v>
      </c>
      <c r="BY33" s="13">
        <f>IF('Données projet'!$A$114&gt;35,BY32+BX33-CG32,IF(A33&lt;'Données projet'!$A$114,$BV$205^A33,IF(A33='Données projet'!$A$114,'Données projet'!$B$114,BY32+BX33-CG32)))</f>
        <v>85.256410256410248</v>
      </c>
      <c r="BZ33" s="14">
        <f>BY33*VLOOKUP('Données projet'!$B$12,Paramètres!$A$1:$I$89,3,0)*VLOOKUP('Données projet'!$B$12,Paramètres!$A$1:$I$89,5,0)</f>
        <v>57.19</v>
      </c>
      <c r="CA33" s="14">
        <f t="shared" si="39"/>
        <v>16.455841747257008</v>
      </c>
      <c r="CB33" s="22">
        <f t="shared" si="10"/>
        <v>128.26650770980595</v>
      </c>
      <c r="CC33" s="62">
        <f t="shared" si="11"/>
        <v>421.59984104313924</v>
      </c>
      <c r="CD33" s="62">
        <f ca="1">AVERAGE(OFFSET($CC$3,0,0,'Données projet'!$E$12+1,1))-AVERAGE(OFFSET($H$3,0,0,'Données projet'!$E$12+1,1))</f>
        <v>207.91006140109965</v>
      </c>
      <c r="CE33" s="62">
        <f t="shared" si="40"/>
        <v>164.93317437647255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26.282051282051281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85.256410256410248</v>
      </c>
      <c r="CR33" s="13">
        <f>VLOOKUP(A33,'Données projet'!$A$139:$I$159,9,0)</f>
        <v>5.3846153846153841</v>
      </c>
      <c r="CS33" s="13">
        <f t="array" ref="CS33">INDEX(CR:CR,MIN(IF(ISNUMBER(CR33:CR229),ROW(CR33:CR229),"")))</f>
        <v>5.3846153846153841</v>
      </c>
      <c r="CT33" s="13">
        <f>IF('Données projet'!$A$140&gt;35,CT32+CS33-DB32,IF(A33&lt;'Données projet'!$A$140,$CQ$205^A33,IF(A33='Données projet'!$A$140,'Données projet'!$B$140,CT32+CS33-DB32)))</f>
        <v>85.256410256410248</v>
      </c>
      <c r="CU33" s="18">
        <f>CT33*VLOOKUP('Données projet'!$B$13,Paramètres!$A$1:$I$89,3,0)*VLOOKUP('Données projet'!$B$13,Paramètres!$A$1:$I$89,5,0)</f>
        <v>73.150000000000006</v>
      </c>
      <c r="CV33" s="14">
        <f t="shared" si="41"/>
        <v>20.453698376193188</v>
      </c>
      <c r="CW33" s="22">
        <f t="shared" si="13"/>
        <v>163.0264413385365</v>
      </c>
      <c r="CX33" s="62">
        <f t="shared" si="14"/>
        <v>456.35977467186979</v>
      </c>
      <c r="CY33" s="62">
        <f ca="1">AVERAGE(OFFSET($CX$3,0,0,'Données projet'!$E$13+1,1))-AVERAGE(OFFSET($H$3,0,0,'Données projet'!$E$13+1,1))</f>
        <v>255.77222823147724</v>
      </c>
      <c r="CZ33" s="62">
        <f t="shared" si="42"/>
        <v>199.6931080052031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26.282051282051281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54</v>
      </c>
      <c r="DM33" s="13">
        <f>VLOOKUP(A33,'Données projet'!$A$165:$I$185,9,0)</f>
        <v>4.8</v>
      </c>
      <c r="DN33" s="13">
        <f t="array" ref="DN33">INDEX(DM:DM,MIN(IF(ISNUMBER(DM33:DM229),ROW(DM33:DM229),"")))</f>
        <v>4.8</v>
      </c>
      <c r="DO33" s="13">
        <f>IF('Données projet'!$A$166&gt;35,DO32+DN33-DW32,IF(A33&lt;'Données projet'!$A$166,$DL$205^A33,IF(A33='Données projet'!$A$166,'Données projet'!$B$166,DO32+DN33-DW32)))</f>
        <v>53.999999999999986</v>
      </c>
      <c r="DP33" s="18">
        <f>DO33*VLOOKUP('Données projet'!$B$14,Paramètres!$A$1:$I$89,3,0)*VLOOKUP('Données projet'!$B$14,Paramètres!$A$1:$I$89,5,0)</f>
        <v>52.228799999999985</v>
      </c>
      <c r="DQ33" s="14">
        <f t="shared" si="43"/>
        <v>15.187887899730002</v>
      </c>
      <c r="DR33" s="22">
        <f t="shared" si="16"/>
        <v>117.41739809202973</v>
      </c>
      <c r="DS33" s="62">
        <f t="shared" si="17"/>
        <v>410.75073142536303</v>
      </c>
      <c r="DT33" s="62">
        <f ca="1">AVERAGE(OFFSET($DS$3,0,0,'Données projet'!$E$14+1,1))-AVERAGE(OFFSET($H$3,0,0,'Données projet'!$E$14+1,1))</f>
        <v>349.73011349954953</v>
      </c>
      <c r="DU33" s="62">
        <f t="shared" si="44"/>
        <v>154.08406475869634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14.200000000000003</v>
      </c>
      <c r="N34" s="14">
        <f>IF('Données projet'!$A$36&gt;35,N33+M34-V33,IF(A34&lt;'Données projet'!$A$36,$K$205^A34,IF(A34='Données projet'!$A$36,'Données projet'!$B$36,N33+M34-V33)))</f>
        <v>190.09999999999997</v>
      </c>
      <c r="O34" s="14">
        <f>N34*VLOOKUP('Données projet'!$B$9,Paramètres!$A$1:$I$89,3,0)*VLOOKUP('Données projet'!$B$9,Paramètres!$A$1:$I$89,5,0)</f>
        <v>113.67979999999999</v>
      </c>
      <c r="P34" s="14">
        <f t="shared" si="33"/>
        <v>30.19630681882758</v>
      </c>
      <c r="Q34" s="22">
        <f t="shared" si="2"/>
        <v>250.58421937612465</v>
      </c>
      <c r="R34" s="62">
        <f t="shared" si="0"/>
        <v>543.91755270945794</v>
      </c>
      <c r="S34" s="62">
        <f ca="1">AVERAGE(OFFSET($R$3,0,0,'Données projet'!$E$9+1,1))-AVERAGE(OFFSET($H$3,0,0,'Données projet'!$E$9+1,1))</f>
        <v>203.63995177374335</v>
      </c>
      <c r="T34" s="62">
        <f t="shared" si="34"/>
        <v>268.97461244918378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13.900703978421006</v>
      </c>
      <c r="AA34" s="23">
        <f>EXP(-LN(2)/25)*AA33+(1-EXP(-LN(2)/25))/(LN(2)/25)*Calculateur!V34*Calculateur!X34*VLOOKUP('Données projet'!$B$9,Paramètres!$A$1:$I$89,3,0)*0.475*44/12</f>
        <v>12.187974927550787</v>
      </c>
      <c r="AB34" s="23">
        <f>EXP(-LN(2)/2)*AB33+(1-EXP(-LN(2)/2))/(LN(2)/2)*V34*Y34*VLOOKUP('Données projet'!$B$9,Paramètres!$A$1:$I$89,3,0)*0.475*44/12</f>
        <v>2.264209694769709</v>
      </c>
      <c r="AC34" s="24">
        <f t="shared" si="3"/>
        <v>28.352888600741501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59.825999999999993</v>
      </c>
      <c r="AK34" s="14">
        <f t="shared" si="35"/>
        <v>17.124268920142534</v>
      </c>
      <c r="AL34" s="22">
        <f t="shared" si="4"/>
        <v>134.02171836924822</v>
      </c>
      <c r="AM34" s="62">
        <f t="shared" si="5"/>
        <v>427.35505170258153</v>
      </c>
      <c r="AN34" s="62">
        <f ca="1">AVERAGE(OFFSET($AM$3,0,0,'Données projet'!$E$10+1,1))-AVERAGE(OFFSET($H$3,0,0,'Données projet'!$E$10+1,1))</f>
        <v>364.69354394930866</v>
      </c>
      <c r="AO34" s="62">
        <f t="shared" si="36"/>
        <v>159.6134369231965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5.2</v>
      </c>
      <c r="BD34" s="13">
        <f>IF('Données projet'!$A$88&gt;35,BD33+BC34-BL33,IF(A34&lt;'Données projet'!$A$88,$BA$205^A34,IF(A34='Données projet'!$A$88,'Données projet'!$B$88,BD33+BC34-BL33)))</f>
        <v>71.199999999999974</v>
      </c>
      <c r="BE34" s="14">
        <f>BD34*VLOOKUP('Données projet'!$B$11,Paramètres!$A$1:$I$89,3,0)*VLOOKUP('Données projet'!$B$11,Paramètres!$A$1:$I$89,5,0)</f>
        <v>62.200319999999991</v>
      </c>
      <c r="BF34" s="14">
        <f t="shared" si="37"/>
        <v>17.723407501510028</v>
      </c>
      <c r="BG34" s="22">
        <f t="shared" si="7"/>
        <v>139.20049206512991</v>
      </c>
      <c r="BH34" s="62">
        <f t="shared" si="8"/>
        <v>432.53382539846325</v>
      </c>
      <c r="BI34" s="62">
        <f ca="1">AVERAGE(OFFSET($BH$3,0,0,'Données projet'!$E$11+1,1))-AVERAGE(OFFSET($H$3,0,0,'Données projet'!$E$11+1,1))</f>
        <v>241.00707378755914</v>
      </c>
      <c r="BJ34" s="62">
        <f t="shared" si="38"/>
        <v>239.93573789765657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5.2564102564102573</v>
      </c>
      <c r="BY34" s="13">
        <f>IF('Données projet'!$A$114&gt;35,BY33+BX34-CG33,IF(A34&lt;'Données projet'!$A$114,$BV$205^A34,IF(A34='Données projet'!$A$114,'Données projet'!$B$114,BY33+BX34-CG33)))</f>
        <v>64.230769230769226</v>
      </c>
      <c r="BZ34" s="14">
        <f>BY34*VLOOKUP('Données projet'!$B$12,Paramètres!$A$1:$I$89,3,0)*VLOOKUP('Données projet'!$B$12,Paramètres!$A$1:$I$89,5,0)</f>
        <v>43.085999999999999</v>
      </c>
      <c r="CA34" s="14">
        <f t="shared" si="39"/>
        <v>12.81302020422228</v>
      </c>
      <c r="CB34" s="22">
        <f t="shared" si="10"/>
        <v>97.357460189020472</v>
      </c>
      <c r="CC34" s="62">
        <f t="shared" si="11"/>
        <v>390.69079352235377</v>
      </c>
      <c r="CD34" s="62">
        <f ca="1">AVERAGE(OFFSET($CC$3,0,0,'Données projet'!$E$12+1,1))-AVERAGE(OFFSET($H$3,0,0,'Données projet'!$E$12+1,1))</f>
        <v>207.91006140109965</v>
      </c>
      <c r="CE34" s="62">
        <f t="shared" si="40"/>
        <v>164.93317437647255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5.2564102564102573</v>
      </c>
      <c r="CT34" s="13">
        <f>IF('Données projet'!$A$140&gt;35,CT33+CS34-DB33,IF(A34&lt;'Données projet'!$A$140,$CQ$205^A34,IF(A34='Données projet'!$A$140,'Données projet'!$B$140,CT33+CS34-DB33)))</f>
        <v>64.230769230769226</v>
      </c>
      <c r="CU34" s="18">
        <f>CT34*VLOOKUP('Données projet'!$B$13,Paramètres!$A$1:$I$89,3,0)*VLOOKUP('Données projet'!$B$13,Paramètres!$A$1:$I$89,5,0)</f>
        <v>55.110000000000007</v>
      </c>
      <c r="CV34" s="14">
        <f t="shared" si="41"/>
        <v>15.925873289886034</v>
      </c>
      <c r="CW34" s="22">
        <f t="shared" si="13"/>
        <v>123.72081264655151</v>
      </c>
      <c r="CX34" s="62">
        <f t="shared" si="14"/>
        <v>417.05414597988482</v>
      </c>
      <c r="CY34" s="62">
        <f ca="1">AVERAGE(OFFSET($CX$3,0,0,'Données projet'!$E$13+1,1))-AVERAGE(OFFSET($H$3,0,0,'Données projet'!$E$13+1,1))</f>
        <v>255.77222823147724</v>
      </c>
      <c r="CZ34" s="62">
        <f t="shared" si="42"/>
        <v>199.6931080052031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5</v>
      </c>
      <c r="DO34" s="13">
        <f>IF('Données projet'!$A$166&gt;35,DO33+DN34-DW33,IF(A34&lt;'Données projet'!$A$166,$DL$205^A34,IF(A34='Données projet'!$A$166,'Données projet'!$B$166,DO33+DN34-DW33)))</f>
        <v>58.999999999999986</v>
      </c>
      <c r="DP34" s="18">
        <f>DO34*VLOOKUP('Données projet'!$B$14,Paramètres!$A$1:$I$89,3,0)*VLOOKUP('Données projet'!$B$14,Paramètres!$A$1:$I$89,5,0)</f>
        <v>57.064799999999991</v>
      </c>
      <c r="DQ34" s="14">
        <f t="shared" si="43"/>
        <v>16.424005972947381</v>
      </c>
      <c r="DR34" s="22">
        <f t="shared" si="16"/>
        <v>127.99300373621668</v>
      </c>
      <c r="DS34" s="62">
        <f t="shared" si="17"/>
        <v>421.32633706954999</v>
      </c>
      <c r="DT34" s="62">
        <f ca="1">AVERAGE(OFFSET($DS$3,0,0,'Données projet'!$E$14+1,1))-AVERAGE(OFFSET($H$3,0,0,'Données projet'!$E$14+1,1))</f>
        <v>349.73011349954953</v>
      </c>
      <c r="DU34" s="62">
        <f t="shared" si="44"/>
        <v>154.08406475869634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204.3</v>
      </c>
      <c r="L35" s="13">
        <f>VLOOKUP(A35,'Données projet'!$A$35:$I$55,9,0)</f>
        <v>14.200000000000003</v>
      </c>
      <c r="M35" s="13">
        <f t="array" ref="M35">INDEX(L:L,MIN(IF(ISNUMBER(L35:L231),ROW(L35:L231),"")))</f>
        <v>14.200000000000003</v>
      </c>
      <c r="N35" s="14">
        <f>IF('Données projet'!$A$36&gt;35,N34+M35-V34,IF(A35&lt;'Données projet'!$A$36,$K$205^A35,IF(A35='Données projet'!$A$36,'Données projet'!$B$36,N34+M35-V34)))</f>
        <v>204.29999999999995</v>
      </c>
      <c r="O35" s="14">
        <f>N35*VLOOKUP('Données projet'!$B$9,Paramètres!$A$1:$I$89,3,0)*VLOOKUP('Données projet'!$B$9,Paramètres!$A$1:$I$89,5,0)</f>
        <v>122.17139999999998</v>
      </c>
      <c r="P35" s="14">
        <f t="shared" si="33"/>
        <v>32.180912892911216</v>
      </c>
      <c r="Q35" s="22">
        <f t="shared" ref="Q35:Q66" si="53">(O35+P35)*0.475*44/12</f>
        <v>268.83027828848697</v>
      </c>
      <c r="R35" s="62">
        <f t="shared" si="0"/>
        <v>562.16361162182034</v>
      </c>
      <c r="S35" s="62">
        <f ca="1">AVERAGE(OFFSET($R$3,0,0,'Données projet'!$E$9+1,1))-AVERAGE(OFFSET($H$3,0,0,'Données projet'!$E$9+1,1))</f>
        <v>203.63995177374335</v>
      </c>
      <c r="T35" s="62">
        <f t="shared" si="34"/>
        <v>268.97461244918378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13.628119651996405</v>
      </c>
      <c r="AA35" s="23">
        <f>EXP(-LN(2)/25)*AA34+(1-EXP(-LN(2)/25))/(LN(2)/25)*Calculateur!V35*Calculateur!X35*VLOOKUP('Données projet'!$B$9,Paramètres!$A$1:$I$89,3,0)*0.475*44/12</f>
        <v>11.854694112219166</v>
      </c>
      <c r="AB35" s="23">
        <f>EXP(-LN(2)/2)*AB34+(1-EXP(-LN(2)/2))/(LN(2)/2)*V35*Y35*VLOOKUP('Données projet'!$B$9,Paramètres!$A$1:$I$89,3,0)*0.475*44/12</f>
        <v>1.6010380291999844</v>
      </c>
      <c r="AC35" s="24">
        <f t="shared" si="3"/>
        <v>27.083851793415555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64.895999999999987</v>
      </c>
      <c r="AK35" s="14">
        <f t="shared" si="35"/>
        <v>18.400423846102949</v>
      </c>
      <c r="AL35" s="22">
        <f t="shared" si="4"/>
        <v>145.07460486529592</v>
      </c>
      <c r="AM35" s="62">
        <f t="shared" si="5"/>
        <v>438.40793819862927</v>
      </c>
      <c r="AN35" s="62">
        <f ca="1">AVERAGE(OFFSET($AM$3,0,0,'Données projet'!$E$10+1,1))-AVERAGE(OFFSET($H$3,0,0,'Données projet'!$E$10+1,1))</f>
        <v>364.69354394930866</v>
      </c>
      <c r="AO35" s="62">
        <f t="shared" si="36"/>
        <v>159.6134369231965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5.2</v>
      </c>
      <c r="BD35" s="13">
        <f>IF('Données projet'!$A$88&gt;35,BD34+BC35-BL34,IF(A35&lt;'Données projet'!$A$88,$BA$205^A35,IF(A35='Données projet'!$A$88,'Données projet'!$B$88,BD34+BC35-BL34)))</f>
        <v>76.399999999999977</v>
      </c>
      <c r="BE35" s="14">
        <f>BD35*VLOOKUP('Données projet'!$B$11,Paramètres!$A$1:$I$89,3,0)*VLOOKUP('Données projet'!$B$11,Paramètres!$A$1:$I$89,5,0)</f>
        <v>66.743039999999993</v>
      </c>
      <c r="BF35" s="14">
        <f t="shared" si="37"/>
        <v>18.86241050717809</v>
      </c>
      <c r="BG35" s="22">
        <f t="shared" si="7"/>
        <v>149.09615963333516</v>
      </c>
      <c r="BH35" s="62">
        <f t="shared" si="8"/>
        <v>442.42949296666848</v>
      </c>
      <c r="BI35" s="62">
        <f ca="1">AVERAGE(OFFSET($BH$3,0,0,'Données projet'!$E$11+1,1))-AVERAGE(OFFSET($H$3,0,0,'Données projet'!$E$11+1,1))</f>
        <v>241.00707378755914</v>
      </c>
      <c r="BJ35" s="62">
        <f t="shared" si="38"/>
        <v>239.93573789765657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5.2564102564102573</v>
      </c>
      <c r="BY35" s="13">
        <f>IF('Données projet'!$A$114&gt;35,BY34+BX35-CG34,IF(A35&lt;'Données projet'!$A$114,$BV$205^A35,IF(A35='Données projet'!$A$114,'Données projet'!$B$114,BY34+BX35-CG34)))</f>
        <v>69.487179487179489</v>
      </c>
      <c r="BZ35" s="14">
        <f>BY35*VLOOKUP('Données projet'!$B$12,Paramètres!$A$1:$I$89,3,0)*VLOOKUP('Données projet'!$B$12,Paramètres!$A$1:$I$89,5,0)</f>
        <v>46.612000000000002</v>
      </c>
      <c r="CA35" s="14">
        <f t="shared" si="39"/>
        <v>13.735253080499797</v>
      </c>
      <c r="CB35" s="22">
        <f t="shared" si="10"/>
        <v>105.10479911520382</v>
      </c>
      <c r="CC35" s="62">
        <f t="shared" si="11"/>
        <v>398.43813244853715</v>
      </c>
      <c r="CD35" s="62">
        <f ca="1">AVERAGE(OFFSET($CC$3,0,0,'Données projet'!$E$12+1,1))-AVERAGE(OFFSET($H$3,0,0,'Données projet'!$E$12+1,1))</f>
        <v>207.91006140109965</v>
      </c>
      <c r="CE35" s="62">
        <f t="shared" si="40"/>
        <v>164.93317437647255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5.2564102564102573</v>
      </c>
      <c r="CT35" s="13">
        <f>IF('Données projet'!$A$140&gt;35,CT34+CS35-DB34,IF(A35&lt;'Données projet'!$A$140,$CQ$205^A35,IF(A35='Données projet'!$A$140,'Données projet'!$B$140,CT34+CS35-DB34)))</f>
        <v>69.487179487179489</v>
      </c>
      <c r="CU35" s="18">
        <f>CT35*VLOOKUP('Données projet'!$B$13,Paramètres!$A$1:$I$89,3,0)*VLOOKUP('Données projet'!$B$13,Paramètres!$A$1:$I$89,5,0)</f>
        <v>59.620000000000012</v>
      </c>
      <c r="CV35" s="14">
        <f t="shared" si="41"/>
        <v>17.072157592670699</v>
      </c>
      <c r="CW35" s="22">
        <f t="shared" si="13"/>
        <v>133.57217447390147</v>
      </c>
      <c r="CX35" s="62">
        <f t="shared" si="14"/>
        <v>426.90550780723481</v>
      </c>
      <c r="CY35" s="62">
        <f ca="1">AVERAGE(OFFSET($CX$3,0,0,'Données projet'!$E$13+1,1))-AVERAGE(OFFSET($H$3,0,0,'Données projet'!$E$13+1,1))</f>
        <v>255.77222823147724</v>
      </c>
      <c r="CZ35" s="62">
        <f t="shared" si="42"/>
        <v>199.6931080052031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5</v>
      </c>
      <c r="DO35" s="13">
        <f>IF('Données projet'!$A$166&gt;35,DO34+DN35-DW34,IF(A35&lt;'Données projet'!$A$166,$DL$205^A35,IF(A35='Données projet'!$A$166,'Données projet'!$B$166,DO34+DN35-DW34)))</f>
        <v>63.999999999999986</v>
      </c>
      <c r="DP35" s="18">
        <f>DO35*VLOOKUP('Données projet'!$B$14,Paramètres!$A$1:$I$89,3,0)*VLOOKUP('Données projet'!$B$14,Paramètres!$A$1:$I$89,5,0)</f>
        <v>61.90079999999999</v>
      </c>
      <c r="DQ35" s="14">
        <f t="shared" si="43"/>
        <v>17.647975079256284</v>
      </c>
      <c r="DR35" s="22">
        <f t="shared" si="16"/>
        <v>138.54744992970467</v>
      </c>
      <c r="DS35" s="62">
        <f t="shared" si="17"/>
        <v>431.88078326303798</v>
      </c>
      <c r="DT35" s="62">
        <f ca="1">AVERAGE(OFFSET($DS$3,0,0,'Données projet'!$E$14+1,1))-AVERAGE(OFFSET($H$3,0,0,'Données projet'!$E$14+1,1))</f>
        <v>349.73011349954953</v>
      </c>
      <c r="DU35" s="62">
        <f t="shared" si="44"/>
        <v>154.08406475869634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14.599999999999994</v>
      </c>
      <c r="N36" s="14">
        <f>IF('Données projet'!$A$36&gt;35,N35+M36-V35,IF(A36&lt;'Données projet'!$A$36,$K$205^A36,IF(A36='Données projet'!$A$36,'Données projet'!$B$36,N35+M36-V35)))</f>
        <v>218.89999999999995</v>
      </c>
      <c r="O36" s="14">
        <f>N36*VLOOKUP('Données projet'!$B$9,Paramètres!$A$1:$I$89,3,0)*VLOOKUP('Données projet'!$B$9,Paramètres!$A$1:$I$89,5,0)</f>
        <v>130.90219999999997</v>
      </c>
      <c r="P36" s="14">
        <f t="shared" si="33"/>
        <v>34.204747276294491</v>
      </c>
      <c r="Q36" s="22">
        <f t="shared" si="53"/>
        <v>287.5612665062128</v>
      </c>
      <c r="R36" s="62">
        <f t="shared" si="0"/>
        <v>580.89459983954612</v>
      </c>
      <c r="S36" s="62">
        <f ca="1">AVERAGE(OFFSET($R$3,0,0,'Données projet'!$E$9+1,1))-AVERAGE(OFFSET($H$3,0,0,'Données projet'!$E$9+1,1))</f>
        <v>203.63995177374335</v>
      </c>
      <c r="T36" s="62">
        <f t="shared" si="34"/>
        <v>268.97461244918378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13.360880537952969</v>
      </c>
      <c r="AA36" s="23">
        <f>EXP(-LN(2)/25)*AA35+(1-EXP(-LN(2)/25))/(LN(2)/25)*Calculateur!V36*Calculateur!X36*VLOOKUP('Données projet'!$B$9,Paramètres!$A$1:$I$89,3,0)*0.475*44/12</f>
        <v>11.530526878309264</v>
      </c>
      <c r="AB36" s="23">
        <f>EXP(-LN(2)/2)*AB35+(1-EXP(-LN(2)/2))/(LN(2)/2)*V36*Y36*VLOOKUP('Données projet'!$B$9,Paramètres!$A$1:$I$89,3,0)*0.475*44/12</f>
        <v>1.1321048473848547</v>
      </c>
      <c r="AC36" s="24">
        <f t="shared" si="3"/>
        <v>26.023512263647088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69.965999999999994</v>
      </c>
      <c r="AK36" s="14">
        <f t="shared" si="35"/>
        <v>19.665013934342461</v>
      </c>
      <c r="AL36" s="22">
        <f t="shared" si="4"/>
        <v>156.10734926897979</v>
      </c>
      <c r="AM36" s="62">
        <f t="shared" si="5"/>
        <v>449.44068260231313</v>
      </c>
      <c r="AN36" s="62">
        <f ca="1">AVERAGE(OFFSET($AM$3,0,0,'Données projet'!$E$10+1,1))-AVERAGE(OFFSET($H$3,0,0,'Données projet'!$E$10+1,1))</f>
        <v>364.69354394930866</v>
      </c>
      <c r="AO36" s="62">
        <f t="shared" si="36"/>
        <v>159.6134369231965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5.2</v>
      </c>
      <c r="BD36" s="13">
        <f>IF('Données projet'!$A$88&gt;35,BD35+BC36-BL35,IF(A36&lt;'Données projet'!$A$88,$BA$205^A36,IF(A36='Données projet'!$A$88,'Données projet'!$B$88,BD35+BC36-BL35)))</f>
        <v>81.59999999999998</v>
      </c>
      <c r="BE36" s="14">
        <f>BD36*VLOOKUP('Données projet'!$B$11,Paramètres!$A$1:$I$89,3,0)*VLOOKUP('Données projet'!$B$11,Paramètres!$A$1:$I$89,5,0)</f>
        <v>71.285759999999982</v>
      </c>
      <c r="BF36" s="14">
        <f t="shared" si="37"/>
        <v>19.992418069182566</v>
      </c>
      <c r="BG36" s="22">
        <f t="shared" si="7"/>
        <v>158.97616013715958</v>
      </c>
      <c r="BH36" s="62">
        <f t="shared" si="8"/>
        <v>452.3094934704929</v>
      </c>
      <c r="BI36" s="62">
        <f ca="1">AVERAGE(OFFSET($BH$3,0,0,'Données projet'!$E$11+1,1))-AVERAGE(OFFSET($H$3,0,0,'Données projet'!$E$11+1,1))</f>
        <v>241.00707378755914</v>
      </c>
      <c r="BJ36" s="62">
        <f t="shared" si="38"/>
        <v>239.93573789765657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5.2564102564102573</v>
      </c>
      <c r="BY36" s="13">
        <f>IF('Données projet'!$A$114&gt;35,BY35+BX36-CG35,IF(A36&lt;'Données projet'!$A$114,$BV$205^A36,IF(A36='Données projet'!$A$114,'Données projet'!$B$114,BY35+BX36-CG35)))</f>
        <v>74.743589743589752</v>
      </c>
      <c r="BZ36" s="14">
        <f>BY36*VLOOKUP('Données projet'!$B$12,Paramètres!$A$1:$I$89,3,0)*VLOOKUP('Données projet'!$B$12,Paramètres!$A$1:$I$89,5,0)</f>
        <v>50.138000000000012</v>
      </c>
      <c r="CA36" s="14">
        <f t="shared" si="39"/>
        <v>14.649393046331491</v>
      </c>
      <c r="CB36" s="22">
        <f t="shared" si="10"/>
        <v>112.83804288902736</v>
      </c>
      <c r="CC36" s="62">
        <f t="shared" si="11"/>
        <v>406.17137622236066</v>
      </c>
      <c r="CD36" s="62">
        <f ca="1">AVERAGE(OFFSET($CC$3,0,0,'Données projet'!$E$12+1,1))-AVERAGE(OFFSET($H$3,0,0,'Données projet'!$E$12+1,1))</f>
        <v>207.91006140109965</v>
      </c>
      <c r="CE36" s="62">
        <f t="shared" si="40"/>
        <v>164.93317437647255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5.2564102564102573</v>
      </c>
      <c r="CT36" s="13">
        <f>IF('Données projet'!$A$140&gt;35,CT35+CS36-DB35,IF(A36&lt;'Données projet'!$A$140,$CQ$205^A36,IF(A36='Données projet'!$A$140,'Données projet'!$B$140,CT35+CS36-DB35)))</f>
        <v>74.743589743589752</v>
      </c>
      <c r="CU36" s="18">
        <f>CT36*VLOOKUP('Données projet'!$B$13,Paramètres!$A$1:$I$89,3,0)*VLOOKUP('Données projet'!$B$13,Paramètres!$A$1:$I$89,5,0)</f>
        <v>64.13000000000001</v>
      </c>
      <c r="CV36" s="14">
        <f t="shared" si="41"/>
        <v>18.208382856739114</v>
      </c>
      <c r="CW36" s="22">
        <f t="shared" si="13"/>
        <v>143.40601680882062</v>
      </c>
      <c r="CX36" s="62">
        <f t="shared" si="14"/>
        <v>436.73935014215397</v>
      </c>
      <c r="CY36" s="62">
        <f ca="1">AVERAGE(OFFSET($CX$3,0,0,'Données projet'!$E$13+1,1))-AVERAGE(OFFSET($H$3,0,0,'Données projet'!$E$13+1,1))</f>
        <v>255.77222823147724</v>
      </c>
      <c r="CZ36" s="62">
        <f t="shared" si="42"/>
        <v>199.6931080052031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5</v>
      </c>
      <c r="DO36" s="13">
        <f>IF('Données projet'!$A$166&gt;35,DO35+DN36-DW35,IF(A36&lt;'Données projet'!$A$166,$DL$205^A36,IF(A36='Données projet'!$A$166,'Données projet'!$B$166,DO35+DN36-DW35)))</f>
        <v>68.999999999999986</v>
      </c>
      <c r="DP36" s="18">
        <f>DO36*VLOOKUP('Données projet'!$B$14,Paramètres!$A$1:$I$89,3,0)*VLOOKUP('Données projet'!$B$14,Paramètres!$A$1:$I$89,5,0)</f>
        <v>66.736799999999988</v>
      </c>
      <c r="DQ36" s="14">
        <f t="shared" si="43"/>
        <v>18.860852268900583</v>
      </c>
      <c r="DR36" s="22">
        <f t="shared" si="16"/>
        <v>149.0825777016685</v>
      </c>
      <c r="DS36" s="62">
        <f t="shared" si="17"/>
        <v>442.41591103500184</v>
      </c>
      <c r="DT36" s="62">
        <f ca="1">AVERAGE(OFFSET($DS$3,0,0,'Données projet'!$E$14+1,1))-AVERAGE(OFFSET($H$3,0,0,'Données projet'!$E$14+1,1))</f>
        <v>349.73011349954953</v>
      </c>
      <c r="DU36" s="62">
        <f t="shared" si="44"/>
        <v>154.08406475869634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233.5</v>
      </c>
      <c r="L37" s="13">
        <f>VLOOKUP(A37,'Données projet'!$A$35:$I$55,9,0)</f>
        <v>14.599999999999994</v>
      </c>
      <c r="M37" s="13">
        <f t="array" ref="M37">INDEX(L:L,MIN(IF(ISNUMBER(L37:L233),ROW(L37:L233),"")))</f>
        <v>14.599999999999994</v>
      </c>
      <c r="N37" s="14">
        <f>IF('Données projet'!$A$36&gt;35,N36+M37-V36,IF(A37&lt;'Données projet'!$A$36,$K$205^A37,IF(A37='Données projet'!$A$36,'Données projet'!$B$36,N36+M37-V36)))</f>
        <v>233.49999999999994</v>
      </c>
      <c r="O37" s="14">
        <f>N37*VLOOKUP('Données projet'!$B$9,Paramètres!$A$1:$I$89,3,0)*VLOOKUP('Données projet'!$B$9,Paramètres!$A$1:$I$89,5,0)</f>
        <v>139.63299999999998</v>
      </c>
      <c r="P37" s="14">
        <f t="shared" si="33"/>
        <v>36.212918109047642</v>
      </c>
      <c r="Q37" s="22">
        <f t="shared" si="53"/>
        <v>306.2649740399246</v>
      </c>
      <c r="R37" s="62">
        <f t="shared" si="0"/>
        <v>599.59830737325797</v>
      </c>
      <c r="S37" s="62">
        <f ca="1">AVERAGE(OFFSET($R$3,0,0,'Données projet'!$E$9+1,1))-AVERAGE(OFFSET($H$3,0,0,'Données projet'!$E$9+1,1))</f>
        <v>203.63995177374335</v>
      </c>
      <c r="T37" s="62">
        <f t="shared" si="34"/>
        <v>268.97461244918378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60.2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13.09888181993616</v>
      </c>
      <c r="AA37" s="23">
        <f>EXP(-LN(2)/25)*AA36+(1-EXP(-LN(2)/25))/(LN(2)/25)*Calculateur!V37*Calculateur!X37*VLOOKUP('Données projet'!$B$9,Paramètres!$A$1:$I$89,3,0)*0.475*44/12</f>
        <v>11.215224014457842</v>
      </c>
      <c r="AB37" s="23">
        <f>EXP(-LN(2)/2)*AB36+(1-EXP(-LN(2)/2))/(LN(2)/2)*V37*Y37*VLOOKUP('Données projet'!$B$9,Paramètres!$A$1:$I$89,3,0)*0.475*44/12</f>
        <v>0.80051901459999231</v>
      </c>
      <c r="AC37" s="24">
        <f t="shared" si="3"/>
        <v>25.114624848993994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75.035999999999987</v>
      </c>
      <c r="AK37" s="14">
        <f t="shared" si="35"/>
        <v>20.918972521981534</v>
      </c>
      <c r="AL37" s="22">
        <f t="shared" si="4"/>
        <v>167.12157714245114</v>
      </c>
      <c r="AM37" s="62">
        <f t="shared" si="5"/>
        <v>460.45491047578446</v>
      </c>
      <c r="AN37" s="62">
        <f ca="1">AVERAGE(OFFSET($AM$3,0,0,'Données projet'!$E$10+1,1))-AVERAGE(OFFSET($H$3,0,0,'Données projet'!$E$10+1,1))</f>
        <v>364.69354394930866</v>
      </c>
      <c r="AO37" s="62">
        <f t="shared" si="36"/>
        <v>159.6134369231965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5.2</v>
      </c>
      <c r="BD37" s="13">
        <f>IF('Données projet'!$A$88&gt;35,BD36+BC37-BL36,IF(A37&lt;'Données projet'!$A$88,$BA$205^A37,IF(A37='Données projet'!$A$88,'Données projet'!$B$88,BD36+BC37-BL36)))</f>
        <v>86.799999999999983</v>
      </c>
      <c r="BE37" s="14">
        <f>BD37*VLOOKUP('Données projet'!$B$11,Paramètres!$A$1:$I$89,3,0)*VLOOKUP('Données projet'!$B$11,Paramètres!$A$1:$I$89,5,0)</f>
        <v>75.828479999999999</v>
      </c>
      <c r="BF37" s="14">
        <f t="shared" si="37"/>
        <v>21.114068675464956</v>
      </c>
      <c r="BG37" s="22">
        <f t="shared" si="7"/>
        <v>168.84160560976815</v>
      </c>
      <c r="BH37" s="62">
        <f t="shared" si="8"/>
        <v>462.17493894310144</v>
      </c>
      <c r="BI37" s="62">
        <f ca="1">AVERAGE(OFFSET($BH$3,0,0,'Données projet'!$E$11+1,1))-AVERAGE(OFFSET($H$3,0,0,'Données projet'!$E$11+1,1))</f>
        <v>241.00707378755914</v>
      </c>
      <c r="BJ37" s="62">
        <f t="shared" si="38"/>
        <v>239.93573789765657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5.2564102564102573</v>
      </c>
      <c r="BY37" s="13">
        <f>IF('Données projet'!$A$114&gt;35,BY36+BX37-CG36,IF(A37&lt;'Données projet'!$A$114,$BV$205^A37,IF(A37='Données projet'!$A$114,'Données projet'!$B$114,BY36+BX37-CG36)))</f>
        <v>80.000000000000014</v>
      </c>
      <c r="BZ37" s="14">
        <f>BY37*VLOOKUP('Données projet'!$B$12,Paramètres!$A$1:$I$89,3,0)*VLOOKUP('Données projet'!$B$12,Paramètres!$A$1:$I$89,5,0)</f>
        <v>53.664000000000009</v>
      </c>
      <c r="CA37" s="14">
        <f t="shared" si="39"/>
        <v>15.556073979202782</v>
      </c>
      <c r="CB37" s="22">
        <f t="shared" si="10"/>
        <v>120.55829551377821</v>
      </c>
      <c r="CC37" s="62">
        <f t="shared" si="11"/>
        <v>413.89162884711152</v>
      </c>
      <c r="CD37" s="62">
        <f ca="1">AVERAGE(OFFSET($CC$3,0,0,'Données projet'!$E$12+1,1))-AVERAGE(OFFSET($H$3,0,0,'Données projet'!$E$12+1,1))</f>
        <v>207.91006140109965</v>
      </c>
      <c r="CE37" s="62">
        <f t="shared" si="40"/>
        <v>164.93317437647255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5.2564102564102573</v>
      </c>
      <c r="CT37" s="13">
        <f>IF('Données projet'!$A$140&gt;35,CT36+CS37-DB36,IF(A37&lt;'Données projet'!$A$140,$CQ$205^A37,IF(A37='Données projet'!$A$140,'Données projet'!$B$140,CT36+CS37-DB36)))</f>
        <v>80.000000000000014</v>
      </c>
      <c r="CU37" s="18">
        <f>CT37*VLOOKUP('Données projet'!$B$13,Paramètres!$A$1:$I$89,3,0)*VLOOKUP('Données projet'!$B$13,Paramètres!$A$1:$I$89,5,0)</f>
        <v>68.640000000000029</v>
      </c>
      <c r="CV37" s="14">
        <f t="shared" si="41"/>
        <v>19.335336956640216</v>
      </c>
      <c r="CW37" s="22">
        <f t="shared" si="13"/>
        <v>153.22371186614842</v>
      </c>
      <c r="CX37" s="62">
        <f t="shared" si="14"/>
        <v>446.55704519948176</v>
      </c>
      <c r="CY37" s="62">
        <f ca="1">AVERAGE(OFFSET($CX$3,0,0,'Données projet'!$E$13+1,1))-AVERAGE(OFFSET($H$3,0,0,'Données projet'!$E$13+1,1))</f>
        <v>255.77222823147724</v>
      </c>
      <c r="CZ37" s="62">
        <f t="shared" si="42"/>
        <v>199.6931080052031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5</v>
      </c>
      <c r="DO37" s="13">
        <f>IF('Données projet'!$A$166&gt;35,DO36+DN37-DW36,IF(A37&lt;'Données projet'!$A$166,$DL$205^A37,IF(A37='Données projet'!$A$166,'Données projet'!$B$166,DO36+DN37-DW36)))</f>
        <v>73.999999999999986</v>
      </c>
      <c r="DP37" s="18">
        <f>DO37*VLOOKUP('Données projet'!$B$14,Paramètres!$A$1:$I$89,3,0)*VLOOKUP('Données projet'!$B$14,Paramètres!$A$1:$I$89,5,0)</f>
        <v>71.572799999999987</v>
      </c>
      <c r="DQ37" s="14">
        <f t="shared" si="43"/>
        <v>20.063532712034</v>
      </c>
      <c r="DR37" s="22">
        <f t="shared" si="16"/>
        <v>159.59994614012587</v>
      </c>
      <c r="DS37" s="62">
        <f t="shared" si="17"/>
        <v>452.93327947345915</v>
      </c>
      <c r="DT37" s="62">
        <f ca="1">AVERAGE(OFFSET($DS$3,0,0,'Données projet'!$E$14+1,1))-AVERAGE(OFFSET($H$3,0,0,'Données projet'!$E$14+1,1))</f>
        <v>349.73011349954953</v>
      </c>
      <c r="DU37" s="62">
        <f t="shared" si="44"/>
        <v>154.08406475869634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11.625</v>
      </c>
      <c r="N38" s="14">
        <f>IF('Données projet'!$A$36&gt;35,N37+M38-V37,IF(A38&lt;'Données projet'!$A$36,$K$205^A38,IF(A38='Données projet'!$A$36,'Données projet'!$B$36,N37+M38-V37)))</f>
        <v>184.92499999999995</v>
      </c>
      <c r="O38" s="14">
        <f>N38*VLOOKUP('Données projet'!$B$9,Paramètres!$A$1:$I$89,3,0)*VLOOKUP('Données projet'!$B$9,Paramètres!$A$1:$I$89,5,0)</f>
        <v>110.58514999999998</v>
      </c>
      <c r="P38" s="14">
        <f t="shared" si="33"/>
        <v>29.468807877872276</v>
      </c>
      <c r="Q38" s="22">
        <f t="shared" si="53"/>
        <v>243.92730997062753</v>
      </c>
      <c r="R38" s="62">
        <f t="shared" si="0"/>
        <v>537.26064330396082</v>
      </c>
      <c r="S38" s="62">
        <f ca="1">AVERAGE(OFFSET($R$3,0,0,'Données projet'!$E$9+1,1))-AVERAGE(OFFSET($H$3,0,0,'Données projet'!$E$9+1,1))</f>
        <v>203.63995177374335</v>
      </c>
      <c r="T38" s="62">
        <f t="shared" si="34"/>
        <v>268.97461244918378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12.842020736976222</v>
      </c>
      <c r="AA38" s="23">
        <f>EXP(-LN(2)/25)*AA37+(1-EXP(-LN(2)/25))/(LN(2)/25)*Calculateur!V38*Calculateur!X38*VLOOKUP('Données projet'!$B$9,Paramètres!$A$1:$I$89,3,0)*0.475*44/12</f>
        <v>10.908543123999495</v>
      </c>
      <c r="AB38" s="23">
        <f>EXP(-LN(2)/2)*AB37+(1-EXP(-LN(2)/2))/(LN(2)/2)*V38*Y38*VLOOKUP('Données projet'!$B$9,Paramètres!$A$1:$I$89,3,0)*0.475*44/12</f>
        <v>0.56605242369242748</v>
      </c>
      <c r="AC38" s="24">
        <f t="shared" si="3"/>
        <v>24.316616284668143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80.105999999999995</v>
      </c>
      <c r="AK38" s="14">
        <f t="shared" si="35"/>
        <v>22.163099682076496</v>
      </c>
      <c r="AL38" s="22">
        <f t="shared" si="4"/>
        <v>178.11868194628323</v>
      </c>
      <c r="AM38" s="62">
        <f t="shared" si="5"/>
        <v>471.45201527961655</v>
      </c>
      <c r="AN38" s="62">
        <f ca="1">AVERAGE(OFFSET($AM$3,0,0,'Données projet'!$E$10+1,1))-AVERAGE(OFFSET($H$3,0,0,'Données projet'!$E$10+1,1))</f>
        <v>364.69354394930866</v>
      </c>
      <c r="AO38" s="62">
        <f t="shared" si="36"/>
        <v>159.6134369231965</v>
      </c>
      <c r="AP38" s="16">
        <f>IF(ISNA(VLOOKUP(A38,'Données projet'!$A$61:$I$81,3,0)),0,VLOOKUP(A38,'Données projet'!$A$61:$I$81,3,0))</f>
        <v>1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92</v>
      </c>
      <c r="BB38" s="13">
        <f>VLOOKUP(A38,'Données projet'!$A$87:$I$107,9,0)</f>
        <v>5.2</v>
      </c>
      <c r="BC38" s="13">
        <f t="array" ref="BC38">INDEX(BB:BB,MIN(IF(ISNUMBER(BB38:BB234),ROW(BB38:BB234),"")))</f>
        <v>5.2</v>
      </c>
      <c r="BD38" s="13">
        <f>IF('Données projet'!$A$88&gt;35,BD37+BC38-BL37,IF(A38&lt;'Données projet'!$A$88,$BA$205^A38,IF(A38='Données projet'!$A$88,'Données projet'!$B$88,BD37+BC38-BL37)))</f>
        <v>91.999999999999986</v>
      </c>
      <c r="BE38" s="14">
        <f>BD38*VLOOKUP('Données projet'!$B$11,Paramètres!$A$1:$I$89,3,0)*VLOOKUP('Données projet'!$B$11,Paramètres!$A$1:$I$89,5,0)</f>
        <v>80.371200000000002</v>
      </c>
      <c r="BF38" s="14">
        <f t="shared" si="37"/>
        <v>22.22791999099082</v>
      </c>
      <c r="BG38" s="22">
        <f t="shared" si="7"/>
        <v>178.69346731764233</v>
      </c>
      <c r="BH38" s="62">
        <f t="shared" si="8"/>
        <v>472.02680065097564</v>
      </c>
      <c r="BI38" s="62">
        <f ca="1">AVERAGE(OFFSET($BH$3,0,0,'Données projet'!$E$11+1,1))-AVERAGE(OFFSET($H$3,0,0,'Données projet'!$E$11+1,1))</f>
        <v>241.00707378755914</v>
      </c>
      <c r="BJ38" s="62">
        <f t="shared" si="38"/>
        <v>239.93573789765657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85.256410256410248</v>
      </c>
      <c r="BW38" s="13">
        <f>VLOOKUP(A38,'Données projet'!$A$113:$I$133,9,0)</f>
        <v>5.2564102564102573</v>
      </c>
      <c r="BX38" s="13">
        <f t="array" ref="BX38">INDEX(BW:BW,MIN(IF(ISNUMBER(BW38:BW234),ROW(BW38:BW234),"")))</f>
        <v>5.2564102564102573</v>
      </c>
      <c r="BY38" s="13">
        <f>IF('Données projet'!$A$114&gt;35,BY37+BX38-CG37,IF(A38&lt;'Données projet'!$A$114,$BV$205^A38,IF(A38='Données projet'!$A$114,'Données projet'!$B$114,BY37+BX38-CG37)))</f>
        <v>85.256410256410277</v>
      </c>
      <c r="BZ38" s="14">
        <f>BY38*VLOOKUP('Données projet'!$B$12,Paramètres!$A$1:$I$89,3,0)*VLOOKUP('Données projet'!$B$12,Paramètres!$A$1:$I$89,5,0)</f>
        <v>57.190000000000012</v>
      </c>
      <c r="CA38" s="14">
        <f t="shared" si="39"/>
        <v>16.455841747257008</v>
      </c>
      <c r="CB38" s="22">
        <f t="shared" si="10"/>
        <v>128.26650770980598</v>
      </c>
      <c r="CC38" s="62">
        <f t="shared" si="11"/>
        <v>421.59984104313929</v>
      </c>
      <c r="CD38" s="62">
        <f ca="1">AVERAGE(OFFSET($CC$3,0,0,'Données projet'!$E$12+1,1))-AVERAGE(OFFSET($H$3,0,0,'Données projet'!$E$12+1,1))</f>
        <v>207.91006140109965</v>
      </c>
      <c r="CE38" s="62">
        <f t="shared" si="40"/>
        <v>164.93317437647255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85.256410256410248</v>
      </c>
      <c r="CR38" s="13">
        <f>VLOOKUP(A38,'Données projet'!$A$139:$I$159,9,0)</f>
        <v>5.2564102564102573</v>
      </c>
      <c r="CS38" s="13">
        <f t="array" ref="CS38">INDEX(CR:CR,MIN(IF(ISNUMBER(CR38:CR234),ROW(CR38:CR234),"")))</f>
        <v>5.2564102564102573</v>
      </c>
      <c r="CT38" s="13">
        <f>IF('Données projet'!$A$140&gt;35,CT37+CS38-DB37,IF(A38&lt;'Données projet'!$A$140,$CQ$205^A38,IF(A38='Données projet'!$A$140,'Données projet'!$B$140,CT37+CS38-DB37)))</f>
        <v>85.256410256410277</v>
      </c>
      <c r="CU38" s="18">
        <f>CT38*VLOOKUP('Données projet'!$B$13,Paramètres!$A$1:$I$89,3,0)*VLOOKUP('Données projet'!$B$13,Paramètres!$A$1:$I$89,5,0)</f>
        <v>73.15000000000002</v>
      </c>
      <c r="CV38" s="14">
        <f t="shared" si="41"/>
        <v>20.453698376193206</v>
      </c>
      <c r="CW38" s="22">
        <f t="shared" si="13"/>
        <v>163.02644133853653</v>
      </c>
      <c r="CX38" s="62">
        <f t="shared" si="14"/>
        <v>456.35977467186984</v>
      </c>
      <c r="CY38" s="62">
        <f ca="1">AVERAGE(OFFSET($CX$3,0,0,'Données projet'!$E$13+1,1))-AVERAGE(OFFSET($H$3,0,0,'Données projet'!$E$13+1,1))</f>
        <v>255.77222823147724</v>
      </c>
      <c r="CZ38" s="62">
        <f t="shared" si="42"/>
        <v>199.6931080052031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79</v>
      </c>
      <c r="DM38" s="13">
        <f>VLOOKUP(A38,'Données projet'!$A$165:$I$185,9,0)</f>
        <v>5</v>
      </c>
      <c r="DN38" s="13">
        <f t="array" ref="DN38">INDEX(DM:DM,MIN(IF(ISNUMBER(DM38:DM234),ROW(DM38:DM234),"")))</f>
        <v>5</v>
      </c>
      <c r="DO38" s="13">
        <f>IF('Données projet'!$A$166&gt;35,DO37+DN38-DW37,IF(A38&lt;'Données projet'!$A$166,$DL$205^A38,IF(A38='Données projet'!$A$166,'Données projet'!$B$166,DO37+DN38-DW37)))</f>
        <v>78.999999999999986</v>
      </c>
      <c r="DP38" s="18">
        <f>DO38*VLOOKUP('Données projet'!$B$14,Paramètres!$A$1:$I$89,3,0)*VLOOKUP('Données projet'!$B$14,Paramètres!$A$1:$I$89,5,0)</f>
        <v>76.408799999999985</v>
      </c>
      <c r="DQ38" s="14">
        <f t="shared" si="43"/>
        <v>21.256783764315173</v>
      </c>
      <c r="DR38" s="22">
        <f t="shared" si="16"/>
        <v>170.1008917228489</v>
      </c>
      <c r="DS38" s="62">
        <f t="shared" si="17"/>
        <v>463.43422505618219</v>
      </c>
      <c r="DT38" s="62">
        <f ca="1">AVERAGE(OFFSET($DS$3,0,0,'Données projet'!$E$14+1,1))-AVERAGE(OFFSET($H$3,0,0,'Données projet'!$E$14+1,1))</f>
        <v>349.73011349954953</v>
      </c>
      <c r="DU38" s="62">
        <f t="shared" si="44"/>
        <v>154.08406475869634</v>
      </c>
      <c r="DV38" s="16">
        <f>IF(ISNA(VLOOKUP(A38,'Données projet'!$A$165:$I$185,3,0)),0,VLOOKUP(A38,'Données projet'!$A$165:$I$185,3,0))</f>
        <v>1</v>
      </c>
      <c r="DW38" s="16">
        <f>IF(ISNA(VLOOKUP(A38,'Données projet'!$A$165:$I$185,4,0)),0,VLOOKUP(A38,'Données projet'!$A$165:$I$185,4,0))</f>
        <v>13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11.625</v>
      </c>
      <c r="N39" s="14">
        <f>IF('Données projet'!$A$36&gt;35,N38+M39-V38,IF(A39&lt;'Données projet'!$A$36,$K$205^A39,IF(A39='Données projet'!$A$36,'Données projet'!$B$36,N38+M39-V38)))</f>
        <v>196.54999999999995</v>
      </c>
      <c r="O39" s="14">
        <f>N39*VLOOKUP('Données projet'!$B$9,Paramètres!$A$1:$I$89,3,0)*VLOOKUP('Données projet'!$B$9,Paramètres!$A$1:$I$89,5,0)</f>
        <v>117.53689999999997</v>
      </c>
      <c r="P39" s="14">
        <f t="shared" si="33"/>
        <v>31.099830095174941</v>
      </c>
      <c r="Q39" s="22">
        <f t="shared" si="53"/>
        <v>258.87563824909631</v>
      </c>
      <c r="R39" s="62">
        <f t="shared" si="0"/>
        <v>552.20897158242963</v>
      </c>
      <c r="S39" s="62">
        <f ca="1">AVERAGE(OFFSET($R$3,0,0,'Données projet'!$E$9+1,1))-AVERAGE(OFFSET($H$3,0,0,'Données projet'!$E$9+1,1))</f>
        <v>203.63995177374335</v>
      </c>
      <c r="T39" s="62">
        <f t="shared" si="34"/>
        <v>268.97461244918378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12.590196543183337</v>
      </c>
      <c r="AA39" s="23">
        <f>EXP(-LN(2)/25)*AA38+(1-EXP(-LN(2)/25))/(LN(2)/25)*Calculateur!V39*Calculateur!X39*VLOOKUP('Données projet'!$B$9,Paramètres!$A$1:$I$89,3,0)*0.475*44/12</f>
        <v>10.610248438618378</v>
      </c>
      <c r="AB39" s="23">
        <f>EXP(-LN(2)/2)*AB38+(1-EXP(-LN(2)/2))/(LN(2)/2)*V39*Y39*VLOOKUP('Données projet'!$B$9,Paramètres!$A$1:$I$89,3,0)*0.475*44/12</f>
        <v>0.40025950729999621</v>
      </c>
      <c r="AC39" s="24">
        <f t="shared" si="3"/>
        <v>23.600704489101712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72.399599999999992</v>
      </c>
      <c r="AK39" s="14">
        <f t="shared" si="35"/>
        <v>20.268188832715463</v>
      </c>
      <c r="AL39" s="22">
        <f t="shared" si="4"/>
        <v>161.3963988836461</v>
      </c>
      <c r="AM39" s="62">
        <f t="shared" si="5"/>
        <v>454.72973221697941</v>
      </c>
      <c r="AN39" s="62">
        <f ca="1">AVERAGE(OFFSET($AM$3,0,0,'Données projet'!$E$10+1,1))-AVERAGE(OFFSET($H$3,0,0,'Données projet'!$E$10+1,1))</f>
        <v>364.69354394930866</v>
      </c>
      <c r="AO39" s="62">
        <f t="shared" si="36"/>
        <v>159.6134369231965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4.8</v>
      </c>
      <c r="BD39" s="13">
        <f>IF('Données projet'!$A$88&gt;35,BD38+BC39-BL38,IF(A39&lt;'Données projet'!$A$88,$BA$205^A39,IF(A39='Données projet'!$A$88,'Données projet'!$B$88,BD38+BC39-BL38)))</f>
        <v>96.799999999999983</v>
      </c>
      <c r="BE39" s="14">
        <f>BD39*VLOOKUP('Données projet'!$B$11,Paramètres!$A$1:$I$89,3,0)*VLOOKUP('Données projet'!$B$11,Paramètres!$A$1:$I$89,5,0)</f>
        <v>84.564480000000003</v>
      </c>
      <c r="BF39" s="14">
        <f t="shared" si="37"/>
        <v>23.249593625538633</v>
      </c>
      <c r="BG39" s="22">
        <f t="shared" si="7"/>
        <v>187.77617823114647</v>
      </c>
      <c r="BH39" s="62">
        <f t="shared" si="8"/>
        <v>481.10951156447982</v>
      </c>
      <c r="BI39" s="62">
        <f ca="1">AVERAGE(OFFSET($BH$3,0,0,'Données projet'!$E$11+1,1))-AVERAGE(OFFSET($H$3,0,0,'Données projet'!$E$11+1,1))</f>
        <v>241.00707378755914</v>
      </c>
      <c r="BJ39" s="62">
        <f t="shared" si="38"/>
        <v>239.93573789765657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5.1282051282051295</v>
      </c>
      <c r="BY39" s="13">
        <f>IF('Données projet'!$A$114&gt;35,BY38+BX39-CG38,IF(A39&lt;'Données projet'!$A$114,$BV$205^A39,IF(A39='Données projet'!$A$114,'Données projet'!$B$114,BY38+BX39-CG38)))</f>
        <v>90.384615384615401</v>
      </c>
      <c r="BZ39" s="14">
        <f>BY39*VLOOKUP('Données projet'!$B$12,Paramètres!$A$1:$I$89,3,0)*VLOOKUP('Données projet'!$B$12,Paramètres!$A$1:$I$89,5,0)</f>
        <v>60.63000000000001</v>
      </c>
      <c r="CA39" s="14">
        <f t="shared" si="39"/>
        <v>17.327455818672355</v>
      </c>
      <c r="CB39" s="22">
        <f t="shared" si="10"/>
        <v>135.77590221752106</v>
      </c>
      <c r="CC39" s="62">
        <f t="shared" si="11"/>
        <v>429.10923555085435</v>
      </c>
      <c r="CD39" s="62">
        <f ca="1">AVERAGE(OFFSET($CC$3,0,0,'Données projet'!$E$12+1,1))-AVERAGE(OFFSET($H$3,0,0,'Données projet'!$E$12+1,1))</f>
        <v>207.91006140109965</v>
      </c>
      <c r="CE39" s="62">
        <f t="shared" si="40"/>
        <v>164.93317437647255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5.1282051282051295</v>
      </c>
      <c r="CT39" s="13">
        <f>IF('Données projet'!$A$140&gt;35,CT38+CS39-DB38,IF(A39&lt;'Données projet'!$A$140,$CQ$205^A39,IF(A39='Données projet'!$A$140,'Données projet'!$B$140,CT38+CS39-DB38)))</f>
        <v>90.384615384615401</v>
      </c>
      <c r="CU39" s="18">
        <f>CT39*VLOOKUP('Données projet'!$B$13,Paramètres!$A$1:$I$89,3,0)*VLOOKUP('Données projet'!$B$13,Paramètres!$A$1:$I$89,5,0)</f>
        <v>77.550000000000026</v>
      </c>
      <c r="CV39" s="14">
        <f t="shared" si="41"/>
        <v>21.537066312697981</v>
      </c>
      <c r="CW39" s="22">
        <f t="shared" si="13"/>
        <v>172.57664049461565</v>
      </c>
      <c r="CX39" s="62">
        <f t="shared" si="14"/>
        <v>465.90997382794899</v>
      </c>
      <c r="CY39" s="62">
        <f ca="1">AVERAGE(OFFSET($CX$3,0,0,'Données projet'!$E$13+1,1))-AVERAGE(OFFSET($H$3,0,0,'Données projet'!$E$13+1,1))</f>
        <v>255.77222823147724</v>
      </c>
      <c r="CZ39" s="62">
        <f t="shared" si="42"/>
        <v>199.6931080052031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5.4</v>
      </c>
      <c r="DO39" s="13">
        <f>IF('Données projet'!$A$166&gt;35,DO38+DN39-DW38,IF(A39&lt;'Données projet'!$A$166,$DL$205^A39,IF(A39='Données projet'!$A$166,'Données projet'!$B$166,DO38+DN39-DW38)))</f>
        <v>71.399999999999991</v>
      </c>
      <c r="DP39" s="18">
        <f>DO39*VLOOKUP('Données projet'!$B$14,Paramètres!$A$1:$I$89,3,0)*VLOOKUP('Données projet'!$B$14,Paramètres!$A$1:$I$89,5,0)</f>
        <v>69.05807999999999</v>
      </c>
      <c r="DQ39" s="14">
        <f t="shared" si="43"/>
        <v>19.439361528467131</v>
      </c>
      <c r="DR39" s="22">
        <f t="shared" si="16"/>
        <v>154.13304399541357</v>
      </c>
      <c r="DS39" s="62">
        <f t="shared" si="17"/>
        <v>447.46637732874689</v>
      </c>
      <c r="DT39" s="62">
        <f ca="1">AVERAGE(OFFSET($DS$3,0,0,'Données projet'!$E$14+1,1))-AVERAGE(OFFSET($H$3,0,0,'Données projet'!$E$14+1,1))</f>
        <v>349.73011349954953</v>
      </c>
      <c r="DU39" s="62">
        <f t="shared" si="44"/>
        <v>154.08406475869634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11.625</v>
      </c>
      <c r="N40" s="14">
        <f>IF('Données projet'!$A$36&gt;35,N39+M40-V39,IF(A40&lt;'Données projet'!$A$36,$K$205^A40,IF(A40='Données projet'!$A$36,'Données projet'!$B$36,N39+M40-V39)))</f>
        <v>208.17499999999995</v>
      </c>
      <c r="O40" s="14">
        <f>N40*VLOOKUP('Données projet'!$B$9,Paramètres!$A$1:$I$89,3,0)*VLOOKUP('Données projet'!$B$9,Paramètres!$A$1:$I$89,5,0)</f>
        <v>124.48864999999998</v>
      </c>
      <c r="P40" s="14">
        <f t="shared" si="33"/>
        <v>32.719655200894756</v>
      </c>
      <c r="Q40" s="22">
        <f t="shared" si="53"/>
        <v>273.80446489155833</v>
      </c>
      <c r="R40" s="62">
        <f t="shared" si="0"/>
        <v>567.13779822489164</v>
      </c>
      <c r="S40" s="62">
        <f ca="1">AVERAGE(OFFSET($R$3,0,0,'Données projet'!$E$9+1,1))-AVERAGE(OFFSET($H$3,0,0,'Données projet'!$E$9+1,1))</f>
        <v>203.63995177374335</v>
      </c>
      <c r="T40" s="62">
        <f t="shared" si="34"/>
        <v>268.97461244918378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12.343310468233138</v>
      </c>
      <c r="AA40" s="23">
        <f>EXP(-LN(2)/25)*AA39+(1-EXP(-LN(2)/25))/(LN(2)/25)*Calculateur!V40*Calculateur!X40*VLOOKUP('Données projet'!$B$9,Paramètres!$A$1:$I$89,3,0)*0.475*44/12</f>
        <v>10.320110637095643</v>
      </c>
      <c r="AB40" s="23">
        <f>EXP(-LN(2)/2)*AB39+(1-EXP(-LN(2)/2))/(LN(2)/2)*V40*Y40*VLOOKUP('Données projet'!$B$9,Paramètres!$A$1:$I$89,3,0)*0.475*44/12</f>
        <v>0.28302621184621374</v>
      </c>
      <c r="AC40" s="24">
        <f t="shared" si="3"/>
        <v>22.946447317174993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77.875200000000007</v>
      </c>
      <c r="AK40" s="14">
        <f t="shared" si="35"/>
        <v>21.616848354491538</v>
      </c>
      <c r="AL40" s="22">
        <f t="shared" si="4"/>
        <v>173.28198421740612</v>
      </c>
      <c r="AM40" s="62">
        <f t="shared" si="5"/>
        <v>466.61531755073941</v>
      </c>
      <c r="AN40" s="62">
        <f ca="1">AVERAGE(OFFSET($AM$3,0,0,'Données projet'!$E$10+1,1))-AVERAGE(OFFSET($H$3,0,0,'Données projet'!$E$10+1,1))</f>
        <v>364.69354394930866</v>
      </c>
      <c r="AO40" s="62">
        <f t="shared" si="36"/>
        <v>159.6134369231965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4.8</v>
      </c>
      <c r="BD40" s="13">
        <f>IF('Données projet'!$A$88&gt;35,BD39+BC40-BL39,IF(A40&lt;'Données projet'!$A$88,$BA$205^A40,IF(A40='Données projet'!$A$88,'Données projet'!$B$88,BD39+BC40-BL39)))</f>
        <v>101.59999999999998</v>
      </c>
      <c r="BE40" s="14">
        <f>BD40*VLOOKUP('Données projet'!$B$11,Paramètres!$A$1:$I$89,3,0)*VLOOKUP('Données projet'!$B$11,Paramètres!$A$1:$I$89,5,0)</f>
        <v>88.75775999999999</v>
      </c>
      <c r="BF40" s="14">
        <f t="shared" si="37"/>
        <v>24.265384701755004</v>
      </c>
      <c r="BG40" s="22">
        <f t="shared" si="7"/>
        <v>196.84864368888995</v>
      </c>
      <c r="BH40" s="62">
        <f t="shared" si="8"/>
        <v>490.18197702222324</v>
      </c>
      <c r="BI40" s="62">
        <f ca="1">AVERAGE(OFFSET($BH$3,0,0,'Données projet'!$E$11+1,1))-AVERAGE(OFFSET($H$3,0,0,'Données projet'!$E$11+1,1))</f>
        <v>241.00707378755914</v>
      </c>
      <c r="BJ40" s="62">
        <f t="shared" si="38"/>
        <v>239.93573789765657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5.1282051282051295</v>
      </c>
      <c r="BY40" s="13">
        <f>IF('Données projet'!$A$114&gt;35,BY39+BX40-CG39,IF(A40&lt;'Données projet'!$A$114,$BV$205^A40,IF(A40='Données projet'!$A$114,'Données projet'!$B$114,BY39+BX40-CG39)))</f>
        <v>95.512820512820525</v>
      </c>
      <c r="BZ40" s="14">
        <f>BY40*VLOOKUP('Données projet'!$B$12,Paramètres!$A$1:$I$89,3,0)*VLOOKUP('Données projet'!$B$12,Paramètres!$A$1:$I$89,5,0)</f>
        <v>64.070000000000007</v>
      </c>
      <c r="CA40" s="14">
        <f t="shared" si="39"/>
        <v>18.193329243637638</v>
      </c>
      <c r="CB40" s="22">
        <f t="shared" si="10"/>
        <v>143.2752984326689</v>
      </c>
      <c r="CC40" s="62">
        <f t="shared" si="11"/>
        <v>436.60863176600219</v>
      </c>
      <c r="CD40" s="62">
        <f ca="1">AVERAGE(OFFSET($CC$3,0,0,'Données projet'!$E$12+1,1))-AVERAGE(OFFSET($H$3,0,0,'Données projet'!$E$12+1,1))</f>
        <v>207.91006140109965</v>
      </c>
      <c r="CE40" s="62">
        <f t="shared" si="40"/>
        <v>164.93317437647255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5.1282051282051295</v>
      </c>
      <c r="CT40" s="13">
        <f>IF('Données projet'!$A$140&gt;35,CT39+CS40-DB39,IF(A40&lt;'Données projet'!$A$140,$CQ$205^A40,IF(A40='Données projet'!$A$140,'Données projet'!$B$140,CT39+CS40-DB39)))</f>
        <v>95.512820512820525</v>
      </c>
      <c r="CU40" s="18">
        <f>CT40*VLOOKUP('Données projet'!$B$13,Paramètres!$A$1:$I$89,3,0)*VLOOKUP('Données projet'!$B$13,Paramètres!$A$1:$I$89,5,0)</f>
        <v>81.950000000000017</v>
      </c>
      <c r="CV40" s="14">
        <f t="shared" si="41"/>
        <v>22.613298944137423</v>
      </c>
      <c r="CW40" s="22">
        <f t="shared" si="13"/>
        <v>182.11441232770605</v>
      </c>
      <c r="CX40" s="62">
        <f t="shared" si="14"/>
        <v>475.44774566103933</v>
      </c>
      <c r="CY40" s="62">
        <f ca="1">AVERAGE(OFFSET($CX$3,0,0,'Données projet'!$E$13+1,1))-AVERAGE(OFFSET($H$3,0,0,'Données projet'!$E$13+1,1))</f>
        <v>255.77222823147724</v>
      </c>
      <c r="CZ40" s="62">
        <f t="shared" si="42"/>
        <v>199.6931080052031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5.4</v>
      </c>
      <c r="DO40" s="13">
        <f>IF('Données projet'!$A$166&gt;35,DO39+DN40-DW39,IF(A40&lt;'Données projet'!$A$166,$DL$205^A40,IF(A40='Données projet'!$A$166,'Données projet'!$B$166,DO39+DN40-DW39)))</f>
        <v>76.8</v>
      </c>
      <c r="DP40" s="18">
        <f>DO40*VLOOKUP('Données projet'!$B$14,Paramètres!$A$1:$I$89,3,0)*VLOOKUP('Données projet'!$B$14,Paramètres!$A$1:$I$89,5,0)</f>
        <v>74.280960000000007</v>
      </c>
      <c r="DQ40" s="14">
        <f t="shared" si="43"/>
        <v>20.732870299230971</v>
      </c>
      <c r="DR40" s="22">
        <f t="shared" si="16"/>
        <v>165.48242110449394</v>
      </c>
      <c r="DS40" s="62">
        <f t="shared" si="17"/>
        <v>458.81575443782725</v>
      </c>
      <c r="DT40" s="62">
        <f ca="1">AVERAGE(OFFSET($DS$3,0,0,'Données projet'!$E$14+1,1))-AVERAGE(OFFSET($H$3,0,0,'Données projet'!$E$14+1,1))</f>
        <v>349.73011349954953</v>
      </c>
      <c r="DU40" s="62">
        <f t="shared" si="44"/>
        <v>154.08406475869634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219.8</v>
      </c>
      <c r="L41" s="13">
        <f>VLOOKUP(A41,'Données projet'!$A$35:$I$55,9,0)</f>
        <v>11.625</v>
      </c>
      <c r="M41" s="13">
        <f t="array" ref="M41">INDEX(L:L,MIN(IF(ISNUMBER(L41:L237),ROW(L41:L237),"")))</f>
        <v>11.625</v>
      </c>
      <c r="N41" s="14">
        <f>IF('Données projet'!$A$36&gt;35,N40+M41-V40,IF(A41&lt;'Données projet'!$A$36,$K$205^A41,IF(A41='Données projet'!$A$36,'Données projet'!$B$36,N40+M41-V40)))</f>
        <v>219.79999999999995</v>
      </c>
      <c r="O41" s="14">
        <f>N41*VLOOKUP('Données projet'!$B$9,Paramètres!$A$1:$I$89,3,0)*VLOOKUP('Données projet'!$B$9,Paramètres!$A$1:$I$89,5,0)</f>
        <v>131.44039999999998</v>
      </c>
      <c r="P41" s="14">
        <f t="shared" si="33"/>
        <v>34.328979730885372</v>
      </c>
      <c r="Q41" s="22">
        <f t="shared" si="53"/>
        <v>288.71500303129199</v>
      </c>
      <c r="R41" s="62">
        <f t="shared" si="0"/>
        <v>582.04833636462536</v>
      </c>
      <c r="S41" s="62">
        <f ca="1">AVERAGE(OFFSET($R$3,0,0,'Données projet'!$E$9+1,1))-AVERAGE(OFFSET($H$3,0,0,'Données projet'!$E$9+1,1))</f>
        <v>203.63995177374335</v>
      </c>
      <c r="T41" s="62">
        <f t="shared" si="34"/>
        <v>268.97461244918378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12.101265678627078</v>
      </c>
      <c r="AA41" s="23">
        <f>EXP(-LN(2)/25)*AA40+(1-EXP(-LN(2)/25))/(LN(2)/25)*Calculateur!V41*Calculateur!X41*VLOOKUP('Données projet'!$B$9,Paramètres!$A$1:$I$89,3,0)*0.475*44/12</f>
        <v>10.037906669013232</v>
      </c>
      <c r="AB41" s="23">
        <f>EXP(-LN(2)/2)*AB40+(1-EXP(-LN(2)/2))/(LN(2)/2)*V41*Y41*VLOOKUP('Données projet'!$B$9,Paramètres!$A$1:$I$89,3,0)*0.475*44/12</f>
        <v>0.2001297536499981</v>
      </c>
      <c r="AC41" s="24">
        <f t="shared" si="3"/>
        <v>22.339302101290311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83.350800000000007</v>
      </c>
      <c r="AK41" s="14">
        <f t="shared" si="35"/>
        <v>22.954505421678146</v>
      </c>
      <c r="AL41" s="22">
        <f t="shared" si="4"/>
        <v>185.14840694275611</v>
      </c>
      <c r="AM41" s="62">
        <f t="shared" si="5"/>
        <v>478.48174027608945</v>
      </c>
      <c r="AN41" s="62">
        <f ca="1">AVERAGE(OFFSET($AM$3,0,0,'Données projet'!$E$10+1,1))-AVERAGE(OFFSET($H$3,0,0,'Données projet'!$E$10+1,1))</f>
        <v>364.69354394930866</v>
      </c>
      <c r="AO41" s="62">
        <f t="shared" si="36"/>
        <v>159.6134369231965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4.8</v>
      </c>
      <c r="BD41" s="13">
        <f>IF('Données projet'!$A$88&gt;35,BD40+BC41-BL40,IF(A41&lt;'Données projet'!$A$88,$BA$205^A41,IF(A41='Données projet'!$A$88,'Données projet'!$B$88,BD40+BC41-BL40)))</f>
        <v>106.39999999999998</v>
      </c>
      <c r="BE41" s="14">
        <f>BD41*VLOOKUP('Données projet'!$B$11,Paramètres!$A$1:$I$89,3,0)*VLOOKUP('Données projet'!$B$11,Paramètres!$A$1:$I$89,5,0)</f>
        <v>92.951039999999992</v>
      </c>
      <c r="BF41" s="14">
        <f t="shared" si="37"/>
        <v>25.275602869272202</v>
      </c>
      <c r="BG41" s="22">
        <f t="shared" si="7"/>
        <v>205.91140299731572</v>
      </c>
      <c r="BH41" s="62">
        <f t="shared" si="8"/>
        <v>499.24473633064906</v>
      </c>
      <c r="BI41" s="62">
        <f ca="1">AVERAGE(OFFSET($BH$3,0,0,'Données projet'!$E$11+1,1))-AVERAGE(OFFSET($H$3,0,0,'Données projet'!$E$11+1,1))</f>
        <v>241.00707378755914</v>
      </c>
      <c r="BJ41" s="62">
        <f t="shared" si="38"/>
        <v>239.93573789765657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5.1282051282051295</v>
      </c>
      <c r="BY41" s="13">
        <f>IF('Données projet'!$A$114&gt;35,BY40+BX41-CG40,IF(A41&lt;'Données projet'!$A$114,$BV$205^A41,IF(A41='Données projet'!$A$114,'Données projet'!$B$114,BY40+BX41-CG40)))</f>
        <v>100.64102564102565</v>
      </c>
      <c r="BZ41" s="14">
        <f>BY41*VLOOKUP('Données projet'!$B$12,Paramètres!$A$1:$I$89,3,0)*VLOOKUP('Données projet'!$B$12,Paramètres!$A$1:$I$89,5,0)</f>
        <v>67.510000000000005</v>
      </c>
      <c r="CA41" s="14">
        <f t="shared" si="39"/>
        <v>19.053805387418855</v>
      </c>
      <c r="CB41" s="22">
        <f t="shared" si="10"/>
        <v>150.76529438308782</v>
      </c>
      <c r="CC41" s="62">
        <f t="shared" si="11"/>
        <v>444.09862771642111</v>
      </c>
      <c r="CD41" s="62">
        <f ca="1">AVERAGE(OFFSET($CC$3,0,0,'Données projet'!$E$12+1,1))-AVERAGE(OFFSET($H$3,0,0,'Données projet'!$E$12+1,1))</f>
        <v>207.91006140109965</v>
      </c>
      <c r="CE41" s="62">
        <f t="shared" si="40"/>
        <v>164.93317437647255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5.1282051282051295</v>
      </c>
      <c r="CT41" s="13">
        <f>IF('Données projet'!$A$140&gt;35,CT40+CS41-DB40,IF(A41&lt;'Données projet'!$A$140,$CQ$205^A41,IF(A41='Données projet'!$A$140,'Données projet'!$B$140,CT40+CS41-DB40)))</f>
        <v>100.64102564102565</v>
      </c>
      <c r="CU41" s="18">
        <f>CT41*VLOOKUP('Données projet'!$B$13,Paramètres!$A$1:$I$89,3,0)*VLOOKUP('Données projet'!$B$13,Paramètres!$A$1:$I$89,5,0)</f>
        <v>86.350000000000009</v>
      </c>
      <c r="CV41" s="14">
        <f t="shared" si="41"/>
        <v>23.68282305448836</v>
      </c>
      <c r="CW41" s="22">
        <f t="shared" si="13"/>
        <v>191.64050015323392</v>
      </c>
      <c r="CX41" s="62">
        <f t="shared" si="14"/>
        <v>484.97383348656723</v>
      </c>
      <c r="CY41" s="62">
        <f ca="1">AVERAGE(OFFSET($CX$3,0,0,'Données projet'!$E$13+1,1))-AVERAGE(OFFSET($H$3,0,0,'Données projet'!$E$13+1,1))</f>
        <v>255.77222823147724</v>
      </c>
      <c r="CZ41" s="62">
        <f t="shared" si="42"/>
        <v>199.6931080052031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5.4</v>
      </c>
      <c r="DO41" s="13">
        <f>IF('Données projet'!$A$166&gt;35,DO40+DN41-DW40,IF(A41&lt;'Données projet'!$A$166,$DL$205^A41,IF(A41='Données projet'!$A$166,'Données projet'!$B$166,DO40+DN41-DW40)))</f>
        <v>82.2</v>
      </c>
      <c r="DP41" s="18">
        <f>DO41*VLOOKUP('Données projet'!$B$14,Paramètres!$A$1:$I$89,3,0)*VLOOKUP('Données projet'!$B$14,Paramètres!$A$1:$I$89,5,0)</f>
        <v>79.503839999999997</v>
      </c>
      <c r="DQ41" s="14">
        <f t="shared" si="43"/>
        <v>22.015826538921051</v>
      </c>
      <c r="DR41" s="22">
        <f t="shared" si="16"/>
        <v>176.81341922195415</v>
      </c>
      <c r="DS41" s="62">
        <f t="shared" si="17"/>
        <v>470.14675255528743</v>
      </c>
      <c r="DT41" s="62">
        <f ca="1">AVERAGE(OFFSET($DS$3,0,0,'Données projet'!$E$14+1,1))-AVERAGE(OFFSET($H$3,0,0,'Données projet'!$E$14+1,1))</f>
        <v>349.73011349954953</v>
      </c>
      <c r="DU41" s="62">
        <f t="shared" si="44"/>
        <v>154.08406475869634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11.774999999999991</v>
      </c>
      <c r="N42" s="14">
        <f>IF('Données projet'!$A$36&gt;35,N41+M42-V41,IF(A42&lt;'Données projet'!$A$36,$K$205^A42,IF(A42='Données projet'!$A$36,'Données projet'!$B$36,N41+M42-V41)))</f>
        <v>231.57499999999993</v>
      </c>
      <c r="O42" s="14">
        <f>N42*VLOOKUP('Données projet'!$B$9,Paramètres!$A$1:$I$89,3,0)*VLOOKUP('Données projet'!$B$9,Paramètres!$A$1:$I$89,5,0)</f>
        <v>138.48184999999998</v>
      </c>
      <c r="P42" s="14">
        <f t="shared" si="33"/>
        <v>35.948998263643837</v>
      </c>
      <c r="Q42" s="22">
        <f t="shared" si="53"/>
        <v>303.80039405917961</v>
      </c>
      <c r="R42" s="62">
        <f t="shared" si="0"/>
        <v>597.13372739251292</v>
      </c>
      <c r="S42" s="62">
        <f ca="1">AVERAGE(OFFSET($R$3,0,0,'Données projet'!$E$9+1,1))-AVERAGE(OFFSET($H$3,0,0,'Données projet'!$E$9+1,1))</f>
        <v>203.63995177374335</v>
      </c>
      <c r="T42" s="62">
        <f t="shared" si="34"/>
        <v>268.97461244918378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11.863967239712448</v>
      </c>
      <c r="AA42" s="23">
        <f>EXP(-LN(2)/25)*AA41+(1-EXP(-LN(2)/25))/(LN(2)/25)*Calculateur!V42*Calculateur!X42*VLOOKUP('Données projet'!$B$9,Paramètres!$A$1:$I$89,3,0)*0.475*44/12</f>
        <v>9.7634195832784947</v>
      </c>
      <c r="AB42" s="23">
        <f>EXP(-LN(2)/2)*AB41+(1-EXP(-LN(2)/2))/(LN(2)/2)*V42*Y42*VLOOKUP('Données projet'!$B$9,Paramètres!$A$1:$I$89,3,0)*0.475*44/12</f>
        <v>0.14151310592310687</v>
      </c>
      <c r="AC42" s="24">
        <f t="shared" si="3"/>
        <v>21.768899928914049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88.826400000000007</v>
      </c>
      <c r="AK42" s="14">
        <f t="shared" si="35"/>
        <v>24.28196507443278</v>
      </c>
      <c r="AL42" s="22">
        <f t="shared" si="4"/>
        <v>196.99706917130376</v>
      </c>
      <c r="AM42" s="62">
        <f t="shared" si="5"/>
        <v>490.33040250463705</v>
      </c>
      <c r="AN42" s="62">
        <f ca="1">AVERAGE(OFFSET($AM$3,0,0,'Données projet'!$E$10+1,1))-AVERAGE(OFFSET($H$3,0,0,'Données projet'!$E$10+1,1))</f>
        <v>364.69354394930866</v>
      </c>
      <c r="AO42" s="62">
        <f t="shared" si="36"/>
        <v>159.6134369231965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4.8</v>
      </c>
      <c r="BD42" s="13">
        <f>IF('Données projet'!$A$88&gt;35,BD41+BC42-BL41,IF(A42&lt;'Données projet'!$A$88,$BA$205^A42,IF(A42='Données projet'!$A$88,'Données projet'!$B$88,BD41+BC42-BL41)))</f>
        <v>111.19999999999997</v>
      </c>
      <c r="BE42" s="14">
        <f>BD42*VLOOKUP('Données projet'!$B$11,Paramètres!$A$1:$I$89,3,0)*VLOOKUP('Données projet'!$B$11,Paramètres!$A$1:$I$89,5,0)</f>
        <v>97.144319999999993</v>
      </c>
      <c r="BF42" s="14">
        <f t="shared" si="37"/>
        <v>26.280528260055664</v>
      </c>
      <c r="BG42" s="22">
        <f t="shared" si="7"/>
        <v>214.96494405293026</v>
      </c>
      <c r="BH42" s="62">
        <f t="shared" si="8"/>
        <v>508.29827738626358</v>
      </c>
      <c r="BI42" s="62">
        <f ca="1">AVERAGE(OFFSET($BH$3,0,0,'Données projet'!$E$11+1,1))-AVERAGE(OFFSET($H$3,0,0,'Données projet'!$E$11+1,1))</f>
        <v>241.00707378755914</v>
      </c>
      <c r="BJ42" s="62">
        <f t="shared" si="38"/>
        <v>239.93573789765657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5.1282051282051295</v>
      </c>
      <c r="BY42" s="13">
        <f>IF('Données projet'!$A$114&gt;35,BY41+BX42-CG41,IF(A42&lt;'Données projet'!$A$114,$BV$205^A42,IF(A42='Données projet'!$A$114,'Données projet'!$B$114,BY41+BX42-CG41)))</f>
        <v>105.76923076923077</v>
      </c>
      <c r="BZ42" s="14">
        <f>BY42*VLOOKUP('Données projet'!$B$12,Paramètres!$A$1:$I$89,3,0)*VLOOKUP('Données projet'!$B$12,Paramètres!$A$1:$I$89,5,0)</f>
        <v>70.95</v>
      </c>
      <c r="CA42" s="14">
        <f t="shared" si="39"/>
        <v>19.909190646085339</v>
      </c>
      <c r="CB42" s="22">
        <f t="shared" si="10"/>
        <v>158.24642370859863</v>
      </c>
      <c r="CC42" s="62">
        <f t="shared" si="11"/>
        <v>451.57975704193194</v>
      </c>
      <c r="CD42" s="62">
        <f ca="1">AVERAGE(OFFSET($CC$3,0,0,'Données projet'!$E$12+1,1))-AVERAGE(OFFSET($H$3,0,0,'Données projet'!$E$12+1,1))</f>
        <v>207.91006140109965</v>
      </c>
      <c r="CE42" s="62">
        <f t="shared" si="40"/>
        <v>164.93317437647255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5.1282051282051295</v>
      </c>
      <c r="CT42" s="13">
        <f>IF('Données projet'!$A$140&gt;35,CT41+CS42-DB41,IF(A42&lt;'Données projet'!$A$140,$CQ$205^A42,IF(A42='Données projet'!$A$140,'Données projet'!$B$140,CT41+CS42-DB41)))</f>
        <v>105.76923076923077</v>
      </c>
      <c r="CU42" s="18">
        <f>CT42*VLOOKUP('Données projet'!$B$13,Paramètres!$A$1:$I$89,3,0)*VLOOKUP('Données projet'!$B$13,Paramètres!$A$1:$I$89,5,0)</f>
        <v>90.750000000000014</v>
      </c>
      <c r="CV42" s="14">
        <f t="shared" si="41"/>
        <v>24.746019477067154</v>
      </c>
      <c r="CW42" s="22">
        <f t="shared" si="13"/>
        <v>201.15556725589195</v>
      </c>
      <c r="CX42" s="62">
        <f t="shared" si="14"/>
        <v>494.4889005892253</v>
      </c>
      <c r="CY42" s="62">
        <f ca="1">AVERAGE(OFFSET($CX$3,0,0,'Données projet'!$E$13+1,1))-AVERAGE(OFFSET($H$3,0,0,'Données projet'!$E$13+1,1))</f>
        <v>255.77222823147724</v>
      </c>
      <c r="CZ42" s="62">
        <f t="shared" si="42"/>
        <v>199.6931080052031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5.4</v>
      </c>
      <c r="DO42" s="13">
        <f>IF('Données projet'!$A$166&gt;35,DO41+DN42-DW41,IF(A42&lt;'Données projet'!$A$166,$DL$205^A42,IF(A42='Données projet'!$A$166,'Données projet'!$B$166,DO41+DN42-DW41)))</f>
        <v>87.600000000000009</v>
      </c>
      <c r="DP42" s="18">
        <f>DO42*VLOOKUP('Données projet'!$B$14,Paramètres!$A$1:$I$89,3,0)*VLOOKUP('Données projet'!$B$14,Paramètres!$A$1:$I$89,5,0)</f>
        <v>84.726720000000014</v>
      </c>
      <c r="DQ42" s="14">
        <f t="shared" si="43"/>
        <v>23.289002367177517</v>
      </c>
      <c r="DR42" s="22">
        <f t="shared" si="16"/>
        <v>188.1273831228342</v>
      </c>
      <c r="DS42" s="62">
        <f t="shared" si="17"/>
        <v>481.46071645616752</v>
      </c>
      <c r="DT42" s="62">
        <f ca="1">AVERAGE(OFFSET($DS$3,0,0,'Données projet'!$E$14+1,1))-AVERAGE(OFFSET($H$3,0,0,'Données projet'!$E$14+1,1))</f>
        <v>349.73011349954953</v>
      </c>
      <c r="DU42" s="62">
        <f t="shared" si="44"/>
        <v>154.08406475869634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11.774999999999991</v>
      </c>
      <c r="N43" s="14">
        <f>IF('Données projet'!$A$36&gt;35,N42+M43-V42,IF(A43&lt;'Données projet'!$A$36,$K$205^A43,IF(A43='Données projet'!$A$36,'Données projet'!$B$36,N42+M43-V42)))</f>
        <v>243.34999999999991</v>
      </c>
      <c r="O43" s="14">
        <f>N43*VLOOKUP('Données projet'!$B$9,Paramètres!$A$1:$I$89,3,0)*VLOOKUP('Données projet'!$B$9,Paramètres!$A$1:$I$89,5,0)</f>
        <v>145.52329999999995</v>
      </c>
      <c r="P43" s="14">
        <f t="shared" si="33"/>
        <v>37.559452451254963</v>
      </c>
      <c r="Q43" s="22">
        <f t="shared" si="53"/>
        <v>318.86912718593561</v>
      </c>
      <c r="R43" s="62">
        <f t="shared" si="0"/>
        <v>612.20246051926893</v>
      </c>
      <c r="S43" s="62">
        <f ca="1">AVERAGE(OFFSET($R$3,0,0,'Données projet'!$E$9+1,1))-AVERAGE(OFFSET($H$3,0,0,'Données projet'!$E$9+1,1))</f>
        <v>203.63995177374335</v>
      </c>
      <c r="T43" s="62">
        <f t="shared" si="34"/>
        <v>268.97461244918378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11.631322078447177</v>
      </c>
      <c r="AA43" s="23">
        <f>EXP(-LN(2)/25)*AA42+(1-EXP(-LN(2)/25))/(LN(2)/25)*Calculateur!V43*Calculateur!X43*VLOOKUP('Données projet'!$B$9,Paramètres!$A$1:$I$89,3,0)*0.475*44/12</f>
        <v>9.4964383613378232</v>
      </c>
      <c r="AB43" s="23">
        <f>EXP(-LN(2)/2)*AB42+(1-EXP(-LN(2)/2))/(LN(2)/2)*V43*Y43*VLOOKUP('Données projet'!$B$9,Paramètres!$A$1:$I$89,3,0)*0.475*44/12</f>
        <v>0.10006487682499905</v>
      </c>
      <c r="AC43" s="24">
        <f t="shared" si="3"/>
        <v>21.227825316609998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94.302000000000021</v>
      </c>
      <c r="AK43" s="14">
        <f t="shared" si="35"/>
        <v>25.599927492506424</v>
      </c>
      <c r="AL43" s="22">
        <f t="shared" si="4"/>
        <v>208.82919038278203</v>
      </c>
      <c r="AM43" s="62">
        <f t="shared" si="5"/>
        <v>502.16252371611534</v>
      </c>
      <c r="AN43" s="62">
        <f ca="1">AVERAGE(OFFSET($AM$3,0,0,'Données projet'!$E$10+1,1))-AVERAGE(OFFSET($H$3,0,0,'Données projet'!$E$10+1,1))</f>
        <v>364.69354394930866</v>
      </c>
      <c r="AO43" s="62">
        <f t="shared" si="36"/>
        <v>159.6134369231965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116</v>
      </c>
      <c r="BB43" s="13">
        <f>VLOOKUP(A43,'Données projet'!$A$87:$I$107,9,0)</f>
        <v>4.8</v>
      </c>
      <c r="BC43" s="13">
        <f t="array" ref="BC43">INDEX(BB:BB,MIN(IF(ISNUMBER(BB43:BB239),ROW(BB43:BB239),"")))</f>
        <v>4.8</v>
      </c>
      <c r="BD43" s="13">
        <f>IF('Données projet'!$A$88&gt;35,BD42+BC43-BL42,IF(A43&lt;'Données projet'!$A$88,$BA$205^A43,IF(A43='Données projet'!$A$88,'Données projet'!$B$88,BD42+BC43-BL42)))</f>
        <v>115.99999999999997</v>
      </c>
      <c r="BE43" s="14">
        <f>BD43*VLOOKUP('Données projet'!$B$11,Paramètres!$A$1:$I$89,3,0)*VLOOKUP('Données projet'!$B$11,Paramètres!$A$1:$I$89,5,0)</f>
        <v>101.33759999999999</v>
      </c>
      <c r="BF43" s="14">
        <f t="shared" si="37"/>
        <v>27.280415454305565</v>
      </c>
      <c r="BG43" s="22">
        <f t="shared" si="7"/>
        <v>224.00971024958213</v>
      </c>
      <c r="BH43" s="62">
        <f t="shared" si="8"/>
        <v>517.34304358291547</v>
      </c>
      <c r="BI43" s="62">
        <f ca="1">AVERAGE(OFFSET($BH$3,0,0,'Données projet'!$E$11+1,1))-AVERAGE(OFFSET($H$3,0,0,'Données projet'!$E$11+1,1))</f>
        <v>241.00707378755914</v>
      </c>
      <c r="BJ43" s="62">
        <f t="shared" si="38"/>
        <v>239.93573789765657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24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110.8974358974359</v>
      </c>
      <c r="BW43" s="13">
        <f>VLOOKUP(A43,'Données projet'!$A$113:$I$133,9,0)</f>
        <v>5.1282051282051295</v>
      </c>
      <c r="BX43" s="13">
        <f t="array" ref="BX43">INDEX(BW:BW,MIN(IF(ISNUMBER(BW43:BW239),ROW(BW43:BW239),"")))</f>
        <v>5.1282051282051295</v>
      </c>
      <c r="BY43" s="13">
        <f>IF('Données projet'!$A$114&gt;35,BY42+BX43-CG42,IF(A43&lt;'Données projet'!$A$114,$BV$205^A43,IF(A43='Données projet'!$A$114,'Données projet'!$B$114,BY42+BX43-CG42)))</f>
        <v>110.8974358974359</v>
      </c>
      <c r="BZ43" s="14">
        <f>BY43*VLOOKUP('Données projet'!$B$12,Paramètres!$A$1:$I$89,3,0)*VLOOKUP('Données projet'!$B$12,Paramètres!$A$1:$I$89,5,0)</f>
        <v>74.39</v>
      </c>
      <c r="CA43" s="14">
        <f t="shared" si="39"/>
        <v>20.759760025924187</v>
      </c>
      <c r="CB43" s="22">
        <f t="shared" si="10"/>
        <v>165.71916537848463</v>
      </c>
      <c r="CC43" s="62">
        <f t="shared" si="11"/>
        <v>459.05249871181798</v>
      </c>
      <c r="CD43" s="62">
        <f ca="1">AVERAGE(OFFSET($CC$3,0,0,'Données projet'!$E$12+1,1))-AVERAGE(OFFSET($H$3,0,0,'Données projet'!$E$12+1,1))</f>
        <v>207.91006140109965</v>
      </c>
      <c r="CE43" s="62">
        <f t="shared" si="40"/>
        <v>164.93317437647255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21.794871794871796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110.8974358974359</v>
      </c>
      <c r="CR43" s="13">
        <f>VLOOKUP(A43,'Données projet'!$A$139:$I$159,9,0)</f>
        <v>5.1282051282051295</v>
      </c>
      <c r="CS43" s="13">
        <f t="array" ref="CS43">INDEX(CR:CR,MIN(IF(ISNUMBER(CR43:CR239),ROW(CR43:CR239),"")))</f>
        <v>5.1282051282051295</v>
      </c>
      <c r="CT43" s="13">
        <f>IF('Données projet'!$A$140&gt;35,CT42+CS43-DB42,IF(A43&lt;'Données projet'!$A$140,$CQ$205^A43,IF(A43='Données projet'!$A$140,'Données projet'!$B$140,CT42+CS43-DB42)))</f>
        <v>110.8974358974359</v>
      </c>
      <c r="CU43" s="18">
        <f>CT43*VLOOKUP('Données projet'!$B$13,Paramètres!$A$1:$I$89,3,0)*VLOOKUP('Données projet'!$B$13,Paramètres!$A$1:$I$89,5,0)</f>
        <v>95.15000000000002</v>
      </c>
      <c r="CV43" s="14">
        <f t="shared" si="41"/>
        <v>25.803230029432196</v>
      </c>
      <c r="CW43" s="22">
        <f t="shared" si="13"/>
        <v>210.66020896792779</v>
      </c>
      <c r="CX43" s="62">
        <f t="shared" si="14"/>
        <v>503.99354230126107</v>
      </c>
      <c r="CY43" s="62">
        <f ca="1">AVERAGE(OFFSET($CX$3,0,0,'Données projet'!$E$13+1,1))-AVERAGE(OFFSET($H$3,0,0,'Données projet'!$E$13+1,1))</f>
        <v>255.77222823147724</v>
      </c>
      <c r="CZ43" s="62">
        <f t="shared" si="42"/>
        <v>199.6931080052031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21.794871794871796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93</v>
      </c>
      <c r="DM43" s="13">
        <f>VLOOKUP(A43,'Données projet'!$A$165:$I$185,9,0)</f>
        <v>5.4</v>
      </c>
      <c r="DN43" s="13">
        <f t="array" ref="DN43">INDEX(DM:DM,MIN(IF(ISNUMBER(DM43:DM239),ROW(DM43:DM239),"")))</f>
        <v>5.4</v>
      </c>
      <c r="DO43" s="13">
        <f>IF('Données projet'!$A$166&gt;35,DO42+DN43-DW42,IF(A43&lt;'Données projet'!$A$166,$DL$205^A43,IF(A43='Données projet'!$A$166,'Données projet'!$B$166,DO42+DN43-DW42)))</f>
        <v>93.000000000000014</v>
      </c>
      <c r="DP43" s="18">
        <f>DO43*VLOOKUP('Données projet'!$B$14,Paramètres!$A$1:$I$89,3,0)*VLOOKUP('Données projet'!$B$14,Paramètres!$A$1:$I$89,5,0)</f>
        <v>89.949600000000018</v>
      </c>
      <c r="DQ43" s="14">
        <f t="shared" si="43"/>
        <v>24.553069331291834</v>
      </c>
      <c r="DR43" s="22">
        <f t="shared" si="16"/>
        <v>199.42548241866663</v>
      </c>
      <c r="DS43" s="62">
        <f t="shared" si="17"/>
        <v>492.75881575199992</v>
      </c>
      <c r="DT43" s="62">
        <f ca="1">AVERAGE(OFFSET($DS$3,0,0,'Données projet'!$E$14+1,1))-AVERAGE(OFFSET($H$3,0,0,'Données projet'!$E$14+1,1))</f>
        <v>349.73011349954953</v>
      </c>
      <c r="DU43" s="62">
        <f t="shared" si="44"/>
        <v>154.08406475869634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11.774999999999991</v>
      </c>
      <c r="N44" s="14">
        <f>IF('Données projet'!$A$36&gt;35,N43+M44-V43,IF(A44&lt;'Données projet'!$A$36,$K$205^A44,IF(A44='Données projet'!$A$36,'Données projet'!$B$36,N43+M44-V43)))</f>
        <v>255.12499999999989</v>
      </c>
      <c r="O44" s="14">
        <f>N44*VLOOKUP('Données projet'!$B$9,Paramètres!$A$1:$I$89,3,0)*VLOOKUP('Données projet'!$B$9,Paramètres!$A$1:$I$89,5,0)</f>
        <v>152.56474999999995</v>
      </c>
      <c r="P44" s="14">
        <f t="shared" si="33"/>
        <v>39.160857912984248</v>
      </c>
      <c r="Q44" s="22">
        <f t="shared" si="53"/>
        <v>333.92210044844745</v>
      </c>
      <c r="R44" s="62">
        <f t="shared" si="0"/>
        <v>627.25543378178077</v>
      </c>
      <c r="S44" s="62">
        <f ca="1">AVERAGE(OFFSET($R$3,0,0,'Données projet'!$E$9+1,1))-AVERAGE(OFFSET($H$3,0,0,'Données projet'!$E$9+1,1))</f>
        <v>203.63995177374335</v>
      </c>
      <c r="T44" s="62">
        <f t="shared" si="34"/>
        <v>268.97461244918378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11.403238946894781</v>
      </c>
      <c r="AA44" s="23">
        <f>EXP(-LN(2)/25)*AA43+(1-EXP(-LN(2)/25))/(LN(2)/25)*Calculateur!V44*Calculateur!X44*VLOOKUP('Données projet'!$B$9,Paramètres!$A$1:$I$89,3,0)*0.475*44/12</f>
        <v>9.2367577549510518</v>
      </c>
      <c r="AB44" s="23">
        <f>EXP(-LN(2)/2)*AB43+(1-EXP(-LN(2)/2))/(LN(2)/2)*V44*Y44*VLOOKUP('Données projet'!$B$9,Paramètres!$A$1:$I$89,3,0)*0.475*44/12</f>
        <v>7.0756552961553434E-2</v>
      </c>
      <c r="AC44" s="24">
        <f t="shared" si="3"/>
        <v>20.710753254807386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98.600000000000009</v>
      </c>
      <c r="AJ44" s="14">
        <f>AI44*VLOOKUP('Données projet'!$B$10,Paramètres!$A$1:$I$89,3,0)*VLOOKUP('Données projet'!$B$10,Paramètres!$A$1:$I$89,5,0)</f>
        <v>99.980400000000003</v>
      </c>
      <c r="AK44" s="14">
        <f t="shared" si="35"/>
        <v>26.957328065359373</v>
      </c>
      <c r="AL44" s="22">
        <f t="shared" si="4"/>
        <v>221.08320971383424</v>
      </c>
      <c r="AM44" s="62">
        <f t="shared" si="5"/>
        <v>514.41654304716758</v>
      </c>
      <c r="AN44" s="62">
        <f ca="1">AVERAGE(OFFSET($AM$3,0,0,'Données projet'!$E$10+1,1))-AVERAGE(OFFSET($H$3,0,0,'Données projet'!$E$10+1,1))</f>
        <v>364.69354394930866</v>
      </c>
      <c r="AO44" s="62">
        <f t="shared" si="36"/>
        <v>159.6134369231965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4.5999999999999996</v>
      </c>
      <c r="BD44" s="13">
        <f>IF('Données projet'!$A$88&gt;35,BD43+BC44-BL43,IF(A44&lt;'Données projet'!$A$88,$BA$205^A44,IF(A44='Données projet'!$A$88,'Données projet'!$B$88,BD43+BC44-BL43)))</f>
        <v>96.599999999999966</v>
      </c>
      <c r="BE44" s="14">
        <f>BD44*VLOOKUP('Données projet'!$B$11,Paramètres!$A$1:$I$89,3,0)*VLOOKUP('Données projet'!$B$11,Paramètres!$A$1:$I$89,5,0)</f>
        <v>84.389759999999981</v>
      </c>
      <c r="BF44" s="14">
        <f t="shared" si="37"/>
        <v>23.207143598424498</v>
      </c>
      <c r="BG44" s="22">
        <f t="shared" si="7"/>
        <v>187.3979404339226</v>
      </c>
      <c r="BH44" s="62">
        <f t="shared" si="8"/>
        <v>480.73127376725591</v>
      </c>
      <c r="BI44" s="62">
        <f ca="1">AVERAGE(OFFSET($BH$3,0,0,'Données projet'!$E$11+1,1))-AVERAGE(OFFSET($H$3,0,0,'Données projet'!$E$11+1,1))</f>
        <v>241.00707378755914</v>
      </c>
      <c r="BJ44" s="62">
        <f t="shared" si="38"/>
        <v>239.93573789765657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4.8717948717948705</v>
      </c>
      <c r="BY44" s="13">
        <f>IF('Données projet'!$A$114&gt;35,BY43+BX44-CG43,IF(A44&lt;'Données projet'!$A$114,$BV$205^A44,IF(A44='Données projet'!$A$114,'Données projet'!$B$114,BY43+BX44-CG43)))</f>
        <v>93.974358974358978</v>
      </c>
      <c r="BZ44" s="14">
        <f>BY44*VLOOKUP('Données projet'!$B$12,Paramètres!$A$1:$I$89,3,0)*VLOOKUP('Données projet'!$B$12,Paramètres!$A$1:$I$89,5,0)</f>
        <v>63.038000000000004</v>
      </c>
      <c r="CA44" s="14">
        <f t="shared" si="39"/>
        <v>17.93414878320046</v>
      </c>
      <c r="CB44" s="22">
        <f t="shared" si="10"/>
        <v>141.02649246407415</v>
      </c>
      <c r="CC44" s="62">
        <f t="shared" si="11"/>
        <v>434.35982579740744</v>
      </c>
      <c r="CD44" s="62">
        <f ca="1">AVERAGE(OFFSET($CC$3,0,0,'Données projet'!$E$12+1,1))-AVERAGE(OFFSET($H$3,0,0,'Données projet'!$E$12+1,1))</f>
        <v>207.91006140109965</v>
      </c>
      <c r="CE44" s="62">
        <f t="shared" si="40"/>
        <v>164.93317437647255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4.8717948717948705</v>
      </c>
      <c r="CT44" s="13">
        <f>IF('Données projet'!$A$140&gt;35,CT43+CS44-DB43,IF(A44&lt;'Données projet'!$A$140,$CQ$205^A44,IF(A44='Données projet'!$A$140,'Données projet'!$B$140,CT43+CS44-DB43)))</f>
        <v>93.974358974358978</v>
      </c>
      <c r="CU44" s="18">
        <f>CT44*VLOOKUP('Données projet'!$B$13,Paramètres!$A$1:$I$89,3,0)*VLOOKUP('Données projet'!$B$13,Paramètres!$A$1:$I$89,5,0)</f>
        <v>80.630000000000024</v>
      </c>
      <c r="CV44" s="14">
        <f t="shared" si="41"/>
        <v>22.291152010288325</v>
      </c>
      <c r="CW44" s="22">
        <f t="shared" si="13"/>
        <v>179.25433975125222</v>
      </c>
      <c r="CX44" s="62">
        <f t="shared" si="14"/>
        <v>472.5876730845855</v>
      </c>
      <c r="CY44" s="62">
        <f ca="1">AVERAGE(OFFSET($CX$3,0,0,'Données projet'!$E$13+1,1))-AVERAGE(OFFSET($H$3,0,0,'Données projet'!$E$13+1,1))</f>
        <v>255.77222823147724</v>
      </c>
      <c r="CZ44" s="62">
        <f t="shared" si="42"/>
        <v>199.6931080052031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5.6</v>
      </c>
      <c r="DO44" s="13">
        <f>IF('Données projet'!$A$166&gt;35,DO43+DN44-DW43,IF(A44&lt;'Données projet'!$A$166,$DL$205^A44,IF(A44='Données projet'!$A$166,'Données projet'!$B$166,DO43+DN44-DW43)))</f>
        <v>98.600000000000009</v>
      </c>
      <c r="DP44" s="18">
        <f>DO44*VLOOKUP('Données projet'!$B$14,Paramètres!$A$1:$I$89,3,0)*VLOOKUP('Données projet'!$B$14,Paramètres!$A$1:$I$89,5,0)</f>
        <v>95.365920000000017</v>
      </c>
      <c r="DQ44" s="14">
        <f t="shared" si="43"/>
        <v>25.854961705219438</v>
      </c>
      <c r="DR44" s="22">
        <f t="shared" si="16"/>
        <v>211.12636896992387</v>
      </c>
      <c r="DS44" s="62">
        <f t="shared" si="17"/>
        <v>504.45970230325719</v>
      </c>
      <c r="DT44" s="62">
        <f ca="1">AVERAGE(OFFSET($DS$3,0,0,'Données projet'!$E$14+1,1))-AVERAGE(OFFSET($H$3,0,0,'Données projet'!$E$14+1,1))</f>
        <v>349.73011349954953</v>
      </c>
      <c r="DU44" s="62">
        <f t="shared" si="44"/>
        <v>154.08406475869634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266.89999999999998</v>
      </c>
      <c r="L45" s="13">
        <f>VLOOKUP(A45,'Données projet'!$A$35:$I$55,9,0)</f>
        <v>11.774999999999991</v>
      </c>
      <c r="M45" s="13">
        <f t="array" ref="M45">INDEX(L:L,MIN(IF(ISNUMBER(L45:L241),ROW(L45:L241),"")))</f>
        <v>11.774999999999991</v>
      </c>
      <c r="N45" s="14">
        <f>IF('Données projet'!$A$36&gt;35,N44+M45-V44,IF(A45&lt;'Données projet'!$A$36,$K$205^A45,IF(A45='Données projet'!$A$36,'Données projet'!$B$36,N44+M45-V44)))</f>
        <v>266.89999999999986</v>
      </c>
      <c r="O45" s="14">
        <f>N45*VLOOKUP('Données projet'!$B$9,Paramètres!$A$1:$I$89,3,0)*VLOOKUP('Données projet'!$B$9,Paramètres!$A$1:$I$89,5,0)</f>
        <v>159.60619999999994</v>
      </c>
      <c r="P45" s="14">
        <f t="shared" si="33"/>
        <v>40.753679982416074</v>
      </c>
      <c r="Q45" s="22">
        <f t="shared" si="53"/>
        <v>348.96012430270792</v>
      </c>
      <c r="R45" s="62">
        <f t="shared" si="0"/>
        <v>642.29345763604124</v>
      </c>
      <c r="S45" s="62">
        <f ca="1">AVERAGE(OFFSET($R$3,0,0,'Données projet'!$E$9+1,1))-AVERAGE(OFFSET($H$3,0,0,'Données projet'!$E$9+1,1))</f>
        <v>203.63995177374335</v>
      </c>
      <c r="T45" s="62">
        <f t="shared" si="34"/>
        <v>268.97461244918378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11.179628386435155</v>
      </c>
      <c r="AA45" s="23">
        <f>EXP(-LN(2)/25)*AA44+(1-EXP(-LN(2)/25))/(LN(2)/25)*Calculateur!V45*Calculateur!X45*VLOOKUP('Données projet'!$B$9,Paramètres!$A$1:$I$89,3,0)*0.475*44/12</f>
        <v>8.9841781284019362</v>
      </c>
      <c r="AB45" s="23">
        <f>EXP(-LN(2)/2)*AB44+(1-EXP(-LN(2)/2))/(LN(2)/2)*V45*Y45*VLOOKUP('Données projet'!$B$9,Paramètres!$A$1:$I$89,3,0)*0.475*44/12</f>
        <v>5.0032438412499526E-2</v>
      </c>
      <c r="AC45" s="24">
        <f t="shared" si="3"/>
        <v>20.213838953249592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104.2</v>
      </c>
      <c r="AJ45" s="14">
        <f>AI45*VLOOKUP('Données projet'!$B$10,Paramètres!$A$1:$I$89,3,0)*VLOOKUP('Données projet'!$B$10,Paramètres!$A$1:$I$89,5,0)</f>
        <v>105.65880000000001</v>
      </c>
      <c r="AK45" s="14">
        <f t="shared" si="35"/>
        <v>28.305779445097876</v>
      </c>
      <c r="AL45" s="22">
        <f t="shared" si="4"/>
        <v>233.32164253354549</v>
      </c>
      <c r="AM45" s="62">
        <f t="shared" si="5"/>
        <v>526.65497586687877</v>
      </c>
      <c r="AN45" s="62">
        <f ca="1">AVERAGE(OFFSET($AM$3,0,0,'Données projet'!$E$10+1,1))-AVERAGE(OFFSET($H$3,0,0,'Données projet'!$E$10+1,1))</f>
        <v>364.69354394930866</v>
      </c>
      <c r="AO45" s="62">
        <f t="shared" si="36"/>
        <v>159.6134369231965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4.5999999999999996</v>
      </c>
      <c r="BD45" s="13">
        <f>IF('Données projet'!$A$88&gt;35,BD44+BC45-BL44,IF(A45&lt;'Données projet'!$A$88,$BA$205^A45,IF(A45='Données projet'!$A$88,'Données projet'!$B$88,BD44+BC45-BL44)))</f>
        <v>101.19999999999996</v>
      </c>
      <c r="BE45" s="14">
        <f>BD45*VLOOKUP('Données projet'!$B$11,Paramètres!$A$1:$I$89,3,0)*VLOOKUP('Données projet'!$B$11,Paramètres!$A$1:$I$89,5,0)</f>
        <v>88.408319999999975</v>
      </c>
      <c r="BF45" s="14">
        <f t="shared" si="37"/>
        <v>24.18095236329042</v>
      </c>
      <c r="BG45" s="22">
        <f t="shared" si="7"/>
        <v>196.09298269939742</v>
      </c>
      <c r="BH45" s="62">
        <f t="shared" si="8"/>
        <v>489.42631603273071</v>
      </c>
      <c r="BI45" s="62">
        <f ca="1">AVERAGE(OFFSET($BH$3,0,0,'Données projet'!$E$11+1,1))-AVERAGE(OFFSET($H$3,0,0,'Données projet'!$E$11+1,1))</f>
        <v>241.00707378755914</v>
      </c>
      <c r="BJ45" s="62">
        <f t="shared" si="38"/>
        <v>239.93573789765657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4.8717948717948705</v>
      </c>
      <c r="BY45" s="13">
        <f>IF('Données projet'!$A$114&gt;35,BY44+BX45-CG44,IF(A45&lt;'Données projet'!$A$114,$BV$205^A45,IF(A45='Données projet'!$A$114,'Données projet'!$B$114,BY44+BX45-CG44)))</f>
        <v>98.846153846153854</v>
      </c>
      <c r="BZ45" s="14">
        <f>BY45*VLOOKUP('Données projet'!$B$12,Paramètres!$A$1:$I$89,3,0)*VLOOKUP('Données projet'!$B$12,Paramètres!$A$1:$I$89,5,0)</f>
        <v>66.305999999999997</v>
      </c>
      <c r="CA45" s="14">
        <f t="shared" si="39"/>
        <v>18.753232796006525</v>
      </c>
      <c r="CB45" s="22">
        <f t="shared" si="10"/>
        <v>148.1448304530447</v>
      </c>
      <c r="CC45" s="62">
        <f t="shared" si="11"/>
        <v>441.47816378637799</v>
      </c>
      <c r="CD45" s="62">
        <f ca="1">AVERAGE(OFFSET($CC$3,0,0,'Données projet'!$E$12+1,1))-AVERAGE(OFFSET($H$3,0,0,'Données projet'!$E$12+1,1))</f>
        <v>207.91006140109965</v>
      </c>
      <c r="CE45" s="62">
        <f t="shared" si="40"/>
        <v>164.93317437647255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4.8717948717948705</v>
      </c>
      <c r="CT45" s="13">
        <f>IF('Données projet'!$A$140&gt;35,CT44+CS45-DB44,IF(A45&lt;'Données projet'!$A$140,$CQ$205^A45,IF(A45='Données projet'!$A$140,'Données projet'!$B$140,CT44+CS45-DB44)))</f>
        <v>98.846153846153854</v>
      </c>
      <c r="CU45" s="18">
        <f>CT45*VLOOKUP('Données projet'!$B$13,Paramètres!$A$1:$I$89,3,0)*VLOOKUP('Données projet'!$B$13,Paramètres!$A$1:$I$89,5,0)</f>
        <v>84.810000000000016</v>
      </c>
      <c r="CV45" s="14">
        <f t="shared" si="41"/>
        <v>23.309227998135601</v>
      </c>
      <c r="CW45" s="22">
        <f t="shared" si="13"/>
        <v>188.30765543008616</v>
      </c>
      <c r="CX45" s="62">
        <f t="shared" si="14"/>
        <v>481.6409887634195</v>
      </c>
      <c r="CY45" s="62">
        <f ca="1">AVERAGE(OFFSET($CX$3,0,0,'Données projet'!$E$13+1,1))-AVERAGE(OFFSET($H$3,0,0,'Données projet'!$E$13+1,1))</f>
        <v>255.77222823147724</v>
      </c>
      <c r="CZ45" s="62">
        <f t="shared" si="42"/>
        <v>199.6931080052031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5.6</v>
      </c>
      <c r="DO45" s="13">
        <f>IF('Données projet'!$A$166&gt;35,DO44+DN45-DW44,IF(A45&lt;'Données projet'!$A$166,$DL$205^A45,IF(A45='Données projet'!$A$166,'Données projet'!$B$166,DO44+DN45-DW44)))</f>
        <v>104.2</v>
      </c>
      <c r="DP45" s="18">
        <f>DO45*VLOOKUP('Données projet'!$B$14,Paramètres!$A$1:$I$89,3,0)*VLOOKUP('Données projet'!$B$14,Paramètres!$A$1:$I$89,5,0)</f>
        <v>100.78224</v>
      </c>
      <c r="DQ45" s="14">
        <f t="shared" si="43"/>
        <v>27.148270845500655</v>
      </c>
      <c r="DR45" s="22">
        <f t="shared" si="16"/>
        <v>222.81230638924697</v>
      </c>
      <c r="DS45" s="62">
        <f t="shared" si="17"/>
        <v>516.14563972258031</v>
      </c>
      <c r="DT45" s="62">
        <f ca="1">AVERAGE(OFFSET($DS$3,0,0,'Données projet'!$E$14+1,1))-AVERAGE(OFFSET($H$3,0,0,'Données projet'!$E$14+1,1))</f>
        <v>349.73011349954953</v>
      </c>
      <c r="DU45" s="62">
        <f t="shared" si="44"/>
        <v>154.08406475869634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11.820000000000004</v>
      </c>
      <c r="N46" s="14">
        <f>IF('Données projet'!$A$36&gt;35,N45+M46-V45,IF(A46&lt;'Données projet'!$A$36,$K$205^A46,IF(A46='Données projet'!$A$36,'Données projet'!$B$36,N45+M46-V45)))</f>
        <v>278.71999999999986</v>
      </c>
      <c r="O46" s="14">
        <f>N46*VLOOKUP('Données projet'!$B$9,Paramètres!$A$1:$I$89,3,0)*VLOOKUP('Données projet'!$B$9,Paramètres!$A$1:$I$89,5,0)</f>
        <v>166.67455999999993</v>
      </c>
      <c r="P46" s="14">
        <f t="shared" si="33"/>
        <v>42.344381489320334</v>
      </c>
      <c r="Q46" s="22">
        <f t="shared" si="53"/>
        <v>364.04132309389939</v>
      </c>
      <c r="R46" s="62">
        <f t="shared" si="0"/>
        <v>657.37465642723271</v>
      </c>
      <c r="S46" s="62">
        <f ca="1">AVERAGE(OFFSET($R$3,0,0,'Données projet'!$E$9+1,1))-AVERAGE(OFFSET($H$3,0,0,'Données projet'!$E$9+1,1))</f>
        <v>203.63995177374335</v>
      </c>
      <c r="T46" s="62">
        <f t="shared" si="34"/>
        <v>268.97461244918378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10.960402692677167</v>
      </c>
      <c r="AA46" s="23">
        <f>EXP(-LN(2)/25)*AA45+(1-EXP(-LN(2)/25))/(LN(2)/25)*Calculateur!V46*Calculateur!X46*VLOOKUP('Données projet'!$B$9,Paramètres!$A$1:$I$89,3,0)*0.475*44/12</f>
        <v>8.7385053050233914</v>
      </c>
      <c r="AB46" s="23">
        <f>EXP(-LN(2)/2)*AB45+(1-EXP(-LN(2)/2))/(LN(2)/2)*V46*Y46*VLOOKUP('Données projet'!$B$9,Paramètres!$A$1:$I$89,3,0)*0.475*44/12</f>
        <v>3.5378276480776717E-2</v>
      </c>
      <c r="AC46" s="24">
        <f t="shared" si="3"/>
        <v>19.734286274181336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109.8</v>
      </c>
      <c r="AJ46" s="14">
        <f>AI46*VLOOKUP('Données projet'!$B$10,Paramètres!$A$1:$I$89,3,0)*VLOOKUP('Données projet'!$B$10,Paramètres!$A$1:$I$89,5,0)</f>
        <v>111.33720000000001</v>
      </c>
      <c r="AK46" s="14">
        <f t="shared" si="35"/>
        <v>29.645817422905342</v>
      </c>
      <c r="AL46" s="22">
        <f t="shared" si="4"/>
        <v>245.54542201156013</v>
      </c>
      <c r="AM46" s="62">
        <f t="shared" si="5"/>
        <v>538.87875534489342</v>
      </c>
      <c r="AN46" s="62">
        <f ca="1">AVERAGE(OFFSET($AM$3,0,0,'Données projet'!$E$10+1,1))-AVERAGE(OFFSET($H$3,0,0,'Données projet'!$E$10+1,1))</f>
        <v>364.69354394930866</v>
      </c>
      <c r="AO46" s="62">
        <f t="shared" si="36"/>
        <v>159.6134369231965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4.5999999999999996</v>
      </c>
      <c r="BD46" s="13">
        <f>IF('Données projet'!$A$88&gt;35,BD45+BC46-BL45,IF(A46&lt;'Données projet'!$A$88,$BA$205^A46,IF(A46='Données projet'!$A$88,'Données projet'!$B$88,BD45+BC46-BL45)))</f>
        <v>105.79999999999995</v>
      </c>
      <c r="BE46" s="14">
        <f>BD46*VLOOKUP('Données projet'!$B$11,Paramètres!$A$1:$I$89,3,0)*VLOOKUP('Données projet'!$B$11,Paramètres!$A$1:$I$89,5,0)</f>
        <v>92.426879999999983</v>
      </c>
      <c r="BF46" s="14">
        <f t="shared" si="37"/>
        <v>25.149620531579252</v>
      </c>
      <c r="BG46" s="22">
        <f t="shared" si="7"/>
        <v>204.77907175916712</v>
      </c>
      <c r="BH46" s="62">
        <f t="shared" si="8"/>
        <v>498.11240509250047</v>
      </c>
      <c r="BI46" s="62">
        <f ca="1">AVERAGE(OFFSET($BH$3,0,0,'Données projet'!$E$11+1,1))-AVERAGE(OFFSET($H$3,0,0,'Données projet'!$E$11+1,1))</f>
        <v>241.00707378755914</v>
      </c>
      <c r="BJ46" s="62">
        <f t="shared" si="38"/>
        <v>239.93573789765657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4.8717948717948705</v>
      </c>
      <c r="BY46" s="13">
        <f>IF('Données projet'!$A$114&gt;35,BY45+BX46-CG45,IF(A46&lt;'Données projet'!$A$114,$BV$205^A46,IF(A46='Données projet'!$A$114,'Données projet'!$B$114,BY45+BX46-CG45)))</f>
        <v>103.71794871794873</v>
      </c>
      <c r="BZ46" s="14">
        <f>BY46*VLOOKUP('Données projet'!$B$12,Paramètres!$A$1:$I$89,3,0)*VLOOKUP('Données projet'!$B$12,Paramètres!$A$1:$I$89,5,0)</f>
        <v>69.574000000000012</v>
      </c>
      <c r="CA46" s="14">
        <f t="shared" si="39"/>
        <v>19.567629202222456</v>
      </c>
      <c r="CB46" s="22">
        <f t="shared" si="10"/>
        <v>155.2550041938708</v>
      </c>
      <c r="CC46" s="62">
        <f t="shared" si="11"/>
        <v>448.58833752720409</v>
      </c>
      <c r="CD46" s="62">
        <f ca="1">AVERAGE(OFFSET($CC$3,0,0,'Données projet'!$E$12+1,1))-AVERAGE(OFFSET($H$3,0,0,'Données projet'!$E$12+1,1))</f>
        <v>207.91006140109965</v>
      </c>
      <c r="CE46" s="62">
        <f t="shared" si="40"/>
        <v>164.93317437647255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4.8717948717948705</v>
      </c>
      <c r="CT46" s="13">
        <f>IF('Données projet'!$A$140&gt;35,CT45+CS46-DB45,IF(A46&lt;'Données projet'!$A$140,$CQ$205^A46,IF(A46='Données projet'!$A$140,'Données projet'!$B$140,CT45+CS46-DB45)))</f>
        <v>103.71794871794873</v>
      </c>
      <c r="CU46" s="18">
        <f>CT46*VLOOKUP('Données projet'!$B$13,Paramètres!$A$1:$I$89,3,0)*VLOOKUP('Données projet'!$B$13,Paramètres!$A$1:$I$89,5,0)</f>
        <v>88.990000000000009</v>
      </c>
      <c r="CV46" s="14">
        <f t="shared" si="41"/>
        <v>24.321477551044243</v>
      </c>
      <c r="CW46" s="22">
        <f t="shared" si="13"/>
        <v>197.35082340140207</v>
      </c>
      <c r="CX46" s="62">
        <f t="shared" si="14"/>
        <v>490.68415673473538</v>
      </c>
      <c r="CY46" s="62">
        <f ca="1">AVERAGE(OFFSET($CX$3,0,0,'Données projet'!$E$13+1,1))-AVERAGE(OFFSET($H$3,0,0,'Données projet'!$E$13+1,1))</f>
        <v>255.77222823147724</v>
      </c>
      <c r="CZ46" s="62">
        <f t="shared" si="42"/>
        <v>199.6931080052031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5.6</v>
      </c>
      <c r="DO46" s="13">
        <f>IF('Données projet'!$A$166&gt;35,DO45+DN46-DW45,IF(A46&lt;'Données projet'!$A$166,$DL$205^A46,IF(A46='Données projet'!$A$166,'Données projet'!$B$166,DO45+DN46-DW45)))</f>
        <v>109.8</v>
      </c>
      <c r="DP46" s="18">
        <f>DO46*VLOOKUP('Données projet'!$B$14,Paramètres!$A$1:$I$89,3,0)*VLOOKUP('Données projet'!$B$14,Paramètres!$A$1:$I$89,5,0)</f>
        <v>106.19855999999999</v>
      </c>
      <c r="DQ46" s="14">
        <f t="shared" si="43"/>
        <v>28.433510633203252</v>
      </c>
      <c r="DR46" s="22">
        <f t="shared" si="16"/>
        <v>234.48418968616227</v>
      </c>
      <c r="DS46" s="62">
        <f t="shared" si="17"/>
        <v>527.81752301949564</v>
      </c>
      <c r="DT46" s="62">
        <f ca="1">AVERAGE(OFFSET($DS$3,0,0,'Données projet'!$E$14+1,1))-AVERAGE(OFFSET($H$3,0,0,'Données projet'!$E$14+1,1))</f>
        <v>349.73011349954953</v>
      </c>
      <c r="DU46" s="62">
        <f t="shared" si="44"/>
        <v>154.08406475869634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11.820000000000004</v>
      </c>
      <c r="N47" s="14">
        <f>IF('Données projet'!$A$36&gt;35,N46+M47-V46,IF(A47&lt;'Données projet'!$A$36,$K$205^A47,IF(A47='Données projet'!$A$36,'Données projet'!$B$36,N46+M47-V46)))</f>
        <v>290.53999999999985</v>
      </c>
      <c r="O47" s="14">
        <f>N47*VLOOKUP('Données projet'!$B$9,Paramètres!$A$1:$I$89,3,0)*VLOOKUP('Données projet'!$B$9,Paramètres!$A$1:$I$89,5,0)</f>
        <v>173.74291999999991</v>
      </c>
      <c r="P47" s="14">
        <f t="shared" si="33"/>
        <v>43.927247670675776</v>
      </c>
      <c r="Q47" s="22">
        <f t="shared" si="53"/>
        <v>379.10887535976013</v>
      </c>
      <c r="R47" s="62">
        <f t="shared" si="0"/>
        <v>672.44220869309345</v>
      </c>
      <c r="S47" s="62">
        <f ca="1">AVERAGE(OFFSET($R$3,0,0,'Données projet'!$E$9+1,1))-AVERAGE(OFFSET($H$3,0,0,'Données projet'!$E$9+1,1))</f>
        <v>203.63995177374335</v>
      </c>
      <c r="T47" s="62">
        <f t="shared" si="34"/>
        <v>268.97461244918378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10.745475881059303</v>
      </c>
      <c r="AA47" s="23">
        <f>EXP(-LN(2)/25)*AA46+(1-EXP(-LN(2)/25))/(LN(2)/25)*Calculateur!V47*Calculateur!X47*VLOOKUP('Données projet'!$B$9,Paramètres!$A$1:$I$89,3,0)*0.475*44/12</f>
        <v>8.4995504179195045</v>
      </c>
      <c r="AB47" s="23">
        <f>EXP(-LN(2)/2)*AB46+(1-EXP(-LN(2)/2))/(LN(2)/2)*V47*Y47*VLOOKUP('Données projet'!$B$9,Paramètres!$A$1:$I$89,3,0)*0.475*44/12</f>
        <v>2.5016219206249763E-2</v>
      </c>
      <c r="AC47" s="24">
        <f t="shared" si="3"/>
        <v>19.270042518185058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115.39999999999999</v>
      </c>
      <c r="AJ47" s="14">
        <f>AI47*VLOOKUP('Données projet'!$B$10,Paramètres!$A$1:$I$89,3,0)*VLOOKUP('Données projet'!$B$10,Paramètres!$A$1:$I$89,5,0)</f>
        <v>117.01559999999999</v>
      </c>
      <c r="AK47" s="14">
        <f t="shared" si="35"/>
        <v>30.977920050269788</v>
      </c>
      <c r="AL47" s="22">
        <f t="shared" si="4"/>
        <v>257.75538075421986</v>
      </c>
      <c r="AM47" s="62">
        <f t="shared" si="5"/>
        <v>551.08871408755317</v>
      </c>
      <c r="AN47" s="62">
        <f ca="1">AVERAGE(OFFSET($AM$3,0,0,'Données projet'!$E$10+1,1))-AVERAGE(OFFSET($H$3,0,0,'Données projet'!$E$10+1,1))</f>
        <v>364.69354394930866</v>
      </c>
      <c r="AO47" s="62">
        <f t="shared" si="36"/>
        <v>159.6134369231965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4.5999999999999996</v>
      </c>
      <c r="BD47" s="13">
        <f>IF('Données projet'!$A$88&gt;35,BD46+BC47-BL46,IF(A47&lt;'Données projet'!$A$88,$BA$205^A47,IF(A47='Données projet'!$A$88,'Données projet'!$B$88,BD46+BC47-BL46)))</f>
        <v>110.39999999999995</v>
      </c>
      <c r="BE47" s="14">
        <f>BD47*VLOOKUP('Données projet'!$B$11,Paramètres!$A$1:$I$89,3,0)*VLOOKUP('Données projet'!$B$11,Paramètres!$A$1:$I$89,5,0)</f>
        <v>96.445439999999962</v>
      </c>
      <c r="BF47" s="14">
        <f t="shared" si="37"/>
        <v>26.113397153228323</v>
      </c>
      <c r="BG47" s="22">
        <f t="shared" si="7"/>
        <v>213.45664137520589</v>
      </c>
      <c r="BH47" s="62">
        <f t="shared" si="8"/>
        <v>506.78997470853921</v>
      </c>
      <c r="BI47" s="62">
        <f ca="1">AVERAGE(OFFSET($BH$3,0,0,'Données projet'!$E$11+1,1))-AVERAGE(OFFSET($H$3,0,0,'Données projet'!$E$11+1,1))</f>
        <v>241.00707378755914</v>
      </c>
      <c r="BJ47" s="62">
        <f t="shared" si="38"/>
        <v>239.93573789765657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4.8717948717948705</v>
      </c>
      <c r="BY47" s="13">
        <f>IF('Données projet'!$A$114&gt;35,BY46+BX47-CG46,IF(A47&lt;'Données projet'!$A$114,$BV$205^A47,IF(A47='Données projet'!$A$114,'Données projet'!$B$114,BY46+BX47-CG46)))</f>
        <v>108.58974358974361</v>
      </c>
      <c r="BZ47" s="14">
        <f>BY47*VLOOKUP('Données projet'!$B$12,Paramètres!$A$1:$I$89,3,0)*VLOOKUP('Données projet'!$B$12,Paramètres!$A$1:$I$89,5,0)</f>
        <v>72.842000000000013</v>
      </c>
      <c r="CA47" s="14">
        <f t="shared" si="39"/>
        <v>20.377583329250708</v>
      </c>
      <c r="CB47" s="22">
        <f t="shared" si="10"/>
        <v>162.35744096511166</v>
      </c>
      <c r="CC47" s="62">
        <f t="shared" si="11"/>
        <v>455.69077429844498</v>
      </c>
      <c r="CD47" s="62">
        <f ca="1">AVERAGE(OFFSET($CC$3,0,0,'Données projet'!$E$12+1,1))-AVERAGE(OFFSET($H$3,0,0,'Données projet'!$E$12+1,1))</f>
        <v>207.91006140109965</v>
      </c>
      <c r="CE47" s="62">
        <f t="shared" si="40"/>
        <v>164.93317437647255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4.8717948717948705</v>
      </c>
      <c r="CT47" s="13">
        <f>IF('Données projet'!$A$140&gt;35,CT46+CS47-DB46,IF(A47&lt;'Données projet'!$A$140,$CQ$205^A47,IF(A47='Données projet'!$A$140,'Données projet'!$B$140,CT46+CS47-DB46)))</f>
        <v>108.58974358974361</v>
      </c>
      <c r="CU47" s="18">
        <f>CT47*VLOOKUP('Données projet'!$B$13,Paramètres!$A$1:$I$89,3,0)*VLOOKUP('Données projet'!$B$13,Paramètres!$A$1:$I$89,5,0)</f>
        <v>93.170000000000016</v>
      </c>
      <c r="CV47" s="14">
        <f t="shared" si="41"/>
        <v>25.32820559736556</v>
      </c>
      <c r="CW47" s="22">
        <f t="shared" si="13"/>
        <v>206.38437474874502</v>
      </c>
      <c r="CX47" s="62">
        <f t="shared" si="14"/>
        <v>499.71770808207833</v>
      </c>
      <c r="CY47" s="62">
        <f ca="1">AVERAGE(OFFSET($CX$3,0,0,'Données projet'!$E$13+1,1))-AVERAGE(OFFSET($H$3,0,0,'Données projet'!$E$13+1,1))</f>
        <v>255.77222823147724</v>
      </c>
      <c r="CZ47" s="62">
        <f t="shared" si="42"/>
        <v>199.6931080052031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5.6</v>
      </c>
      <c r="DO47" s="13">
        <f>IF('Données projet'!$A$166&gt;35,DO46+DN47-DW46,IF(A47&lt;'Données projet'!$A$166,$DL$205^A47,IF(A47='Données projet'!$A$166,'Données projet'!$B$166,DO46+DN47-DW46)))</f>
        <v>115.39999999999999</v>
      </c>
      <c r="DP47" s="18">
        <f>DO47*VLOOKUP('Données projet'!$B$14,Paramètres!$A$1:$I$89,3,0)*VLOOKUP('Données projet'!$B$14,Paramètres!$A$1:$I$89,5,0)</f>
        <v>111.61487999999999</v>
      </c>
      <c r="DQ47" s="14">
        <f t="shared" si="43"/>
        <v>29.711139570849653</v>
      </c>
      <c r="DR47" s="22">
        <f t="shared" si="16"/>
        <v>246.14281741922977</v>
      </c>
      <c r="DS47" s="62">
        <f t="shared" si="17"/>
        <v>539.47615075256306</v>
      </c>
      <c r="DT47" s="62">
        <f ca="1">AVERAGE(OFFSET($DS$3,0,0,'Données projet'!$E$14+1,1))-AVERAGE(OFFSET($H$3,0,0,'Données projet'!$E$14+1,1))</f>
        <v>349.73011349954953</v>
      </c>
      <c r="DU47" s="62">
        <f t="shared" si="44"/>
        <v>154.08406475869634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11.820000000000004</v>
      </c>
      <c r="N48" s="14">
        <f>IF('Données projet'!$A$36&gt;35,N47+M48-V47,IF(A48&lt;'Données projet'!$A$36,$K$205^A48,IF(A48='Données projet'!$A$36,'Données projet'!$B$36,N47+M48-V47)))</f>
        <v>302.35999999999984</v>
      </c>
      <c r="O48" s="14">
        <f>N48*VLOOKUP('Données projet'!$B$9,Paramètres!$A$1:$I$89,3,0)*VLOOKUP('Données projet'!$B$9,Paramètres!$A$1:$I$89,5,0)</f>
        <v>180.81127999999993</v>
      </c>
      <c r="P48" s="14">
        <f t="shared" si="33"/>
        <v>45.502633752536653</v>
      </c>
      <c r="Q48" s="22">
        <f t="shared" si="53"/>
        <v>394.16339978566788</v>
      </c>
      <c r="R48" s="62">
        <f t="shared" si="0"/>
        <v>687.49673311900119</v>
      </c>
      <c r="S48" s="62">
        <f ca="1">AVERAGE(OFFSET($R$3,0,0,'Données projet'!$E$9+1,1))-AVERAGE(OFFSET($H$3,0,0,'Données projet'!$E$9+1,1))</f>
        <v>203.63995177374335</v>
      </c>
      <c r="T48" s="62">
        <f t="shared" si="34"/>
        <v>268.97461244918378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10.534763653124854</v>
      </c>
      <c r="AA48" s="23">
        <f>EXP(-LN(2)/25)*AA47+(1-EXP(-LN(2)/25))/(LN(2)/25)*Calculateur!V48*Calculateur!X48*VLOOKUP('Données projet'!$B$9,Paramètres!$A$1:$I$89,3,0)*0.475*44/12</f>
        <v>8.2671297647695656</v>
      </c>
      <c r="AB48" s="23">
        <f>EXP(-LN(2)/2)*AB47+(1-EXP(-LN(2)/2))/(LN(2)/2)*V48*Y48*VLOOKUP('Données projet'!$B$9,Paramètres!$A$1:$I$89,3,0)*0.475*44/12</f>
        <v>1.7689138240388359E-2</v>
      </c>
      <c r="AC48" s="24">
        <f t="shared" si="3"/>
        <v>18.819582556134808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121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120.99999999999999</v>
      </c>
      <c r="AJ48" s="14">
        <f>AI48*VLOOKUP('Données projet'!$B$10,Paramètres!$A$1:$I$89,3,0)*VLOOKUP('Données projet'!$B$10,Paramètres!$A$1:$I$89,5,0)</f>
        <v>122.69399999999999</v>
      </c>
      <c r="AK48" s="14">
        <f t="shared" si="35"/>
        <v>32.302516360650685</v>
      </c>
      <c r="AL48" s="22">
        <f t="shared" si="4"/>
        <v>269.95226599479992</v>
      </c>
      <c r="AM48" s="62">
        <f t="shared" si="5"/>
        <v>563.28559932813323</v>
      </c>
      <c r="AN48" s="62">
        <f ca="1">AVERAGE(OFFSET($AM$3,0,0,'Données projet'!$E$10+1,1))-AVERAGE(OFFSET($H$3,0,0,'Données projet'!$E$10+1,1))</f>
        <v>364.69354394930866</v>
      </c>
      <c r="AO48" s="62">
        <f t="shared" si="36"/>
        <v>159.6134369231965</v>
      </c>
      <c r="AP48" s="16">
        <f>IF(ISNA(VLOOKUP(A48,'Données projet'!$A$61:$I$81,3,0)),0,VLOOKUP(A48,'Données projet'!$A$61:$I$81,3,0))</f>
        <v>2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115</v>
      </c>
      <c r="BB48" s="13">
        <f>VLOOKUP(A48,'Données projet'!$A$87:$I$107,9,0)</f>
        <v>4.5999999999999996</v>
      </c>
      <c r="BC48" s="13">
        <f t="array" ref="BC48">INDEX(BB:BB,MIN(IF(ISNUMBER(BB48:BB244),ROW(BB48:BB244),"")))</f>
        <v>4.5999999999999996</v>
      </c>
      <c r="BD48" s="13">
        <f>IF('Données projet'!$A$88&gt;35,BD47+BC48-BL47,IF(A48&lt;'Données projet'!$A$88,$BA$205^A48,IF(A48='Données projet'!$A$88,'Données projet'!$B$88,BD47+BC48-BL47)))</f>
        <v>114.99999999999994</v>
      </c>
      <c r="BE48" s="14">
        <f>BD48*VLOOKUP('Données projet'!$B$11,Paramètres!$A$1:$I$89,3,0)*VLOOKUP('Données projet'!$B$11,Paramètres!$A$1:$I$89,5,0)</f>
        <v>100.46399999999997</v>
      </c>
      <c r="BF48" s="14">
        <f t="shared" si="37"/>
        <v>27.072509349827456</v>
      </c>
      <c r="BG48" s="22">
        <f t="shared" si="7"/>
        <v>222.12608711761609</v>
      </c>
      <c r="BH48" s="62">
        <f t="shared" si="8"/>
        <v>515.45942045094944</v>
      </c>
      <c r="BI48" s="62">
        <f ca="1">AVERAGE(OFFSET($BH$3,0,0,'Données projet'!$E$11+1,1))-AVERAGE(OFFSET($H$3,0,0,'Données projet'!$E$11+1,1))</f>
        <v>241.00707378755914</v>
      </c>
      <c r="BJ48" s="62">
        <f t="shared" si="38"/>
        <v>239.93573789765657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113.46153846153845</v>
      </c>
      <c r="BW48" s="13">
        <f>VLOOKUP(A48,'Données projet'!$A$113:$I$133,9,0)</f>
        <v>4.8717948717948705</v>
      </c>
      <c r="BX48" s="13">
        <f t="array" ref="BX48">INDEX(BW:BW,MIN(IF(ISNUMBER(BW48:BW244),ROW(BW48:BW244),"")))</f>
        <v>4.8717948717948705</v>
      </c>
      <c r="BY48" s="13">
        <f>IF('Données projet'!$A$114&gt;35,BY47+BX48-CG47,IF(A48&lt;'Données projet'!$A$114,$BV$205^A48,IF(A48='Données projet'!$A$114,'Données projet'!$B$114,BY47+BX48-CG47)))</f>
        <v>113.46153846153848</v>
      </c>
      <c r="BZ48" s="14">
        <f>BY48*VLOOKUP('Données projet'!$B$12,Paramètres!$A$1:$I$89,3,0)*VLOOKUP('Données projet'!$B$12,Paramètres!$A$1:$I$89,5,0)</f>
        <v>76.110000000000014</v>
      </c>
      <c r="CA48" s="14">
        <f t="shared" si="39"/>
        <v>21.183317247195632</v>
      </c>
      <c r="CB48" s="22">
        <f t="shared" si="10"/>
        <v>169.45252753886575</v>
      </c>
      <c r="CC48" s="62">
        <f t="shared" si="11"/>
        <v>462.78586087219907</v>
      </c>
      <c r="CD48" s="62">
        <f ca="1">AVERAGE(OFFSET($CC$3,0,0,'Données projet'!$E$12+1,1))-AVERAGE(OFFSET($H$3,0,0,'Données projet'!$E$12+1,1))</f>
        <v>207.91006140109965</v>
      </c>
      <c r="CE48" s="62">
        <f t="shared" si="40"/>
        <v>164.93317437647255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113.46153846153845</v>
      </c>
      <c r="CR48" s="13">
        <f>VLOOKUP(A48,'Données projet'!$A$139:$I$159,9,0)</f>
        <v>4.8717948717948705</v>
      </c>
      <c r="CS48" s="13">
        <f t="array" ref="CS48">INDEX(CR:CR,MIN(IF(ISNUMBER(CR48:CR244),ROW(CR48:CR244),"")))</f>
        <v>4.8717948717948705</v>
      </c>
      <c r="CT48" s="13">
        <f>IF('Données projet'!$A$140&gt;35,CT47+CS48-DB47,IF(A48&lt;'Données projet'!$A$140,$CQ$205^A48,IF(A48='Données projet'!$A$140,'Données projet'!$B$140,CT47+CS48-DB47)))</f>
        <v>113.46153846153848</v>
      </c>
      <c r="CU48" s="18">
        <f>CT48*VLOOKUP('Données projet'!$B$13,Paramètres!$A$1:$I$89,3,0)*VLOOKUP('Données projet'!$B$13,Paramètres!$A$1:$I$89,5,0)</f>
        <v>97.350000000000023</v>
      </c>
      <c r="CV48" s="14">
        <f t="shared" si="41"/>
        <v>26.329688157919527</v>
      </c>
      <c r="CW48" s="22">
        <f t="shared" si="13"/>
        <v>215.40879020837653</v>
      </c>
      <c r="CX48" s="62">
        <f t="shared" si="14"/>
        <v>508.74212354170982</v>
      </c>
      <c r="CY48" s="62">
        <f ca="1">AVERAGE(OFFSET($CX$3,0,0,'Données projet'!$E$13+1,1))-AVERAGE(OFFSET($H$3,0,0,'Données projet'!$E$13+1,1))</f>
        <v>255.77222823147724</v>
      </c>
      <c r="CZ48" s="62">
        <f t="shared" si="42"/>
        <v>199.6931080052031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121</v>
      </c>
      <c r="DM48" s="13">
        <f>VLOOKUP(A48,'Données projet'!$A$165:$I$185,9,0)</f>
        <v>5.6</v>
      </c>
      <c r="DN48" s="13">
        <f t="array" ref="DN48">INDEX(DM:DM,MIN(IF(ISNUMBER(DM48:DM244),ROW(DM48:DM244),"")))</f>
        <v>5.6</v>
      </c>
      <c r="DO48" s="13">
        <f>IF('Données projet'!$A$166&gt;35,DO47+DN48-DW47,IF(A48&lt;'Données projet'!$A$166,$DL$205^A48,IF(A48='Données projet'!$A$166,'Données projet'!$B$166,DO47+DN48-DW47)))</f>
        <v>120.99999999999999</v>
      </c>
      <c r="DP48" s="18">
        <f>DO48*VLOOKUP('Données projet'!$B$14,Paramètres!$A$1:$I$89,3,0)*VLOOKUP('Données projet'!$B$14,Paramètres!$A$1:$I$89,5,0)</f>
        <v>117.0312</v>
      </c>
      <c r="DQ48" s="14">
        <f t="shared" si="43"/>
        <v>30.981569147428527</v>
      </c>
      <c r="DR48" s="22">
        <f t="shared" si="16"/>
        <v>257.78890626510469</v>
      </c>
      <c r="DS48" s="62">
        <f t="shared" si="17"/>
        <v>551.122239598438</v>
      </c>
      <c r="DT48" s="62">
        <f ca="1">AVERAGE(OFFSET($DS$3,0,0,'Données projet'!$E$14+1,1))-AVERAGE(OFFSET($H$3,0,0,'Données projet'!$E$14+1,1))</f>
        <v>349.73011349954953</v>
      </c>
      <c r="DU48" s="62">
        <f t="shared" si="44"/>
        <v>154.08406475869634</v>
      </c>
      <c r="DV48" s="16">
        <f>IF(ISNA(VLOOKUP(A48,'Données projet'!$A$165:$I$185,3,0)),0,VLOOKUP(A48,'Données projet'!$A$165:$I$185,3,0))</f>
        <v>2</v>
      </c>
      <c r="DW48" s="16">
        <f>IF(ISNA(VLOOKUP(A48,'Données projet'!$A$165:$I$185,4,0)),0,VLOOKUP(A48,'Données projet'!$A$165:$I$185,4,0))</f>
        <v>28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11.820000000000004</v>
      </c>
      <c r="N49" s="14">
        <f>IF('Données projet'!$A$36&gt;35,N48+M49-V48,IF(A49&lt;'Données projet'!$A$36,$K$205^A49,IF(A49='Données projet'!$A$36,'Données projet'!$B$36,N48+M49-V48)))</f>
        <v>314.17999999999984</v>
      </c>
      <c r="O49" s="14">
        <f>N49*VLOOKUP('Données projet'!$B$9,Paramètres!$A$1:$I$89,3,0)*VLOOKUP('Données projet'!$B$9,Paramètres!$A$1:$I$89,5,0)</f>
        <v>187.87963999999991</v>
      </c>
      <c r="P49" s="14">
        <f t="shared" si="33"/>
        <v>47.070865615117853</v>
      </c>
      <c r="Q49" s="22">
        <f t="shared" si="53"/>
        <v>409.2054639463301</v>
      </c>
      <c r="R49" s="62">
        <f t="shared" si="0"/>
        <v>702.53879727966341</v>
      </c>
      <c r="S49" s="62">
        <f ca="1">AVERAGE(OFFSET($R$3,0,0,'Données projet'!$E$9+1,1))-AVERAGE(OFFSET($H$3,0,0,'Données projet'!$E$9+1,1))</f>
        <v>203.63995177374335</v>
      </c>
      <c r="T49" s="62">
        <f t="shared" si="34"/>
        <v>268.97461244918378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10.328183363458431</v>
      </c>
      <c r="AA49" s="23">
        <f>EXP(-LN(2)/25)*AA48+(1-EXP(-LN(2)/25))/(LN(2)/25)*Calculateur!V49*Calculateur!X49*VLOOKUP('Données projet'!$B$9,Paramètres!$A$1:$I$89,3,0)*0.475*44/12</f>
        <v>8.0410646666024821</v>
      </c>
      <c r="AB49" s="23">
        <f>EXP(-LN(2)/2)*AB48+(1-EXP(-LN(2)/2))/(LN(2)/2)*V49*Y49*VLOOKUP('Données projet'!$B$9,Paramètres!$A$1:$I$89,3,0)*0.475*44/12</f>
        <v>1.2508109603124882E-2</v>
      </c>
      <c r="AC49" s="24">
        <f t="shared" si="3"/>
        <v>18.381756139664038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99.980399999999989</v>
      </c>
      <c r="AK49" s="14">
        <f t="shared" si="35"/>
        <v>26.957328065359373</v>
      </c>
      <c r="AL49" s="22">
        <f t="shared" si="4"/>
        <v>221.08320971383421</v>
      </c>
      <c r="AM49" s="62">
        <f t="shared" si="5"/>
        <v>514.41654304716758</v>
      </c>
      <c r="AN49" s="62">
        <f ca="1">AVERAGE(OFFSET($AM$3,0,0,'Données projet'!$E$10+1,1))-AVERAGE(OFFSET($H$3,0,0,'Données projet'!$E$10+1,1))</f>
        <v>364.69354394930866</v>
      </c>
      <c r="AO49" s="62">
        <f t="shared" si="36"/>
        <v>159.6134369231965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4.2</v>
      </c>
      <c r="BD49" s="13">
        <f>IF('Données projet'!$A$88&gt;35,BD48+BC49-BL48,IF(A49&lt;'Données projet'!$A$88,$BA$205^A49,IF(A49='Données projet'!$A$88,'Données projet'!$B$88,BD48+BC49-BL48)))</f>
        <v>119.19999999999995</v>
      </c>
      <c r="BE49" s="14">
        <f>BD49*VLOOKUP('Données projet'!$B$11,Paramètres!$A$1:$I$89,3,0)*VLOOKUP('Données projet'!$B$11,Paramètres!$A$1:$I$89,5,0)</f>
        <v>104.13311999999998</v>
      </c>
      <c r="BF49" s="14">
        <f t="shared" si="37"/>
        <v>27.944323474595436</v>
      </c>
      <c r="BG49" s="22">
        <f t="shared" si="7"/>
        <v>230.03488071825367</v>
      </c>
      <c r="BH49" s="62">
        <f t="shared" si="8"/>
        <v>523.36821405158696</v>
      </c>
      <c r="BI49" s="62">
        <f ca="1">AVERAGE(OFFSET($BH$3,0,0,'Données projet'!$E$11+1,1))-AVERAGE(OFFSET($H$3,0,0,'Données projet'!$E$11+1,1))</f>
        <v>241.00707378755914</v>
      </c>
      <c r="BJ49" s="62">
        <f t="shared" si="38"/>
        <v>239.93573789765657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4.4871794871794863</v>
      </c>
      <c r="BY49" s="13">
        <f>IF('Données projet'!$A$114&gt;35,BY48+BX49-CG48,IF(A49&lt;'Données projet'!$A$114,$BV$205^A49,IF(A49='Données projet'!$A$114,'Données projet'!$B$114,BY48+BX49-CG48)))</f>
        <v>117.94871794871797</v>
      </c>
      <c r="BZ49" s="14">
        <f>BY49*VLOOKUP('Données projet'!$B$12,Paramètres!$A$1:$I$89,3,0)*VLOOKUP('Données projet'!$B$12,Paramètres!$A$1:$I$89,5,0)</f>
        <v>79.120000000000019</v>
      </c>
      <c r="CA49" s="14">
        <f t="shared" si="39"/>
        <v>21.921881238270821</v>
      </c>
      <c r="CB49" s="22">
        <f t="shared" si="10"/>
        <v>175.98127648998835</v>
      </c>
      <c r="CC49" s="62">
        <f t="shared" si="11"/>
        <v>469.31460982332169</v>
      </c>
      <c r="CD49" s="62">
        <f ca="1">AVERAGE(OFFSET($CC$3,0,0,'Données projet'!$E$12+1,1))-AVERAGE(OFFSET($H$3,0,0,'Données projet'!$E$12+1,1))</f>
        <v>207.91006140109965</v>
      </c>
      <c r="CE49" s="62">
        <f t="shared" si="40"/>
        <v>164.93317437647255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4.4871794871794863</v>
      </c>
      <c r="CT49" s="13">
        <f>IF('Données projet'!$A$140&gt;35,CT48+CS49-DB48,IF(A49&lt;'Données projet'!$A$140,$CQ$205^A49,IF(A49='Données projet'!$A$140,'Données projet'!$B$140,CT48+CS49-DB48)))</f>
        <v>117.94871794871797</v>
      </c>
      <c r="CU49" s="18">
        <f>CT49*VLOOKUP('Données projet'!$B$13,Paramètres!$A$1:$I$89,3,0)*VLOOKUP('Données projet'!$B$13,Paramètres!$A$1:$I$89,5,0)</f>
        <v>101.20000000000003</v>
      </c>
      <c r="CV49" s="14">
        <f t="shared" si="41"/>
        <v>27.247682225739684</v>
      </c>
      <c r="CW49" s="22">
        <f t="shared" si="13"/>
        <v>223.71304654316336</v>
      </c>
      <c r="CX49" s="62">
        <f t="shared" si="14"/>
        <v>517.04637987649664</v>
      </c>
      <c r="CY49" s="62">
        <f ca="1">AVERAGE(OFFSET($CX$3,0,0,'Données projet'!$E$13+1,1))-AVERAGE(OFFSET($H$3,0,0,'Données projet'!$E$13+1,1))</f>
        <v>255.77222823147724</v>
      </c>
      <c r="CZ49" s="62">
        <f t="shared" si="42"/>
        <v>199.6931080052031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5.6</v>
      </c>
      <c r="DO49" s="13">
        <f>IF('Données projet'!$A$166&gt;35,DO48+DN49-DW48,IF(A49&lt;'Données projet'!$A$166,$DL$205^A49,IF(A49='Données projet'!$A$166,'Données projet'!$B$166,DO48+DN49-DW48)))</f>
        <v>98.59999999999998</v>
      </c>
      <c r="DP49" s="18">
        <f>DO49*VLOOKUP('Données projet'!$B$14,Paramètres!$A$1:$I$89,3,0)*VLOOKUP('Données projet'!$B$14,Paramètres!$A$1:$I$89,5,0)</f>
        <v>95.365919999999974</v>
      </c>
      <c r="DQ49" s="14">
        <f t="shared" si="43"/>
        <v>25.854961705219438</v>
      </c>
      <c r="DR49" s="22">
        <f t="shared" si="16"/>
        <v>211.12636896992379</v>
      </c>
      <c r="DS49" s="62">
        <f t="shared" si="17"/>
        <v>504.45970230325713</v>
      </c>
      <c r="DT49" s="62">
        <f ca="1">AVERAGE(OFFSET($DS$3,0,0,'Données projet'!$E$14+1,1))-AVERAGE(OFFSET($H$3,0,0,'Données projet'!$E$14+1,1))</f>
        <v>349.73011349954953</v>
      </c>
      <c r="DU49" s="62">
        <f t="shared" si="44"/>
        <v>154.08406475869634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>
        <f>VLOOKUP(A50,'Données projet'!$A$35:$I$55,2,0)</f>
        <v>326</v>
      </c>
      <c r="L50" s="13">
        <f>VLOOKUP(A50,'Données projet'!$A$35:$I$55,9,0)</f>
        <v>11.820000000000004</v>
      </c>
      <c r="M50" s="13">
        <f t="array" ref="M50">INDEX(L:L,MIN(IF(ISNUMBER(L50:L246),ROW(L50:L246),"")))</f>
        <v>11.820000000000004</v>
      </c>
      <c r="N50" s="14">
        <f>IF('Données projet'!$A$36&gt;35,N49+M50-V49,IF(A50&lt;'Données projet'!$A$36,$K$205^A50,IF(A50='Données projet'!$A$36,'Données projet'!$B$36,N49+M50-V49)))</f>
        <v>325.99999999999983</v>
      </c>
      <c r="O50" s="14">
        <f>N50*VLOOKUP('Données projet'!$B$9,Paramètres!$A$1:$I$89,3,0)*VLOOKUP('Données projet'!$B$9,Paramètres!$A$1:$I$89,5,0)</f>
        <v>194.94799999999989</v>
      </c>
      <c r="P50" s="14">
        <f t="shared" si="33"/>
        <v>48.632243229245653</v>
      </c>
      <c r="Q50" s="22">
        <f t="shared" si="53"/>
        <v>424.23559029093599</v>
      </c>
      <c r="R50" s="62">
        <f t="shared" si="0"/>
        <v>717.56892362426925</v>
      </c>
      <c r="S50" s="62">
        <f ca="1">AVERAGE(OFFSET($R$3,0,0,'Données projet'!$E$9+1,1))-AVERAGE(OFFSET($H$3,0,0,'Données projet'!$E$9+1,1))</f>
        <v>203.63995177374335</v>
      </c>
      <c r="T50" s="62">
        <f t="shared" si="34"/>
        <v>268.97461244918378</v>
      </c>
      <c r="U50" s="16">
        <f>IF(ISNA(VLOOKUP(A50,'Données projet'!$A$35:$I$55,3,0)),0,VLOOKUP(A50,'Données projet'!$A$35:$I$55,3,0))</f>
        <v>5</v>
      </c>
      <c r="V50" s="16">
        <f>IF(ISNA(VLOOKUP(A50,'Données projet'!$A$35:$I$55,4,0)),0,VLOOKUP(A50,'Données projet'!$A$35:$I$55,4,0))</f>
        <v>326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10.125653987270832</v>
      </c>
      <c r="AA50" s="23">
        <f>EXP(-LN(2)/25)*AA49+(1-EXP(-LN(2)/25))/(LN(2)/25)*Calculateur!V50*Calculateur!X50*VLOOKUP('Données projet'!$B$9,Paramètres!$A$1:$I$89,3,0)*0.475*44/12</f>
        <v>7.8211813304330242</v>
      </c>
      <c r="AB50" s="23">
        <f>EXP(-LN(2)/2)*AB49+(1-EXP(-LN(2)/2))/(LN(2)/2)*V50*Y50*VLOOKUP('Données projet'!$B$9,Paramètres!$A$1:$I$89,3,0)*0.475*44/12</f>
        <v>8.8445691201941793E-3</v>
      </c>
      <c r="AC50" s="24">
        <f t="shared" si="3"/>
        <v>17.955679886824051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105.65879999999999</v>
      </c>
      <c r="AK50" s="14">
        <f t="shared" si="35"/>
        <v>28.305779445097851</v>
      </c>
      <c r="AL50" s="22">
        <f t="shared" si="4"/>
        <v>233.32164253354537</v>
      </c>
      <c r="AM50" s="62">
        <f t="shared" si="5"/>
        <v>526.65497586687866</v>
      </c>
      <c r="AN50" s="62">
        <f ca="1">AVERAGE(OFFSET($AM$3,0,0,'Données projet'!$E$10+1,1))-AVERAGE(OFFSET($H$3,0,0,'Données projet'!$E$10+1,1))</f>
        <v>364.69354394930866</v>
      </c>
      <c r="AO50" s="62">
        <f t="shared" si="36"/>
        <v>159.6134369231965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4.2</v>
      </c>
      <c r="BD50" s="13">
        <f>IF('Données projet'!$A$88&gt;35,BD49+BC50-BL49,IF(A50&lt;'Données projet'!$A$88,$BA$205^A50,IF(A50='Données projet'!$A$88,'Données projet'!$B$88,BD49+BC50-BL49)))</f>
        <v>123.39999999999995</v>
      </c>
      <c r="BE50" s="14">
        <f>BD50*VLOOKUP('Données projet'!$B$11,Paramètres!$A$1:$I$89,3,0)*VLOOKUP('Données projet'!$B$11,Paramètres!$A$1:$I$89,5,0)</f>
        <v>107.80223999999998</v>
      </c>
      <c r="BF50" s="14">
        <f t="shared" si="37"/>
        <v>28.812568533501945</v>
      </c>
      <c r="BG50" s="22">
        <f t="shared" si="7"/>
        <v>237.93745819584919</v>
      </c>
      <c r="BH50" s="62">
        <f t="shared" si="8"/>
        <v>531.27079152918247</v>
      </c>
      <c r="BI50" s="62">
        <f ca="1">AVERAGE(OFFSET($BH$3,0,0,'Données projet'!$E$11+1,1))-AVERAGE(OFFSET($H$3,0,0,'Données projet'!$E$11+1,1))</f>
        <v>241.00707378755914</v>
      </c>
      <c r="BJ50" s="62">
        <f t="shared" si="38"/>
        <v>239.93573789765657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4.4871794871794863</v>
      </c>
      <c r="BY50" s="13">
        <f>IF('Données projet'!$A$114&gt;35,BY49+BX50-CG49,IF(A50&lt;'Données projet'!$A$114,$BV$205^A50,IF(A50='Données projet'!$A$114,'Données projet'!$B$114,BY49+BX50-CG49)))</f>
        <v>122.43589743589746</v>
      </c>
      <c r="BZ50" s="14">
        <f>BY50*VLOOKUP('Données projet'!$B$12,Paramètres!$A$1:$I$89,3,0)*VLOOKUP('Données projet'!$B$12,Paramètres!$A$1:$I$89,5,0)</f>
        <v>82.13000000000001</v>
      </c>
      <c r="CA50" s="14">
        <f t="shared" si="39"/>
        <v>22.657181074435304</v>
      </c>
      <c r="CB50" s="22">
        <f t="shared" si="10"/>
        <v>182.50434037130813</v>
      </c>
      <c r="CC50" s="62">
        <f t="shared" si="11"/>
        <v>475.83767370464147</v>
      </c>
      <c r="CD50" s="62">
        <f ca="1">AVERAGE(OFFSET($CC$3,0,0,'Données projet'!$E$12+1,1))-AVERAGE(OFFSET($H$3,0,0,'Données projet'!$E$12+1,1))</f>
        <v>207.91006140109965</v>
      </c>
      <c r="CE50" s="62">
        <f t="shared" si="40"/>
        <v>164.93317437647255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4.4871794871794863</v>
      </c>
      <c r="CT50" s="13">
        <f>IF('Données projet'!$A$140&gt;35,CT49+CS50-DB49,IF(A50&lt;'Données projet'!$A$140,$CQ$205^A50,IF(A50='Données projet'!$A$140,'Données projet'!$B$140,CT49+CS50-DB49)))</f>
        <v>122.43589743589746</v>
      </c>
      <c r="CU50" s="18">
        <f>CT50*VLOOKUP('Données projet'!$B$13,Paramètres!$A$1:$I$89,3,0)*VLOOKUP('Données projet'!$B$13,Paramètres!$A$1:$I$89,5,0)</f>
        <v>105.05000000000003</v>
      </c>
      <c r="CV50" s="14">
        <f t="shared" si="41"/>
        <v>28.161619130090344</v>
      </c>
      <c r="CW50" s="22">
        <f t="shared" si="13"/>
        <v>232.01023665157402</v>
      </c>
      <c r="CX50" s="62">
        <f t="shared" si="14"/>
        <v>525.34356998490739</v>
      </c>
      <c r="CY50" s="62">
        <f ca="1">AVERAGE(OFFSET($CX$3,0,0,'Données projet'!$E$13+1,1))-AVERAGE(OFFSET($H$3,0,0,'Données projet'!$E$13+1,1))</f>
        <v>255.77222823147724</v>
      </c>
      <c r="CZ50" s="62">
        <f t="shared" si="42"/>
        <v>199.6931080052031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5.6</v>
      </c>
      <c r="DO50" s="13">
        <f>IF('Données projet'!$A$166&gt;35,DO49+DN50-DW49,IF(A50&lt;'Données projet'!$A$166,$DL$205^A50,IF(A50='Données projet'!$A$166,'Données projet'!$B$166,DO49+DN50-DW49)))</f>
        <v>104.19999999999997</v>
      </c>
      <c r="DP50" s="18">
        <f>DO50*VLOOKUP('Données projet'!$B$14,Paramètres!$A$1:$I$89,3,0)*VLOOKUP('Données projet'!$B$14,Paramètres!$A$1:$I$89,5,0)</f>
        <v>100.78223999999997</v>
      </c>
      <c r="DQ50" s="14">
        <f t="shared" si="43"/>
        <v>27.148270845500655</v>
      </c>
      <c r="DR50" s="22">
        <f t="shared" si="16"/>
        <v>222.81230638924691</v>
      </c>
      <c r="DS50" s="62">
        <f t="shared" si="17"/>
        <v>516.1456397225802</v>
      </c>
      <c r="DT50" s="62">
        <f ca="1">AVERAGE(OFFSET($DS$3,0,0,'Données projet'!$E$14+1,1))-AVERAGE(OFFSET($H$3,0,0,'Données projet'!$E$14+1,1))</f>
        <v>349.73011349954953</v>
      </c>
      <c r="DU50" s="62">
        <f t="shared" si="44"/>
        <v>154.08406475869634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-1.7053025658242404E-13</v>
      </c>
      <c r="O51" s="14">
        <f>N51*VLOOKUP('Données projet'!$B$9,Paramètres!$A$1:$I$89,3,0)*VLOOKUP('Données projet'!$B$9,Paramètres!$A$1:$I$89,5,0)</f>
        <v>-1.0197709343628959E-13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203.63995177374335</v>
      </c>
      <c r="T51" s="62">
        <f t="shared" si="34"/>
        <v>268.97461244918378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9.9270960886195496</v>
      </c>
      <c r="AA51" s="23">
        <f>EXP(-LN(2)/25)*AA50+(1-EXP(-LN(2)/25))/(LN(2)/25)*Calculateur!V51*Calculateur!X51*VLOOKUP('Données projet'!$B$9,Paramètres!$A$1:$I$89,3,0)*0.475*44/12</f>
        <v>7.6073107156542825</v>
      </c>
      <c r="AB51" s="23">
        <f>EXP(-LN(2)/2)*AB50+(1-EXP(-LN(2)/2))/(LN(2)/2)*V51*Y51*VLOOKUP('Données projet'!$B$9,Paramètres!$A$1:$I$89,3,0)*0.475*44/12</f>
        <v>6.2540548015624408E-3</v>
      </c>
      <c r="AC51" s="24">
        <f t="shared" si="3"/>
        <v>17.540660859075395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111.33719999999997</v>
      </c>
      <c r="AK51" s="14">
        <f t="shared" si="35"/>
        <v>29.645817422905317</v>
      </c>
      <c r="AL51" s="22">
        <f t="shared" si="4"/>
        <v>245.54542201156005</v>
      </c>
      <c r="AM51" s="62">
        <f t="shared" si="5"/>
        <v>538.87875534489331</v>
      </c>
      <c r="AN51" s="62">
        <f ca="1">AVERAGE(OFFSET($AM$3,0,0,'Données projet'!$E$10+1,1))-AVERAGE(OFFSET($H$3,0,0,'Données projet'!$E$10+1,1))</f>
        <v>364.69354394930866</v>
      </c>
      <c r="AO51" s="62">
        <f t="shared" si="36"/>
        <v>159.6134369231965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4.2</v>
      </c>
      <c r="BD51" s="13">
        <f>IF('Données projet'!$A$88&gt;35,BD50+BC51-BL50,IF(A51&lt;'Données projet'!$A$88,$BA$205^A51,IF(A51='Données projet'!$A$88,'Données projet'!$B$88,BD50+BC51-BL50)))</f>
        <v>127.59999999999995</v>
      </c>
      <c r="BE51" s="14">
        <f>BD51*VLOOKUP('Données projet'!$B$11,Paramètres!$A$1:$I$89,3,0)*VLOOKUP('Données projet'!$B$11,Paramètres!$A$1:$I$89,5,0)</f>
        <v>111.47135999999996</v>
      </c>
      <c r="BF51" s="14">
        <f t="shared" si="37"/>
        <v>29.677379926628443</v>
      </c>
      <c r="BG51" s="22">
        <f t="shared" si="7"/>
        <v>245.83405537221108</v>
      </c>
      <c r="BH51" s="62">
        <f t="shared" si="8"/>
        <v>539.16738870554445</v>
      </c>
      <c r="BI51" s="62">
        <f ca="1">AVERAGE(OFFSET($BH$3,0,0,'Données projet'!$E$11+1,1))-AVERAGE(OFFSET($H$3,0,0,'Données projet'!$E$11+1,1))</f>
        <v>241.00707378755914</v>
      </c>
      <c r="BJ51" s="62">
        <f t="shared" si="38"/>
        <v>239.93573789765657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4.4871794871794863</v>
      </c>
      <c r="BY51" s="13">
        <f>IF('Données projet'!$A$114&gt;35,BY50+BX51-CG50,IF(A51&lt;'Données projet'!$A$114,$BV$205^A51,IF(A51='Données projet'!$A$114,'Données projet'!$B$114,BY50+BX51-CG50)))</f>
        <v>126.92307692307695</v>
      </c>
      <c r="BZ51" s="14">
        <f>BY51*VLOOKUP('Données projet'!$B$12,Paramètres!$A$1:$I$89,3,0)*VLOOKUP('Données projet'!$B$12,Paramètres!$A$1:$I$89,5,0)</f>
        <v>85.140000000000015</v>
      </c>
      <c r="CA51" s="14">
        <f t="shared" si="39"/>
        <v>23.389350085445869</v>
      </c>
      <c r="CB51" s="22">
        <f t="shared" si="10"/>
        <v>189.02195139881826</v>
      </c>
      <c r="CC51" s="62">
        <f t="shared" si="11"/>
        <v>482.35528473215157</v>
      </c>
      <c r="CD51" s="62">
        <f ca="1">AVERAGE(OFFSET($CC$3,0,0,'Données projet'!$E$12+1,1))-AVERAGE(OFFSET($H$3,0,0,'Données projet'!$E$12+1,1))</f>
        <v>207.91006140109965</v>
      </c>
      <c r="CE51" s="62">
        <f t="shared" si="40"/>
        <v>164.93317437647255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4.4871794871794863</v>
      </c>
      <c r="CT51" s="13">
        <f>IF('Données projet'!$A$140&gt;35,CT50+CS51-DB50,IF(A51&lt;'Données projet'!$A$140,$CQ$205^A51,IF(A51='Données projet'!$A$140,'Données projet'!$B$140,CT50+CS51-DB50)))</f>
        <v>126.92307692307695</v>
      </c>
      <c r="CU51" s="18">
        <f>CT51*VLOOKUP('Données projet'!$B$13,Paramètres!$A$1:$I$89,3,0)*VLOOKUP('Données projet'!$B$13,Paramètres!$A$1:$I$89,5,0)</f>
        <v>108.90000000000002</v>
      </c>
      <c r="CV51" s="14">
        <f t="shared" si="41"/>
        <v>29.071664592462525</v>
      </c>
      <c r="CW51" s="22">
        <f t="shared" si="13"/>
        <v>240.30064916520561</v>
      </c>
      <c r="CX51" s="62">
        <f t="shared" si="14"/>
        <v>533.6339824985389</v>
      </c>
      <c r="CY51" s="62">
        <f ca="1">AVERAGE(OFFSET($CX$3,0,0,'Données projet'!$E$13+1,1))-AVERAGE(OFFSET($H$3,0,0,'Données projet'!$E$13+1,1))</f>
        <v>255.77222823147724</v>
      </c>
      <c r="CZ51" s="62">
        <f t="shared" si="42"/>
        <v>199.6931080052031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5.6</v>
      </c>
      <c r="DO51" s="13">
        <f>IF('Données projet'!$A$166&gt;35,DO50+DN51-DW50,IF(A51&lt;'Données projet'!$A$166,$DL$205^A51,IF(A51='Données projet'!$A$166,'Données projet'!$B$166,DO50+DN51-DW50)))</f>
        <v>109.79999999999997</v>
      </c>
      <c r="DP51" s="18">
        <f>DO51*VLOOKUP('Données projet'!$B$14,Paramètres!$A$1:$I$89,3,0)*VLOOKUP('Données projet'!$B$14,Paramètres!$A$1:$I$89,5,0)</f>
        <v>106.19855999999997</v>
      </c>
      <c r="DQ51" s="14">
        <f t="shared" si="43"/>
        <v>28.433510633203252</v>
      </c>
      <c r="DR51" s="22">
        <f t="shared" si="16"/>
        <v>234.48418968616227</v>
      </c>
      <c r="DS51" s="62">
        <f t="shared" si="17"/>
        <v>527.81752301949564</v>
      </c>
      <c r="DT51" s="62">
        <f ca="1">AVERAGE(OFFSET($DS$3,0,0,'Données projet'!$E$14+1,1))-AVERAGE(OFFSET($H$3,0,0,'Données projet'!$E$14+1,1))</f>
        <v>349.73011349954953</v>
      </c>
      <c r="DU51" s="62">
        <f t="shared" si="44"/>
        <v>154.08406475869634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-1.7053025658242404E-13</v>
      </c>
      <c r="O52" s="14">
        <f>N52*VLOOKUP('Données projet'!$B$9,Paramètres!$A$1:$I$89,3,0)*VLOOKUP('Données projet'!$B$9,Paramètres!$A$1:$I$89,5,0)</f>
        <v>-1.0197709343628959E-13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203.63995177374335</v>
      </c>
      <c r="T52" s="62">
        <f t="shared" si="34"/>
        <v>268.97461244918378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9.732431789252459</v>
      </c>
      <c r="AA52" s="23">
        <f>EXP(-LN(2)/25)*AA51+(1-EXP(-LN(2)/25))/(LN(2)/25)*Calculateur!V52*Calculateur!X52*VLOOKUP('Données projet'!$B$9,Paramètres!$A$1:$I$89,3,0)*0.475*44/12</f>
        <v>7.3992884040836326</v>
      </c>
      <c r="AB52" s="23">
        <f>EXP(-LN(2)/2)*AB51+(1-EXP(-LN(2)/2))/(LN(2)/2)*V52*Y52*VLOOKUP('Données projet'!$B$9,Paramètres!$A$1:$I$89,3,0)*0.475*44/12</f>
        <v>4.4222845600970897E-3</v>
      </c>
      <c r="AC52" s="24">
        <f t="shared" si="3"/>
        <v>17.13614247789619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117.01559999999996</v>
      </c>
      <c r="AK52" s="14">
        <f t="shared" si="35"/>
        <v>30.977920050269788</v>
      </c>
      <c r="AL52" s="22">
        <f t="shared" si="4"/>
        <v>257.7553807542198</v>
      </c>
      <c r="AM52" s="62">
        <f t="shared" si="5"/>
        <v>551.08871408755317</v>
      </c>
      <c r="AN52" s="62">
        <f ca="1">AVERAGE(OFFSET($AM$3,0,0,'Données projet'!$E$10+1,1))-AVERAGE(OFFSET($H$3,0,0,'Données projet'!$E$10+1,1))</f>
        <v>364.69354394930866</v>
      </c>
      <c r="AO52" s="62">
        <f t="shared" si="36"/>
        <v>159.6134369231965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4.2</v>
      </c>
      <c r="BD52" s="13">
        <f>IF('Données projet'!$A$88&gt;35,BD51+BC52-BL51,IF(A52&lt;'Données projet'!$A$88,$BA$205^A52,IF(A52='Données projet'!$A$88,'Données projet'!$B$88,BD51+BC52-BL51)))</f>
        <v>131.79999999999995</v>
      </c>
      <c r="BE52" s="14">
        <f>BD52*VLOOKUP('Données projet'!$B$11,Paramètres!$A$1:$I$89,3,0)*VLOOKUP('Données projet'!$B$11,Paramètres!$A$1:$I$89,5,0)</f>
        <v>115.14047999999997</v>
      </c>
      <c r="BF52" s="14">
        <f t="shared" si="37"/>
        <v>30.5388836346829</v>
      </c>
      <c r="BG52" s="22">
        <f t="shared" si="7"/>
        <v>253.7248916637393</v>
      </c>
      <c r="BH52" s="62">
        <f t="shared" si="8"/>
        <v>547.05822499707256</v>
      </c>
      <c r="BI52" s="62">
        <f ca="1">AVERAGE(OFFSET($BH$3,0,0,'Données projet'!$E$11+1,1))-AVERAGE(OFFSET($H$3,0,0,'Données projet'!$E$11+1,1))</f>
        <v>241.00707378755914</v>
      </c>
      <c r="BJ52" s="62">
        <f t="shared" si="38"/>
        <v>239.93573789765657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4.4871794871794863</v>
      </c>
      <c r="BY52" s="13">
        <f>IF('Données projet'!$A$114&gt;35,BY51+BX52-CG51,IF(A52&lt;'Données projet'!$A$114,$BV$205^A52,IF(A52='Données projet'!$A$114,'Données projet'!$B$114,BY51+BX52-CG51)))</f>
        <v>131.41025641025644</v>
      </c>
      <c r="BZ52" s="14">
        <f>BY52*VLOOKUP('Données projet'!$B$12,Paramètres!$A$1:$I$89,3,0)*VLOOKUP('Données projet'!$B$12,Paramètres!$A$1:$I$89,5,0)</f>
        <v>88.15000000000002</v>
      </c>
      <c r="CA52" s="14">
        <f t="shared" si="39"/>
        <v>24.118511639205323</v>
      </c>
      <c r="CB52" s="22">
        <f t="shared" si="10"/>
        <v>195.53432443828262</v>
      </c>
      <c r="CC52" s="62">
        <f t="shared" si="11"/>
        <v>488.86765777161594</v>
      </c>
      <c r="CD52" s="62">
        <f ca="1">AVERAGE(OFFSET($CC$3,0,0,'Données projet'!$E$12+1,1))-AVERAGE(OFFSET($H$3,0,0,'Données projet'!$E$12+1,1))</f>
        <v>207.91006140109965</v>
      </c>
      <c r="CE52" s="62">
        <f t="shared" si="40"/>
        <v>164.93317437647255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4.4871794871794863</v>
      </c>
      <c r="CT52" s="13">
        <f>IF('Données projet'!$A$140&gt;35,CT51+CS52-DB51,IF(A52&lt;'Données projet'!$A$140,$CQ$205^A52,IF(A52='Données projet'!$A$140,'Données projet'!$B$140,CT51+CS52-DB51)))</f>
        <v>131.41025641025644</v>
      </c>
      <c r="CU52" s="18">
        <f>CT52*VLOOKUP('Données projet'!$B$13,Paramètres!$A$1:$I$89,3,0)*VLOOKUP('Données projet'!$B$13,Paramètres!$A$1:$I$89,5,0)</f>
        <v>112.75000000000004</v>
      </c>
      <c r="CV52" s="14">
        <f t="shared" si="41"/>
        <v>29.977971952315354</v>
      </c>
      <c r="CW52" s="22">
        <f t="shared" si="13"/>
        <v>248.58455115028264</v>
      </c>
      <c r="CX52" s="62">
        <f t="shared" si="14"/>
        <v>541.91788448361592</v>
      </c>
      <c r="CY52" s="62">
        <f ca="1">AVERAGE(OFFSET($CX$3,0,0,'Données projet'!$E$13+1,1))-AVERAGE(OFFSET($H$3,0,0,'Données projet'!$E$13+1,1))</f>
        <v>255.77222823147724</v>
      </c>
      <c r="CZ52" s="62">
        <f t="shared" si="42"/>
        <v>199.6931080052031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5.6</v>
      </c>
      <c r="DO52" s="13">
        <f>IF('Données projet'!$A$166&gt;35,DO51+DN52-DW51,IF(A52&lt;'Données projet'!$A$166,$DL$205^A52,IF(A52='Données projet'!$A$166,'Données projet'!$B$166,DO51+DN52-DW51)))</f>
        <v>115.39999999999996</v>
      </c>
      <c r="DP52" s="18">
        <f>DO52*VLOOKUP('Données projet'!$B$14,Paramètres!$A$1:$I$89,3,0)*VLOOKUP('Données projet'!$B$14,Paramètres!$A$1:$I$89,5,0)</f>
        <v>111.61487999999996</v>
      </c>
      <c r="DQ52" s="14">
        <f t="shared" si="43"/>
        <v>29.711139570849625</v>
      </c>
      <c r="DR52" s="22">
        <f t="shared" si="16"/>
        <v>246.14281741922969</v>
      </c>
      <c r="DS52" s="62">
        <f t="shared" si="17"/>
        <v>539.47615075256294</v>
      </c>
      <c r="DT52" s="62">
        <f ca="1">AVERAGE(OFFSET($DS$3,0,0,'Données projet'!$E$14+1,1))-AVERAGE(OFFSET($H$3,0,0,'Données projet'!$E$14+1,1))</f>
        <v>349.73011349954953</v>
      </c>
      <c r="DU52" s="62">
        <f t="shared" si="44"/>
        <v>154.08406475869634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-1.7053025658242404E-13</v>
      </c>
      <c r="O53" s="14">
        <f>N53*VLOOKUP('Données projet'!$B$9,Paramètres!$A$1:$I$89,3,0)*VLOOKUP('Données projet'!$B$9,Paramètres!$A$1:$I$89,5,0)</f>
        <v>-1.0197709343628959E-13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203.63995177374335</v>
      </c>
      <c r="T53" s="62">
        <f t="shared" si="34"/>
        <v>268.97461244918378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9.5415847380624594</v>
      </c>
      <c r="AA53" s="23">
        <f>EXP(-LN(2)/25)*AA52+(1-EXP(-LN(2)/25))/(LN(2)/25)*Calculateur!V53*Calculateur!X53*VLOOKUP('Données projet'!$B$9,Paramètres!$A$1:$I$89,3,0)*0.475*44/12</f>
        <v>7.1969544735622994</v>
      </c>
      <c r="AB53" s="23">
        <f>EXP(-LN(2)/2)*AB52+(1-EXP(-LN(2)/2))/(LN(2)/2)*V53*Y53*VLOOKUP('Données projet'!$B$9,Paramètres!$A$1:$I$89,3,0)*0.475*44/12</f>
        <v>3.1270274007812204E-3</v>
      </c>
      <c r="AC53" s="24">
        <f t="shared" si="3"/>
        <v>16.741666239025538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122.69399999999997</v>
      </c>
      <c r="AK53" s="14">
        <f t="shared" si="35"/>
        <v>32.302516360650685</v>
      </c>
      <c r="AL53" s="22">
        <f t="shared" si="4"/>
        <v>269.95226599479992</v>
      </c>
      <c r="AM53" s="62">
        <f t="shared" si="5"/>
        <v>563.28559932813323</v>
      </c>
      <c r="AN53" s="62">
        <f ca="1">AVERAGE(OFFSET($AM$3,0,0,'Données projet'!$E$10+1,1))-AVERAGE(OFFSET($H$3,0,0,'Données projet'!$E$10+1,1))</f>
        <v>364.69354394930866</v>
      </c>
      <c r="AO53" s="62">
        <f t="shared" si="36"/>
        <v>159.6134369231965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136</v>
      </c>
      <c r="BB53" s="13">
        <f>VLOOKUP(A53,'Données projet'!$A$87:$I$107,9,0)</f>
        <v>4.2</v>
      </c>
      <c r="BC53" s="13">
        <f t="array" ref="BC53">INDEX(BB:BB,MIN(IF(ISNUMBER(BB53:BB249),ROW(BB53:BB249),"")))</f>
        <v>4.2</v>
      </c>
      <c r="BD53" s="13">
        <f>IF('Données projet'!$A$88&gt;35,BD52+BC53-BL52,IF(A53&lt;'Données projet'!$A$88,$BA$205^A53,IF(A53='Données projet'!$A$88,'Données projet'!$B$88,BD52+BC53-BL52)))</f>
        <v>135.99999999999994</v>
      </c>
      <c r="BE53" s="14">
        <f>BD53*VLOOKUP('Données projet'!$B$11,Paramètres!$A$1:$I$89,3,0)*VLOOKUP('Données projet'!$B$11,Paramètres!$A$1:$I$89,5,0)</f>
        <v>118.80959999999997</v>
      </c>
      <c r="BF53" s="14">
        <f t="shared" si="37"/>
        <v>31.39719715333722</v>
      </c>
      <c r="BG53" s="22">
        <f t="shared" si="7"/>
        <v>261.6101717087289</v>
      </c>
      <c r="BH53" s="62">
        <f t="shared" si="8"/>
        <v>554.94350504206227</v>
      </c>
      <c r="BI53" s="62">
        <f ca="1">AVERAGE(OFFSET($BH$3,0,0,'Données projet'!$E$11+1,1))-AVERAGE(OFFSET($H$3,0,0,'Données projet'!$E$11+1,1))</f>
        <v>241.00707378755914</v>
      </c>
      <c r="BJ53" s="62">
        <f t="shared" si="38"/>
        <v>239.93573789765657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23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135.89743589743588</v>
      </c>
      <c r="BW53" s="13">
        <f>VLOOKUP(A53,'Données projet'!$A$113:$I$133,9,0)</f>
        <v>4.4871794871794863</v>
      </c>
      <c r="BX53" s="13">
        <f t="array" ref="BX53">INDEX(BW:BW,MIN(IF(ISNUMBER(BW53:BW249),ROW(BW53:BW249),"")))</f>
        <v>4.4871794871794863</v>
      </c>
      <c r="BY53" s="13">
        <f>IF('Données projet'!$A$114&gt;35,BY52+BX53-CG52,IF(A53&lt;'Données projet'!$A$114,$BV$205^A53,IF(A53='Données projet'!$A$114,'Données projet'!$B$114,BY52+BX53-CG52)))</f>
        <v>135.89743589743591</v>
      </c>
      <c r="BZ53" s="14">
        <f>BY53*VLOOKUP('Données projet'!$B$12,Paramètres!$A$1:$I$89,3,0)*VLOOKUP('Données projet'!$B$12,Paramètres!$A$1:$I$89,5,0)</f>
        <v>91.160000000000011</v>
      </c>
      <c r="CA53" s="14">
        <f t="shared" si="39"/>
        <v>24.844780200578068</v>
      </c>
      <c r="CB53" s="22">
        <f t="shared" si="10"/>
        <v>202.04165884934017</v>
      </c>
      <c r="CC53" s="62">
        <f t="shared" si="11"/>
        <v>495.37499218267351</v>
      </c>
      <c r="CD53" s="62">
        <f ca="1">AVERAGE(OFFSET($CC$3,0,0,'Données projet'!$E$12+1,1))-AVERAGE(OFFSET($H$3,0,0,'Données projet'!$E$12+1,1))</f>
        <v>207.91006140109965</v>
      </c>
      <c r="CE53" s="62">
        <f t="shared" si="40"/>
        <v>164.93317437647255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21.794871794871796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135.89743589743588</v>
      </c>
      <c r="CR53" s="13">
        <f>VLOOKUP(A53,'Données projet'!$A$139:$I$159,9,0)</f>
        <v>4.4871794871794863</v>
      </c>
      <c r="CS53" s="13">
        <f t="array" ref="CS53">INDEX(CR:CR,MIN(IF(ISNUMBER(CR53:CR249),ROW(CR53:CR249),"")))</f>
        <v>4.4871794871794863</v>
      </c>
      <c r="CT53" s="13">
        <f>IF('Données projet'!$A$140&gt;35,CT52+CS53-DB52,IF(A53&lt;'Données projet'!$A$140,$CQ$205^A53,IF(A53='Données projet'!$A$140,'Données projet'!$B$140,CT52+CS53-DB52)))</f>
        <v>135.89743589743591</v>
      </c>
      <c r="CU53" s="18">
        <f>CT53*VLOOKUP('Données projet'!$B$13,Paramètres!$A$1:$I$89,3,0)*VLOOKUP('Données projet'!$B$13,Paramètres!$A$1:$I$89,5,0)</f>
        <v>116.60000000000002</v>
      </c>
      <c r="CV53" s="14">
        <f t="shared" si="41"/>
        <v>30.880683483125132</v>
      </c>
      <c r="CW53" s="22">
        <f t="shared" si="13"/>
        <v>256.8621903997763</v>
      </c>
      <c r="CX53" s="62">
        <f t="shared" si="14"/>
        <v>550.19552373310967</v>
      </c>
      <c r="CY53" s="62">
        <f ca="1">AVERAGE(OFFSET($CX$3,0,0,'Données projet'!$E$13+1,1))-AVERAGE(OFFSET($H$3,0,0,'Données projet'!$E$13+1,1))</f>
        <v>255.77222823147724</v>
      </c>
      <c r="CZ53" s="62">
        <f t="shared" si="42"/>
        <v>199.6931080052031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21.794871794871796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121</v>
      </c>
      <c r="DM53" s="13">
        <f>VLOOKUP(A53,'Données projet'!$A$165:$I$185,9,0)</f>
        <v>5.6</v>
      </c>
      <c r="DN53" s="13">
        <f t="array" ref="DN53">INDEX(DM:DM,MIN(IF(ISNUMBER(DM53:DM249),ROW(DM53:DM249),"")))</f>
        <v>5.6</v>
      </c>
      <c r="DO53" s="13">
        <f>IF('Données projet'!$A$166&gt;35,DO52+DN53-DW52,IF(A53&lt;'Données projet'!$A$166,$DL$205^A53,IF(A53='Données projet'!$A$166,'Données projet'!$B$166,DO52+DN53-DW52)))</f>
        <v>120.99999999999996</v>
      </c>
      <c r="DP53" s="18">
        <f>DO53*VLOOKUP('Données projet'!$B$14,Paramètres!$A$1:$I$89,3,0)*VLOOKUP('Données projet'!$B$14,Paramètres!$A$1:$I$89,5,0)</f>
        <v>117.03119999999996</v>
      </c>
      <c r="DQ53" s="14">
        <f t="shared" si="43"/>
        <v>30.981569147428527</v>
      </c>
      <c r="DR53" s="22">
        <f t="shared" si="16"/>
        <v>257.78890626510457</v>
      </c>
      <c r="DS53" s="62">
        <f t="shared" si="17"/>
        <v>551.12223959843789</v>
      </c>
      <c r="DT53" s="62">
        <f ca="1">AVERAGE(OFFSET($DS$3,0,0,'Données projet'!$E$14+1,1))-AVERAGE(OFFSET($H$3,0,0,'Données projet'!$E$14+1,1))</f>
        <v>349.73011349954953</v>
      </c>
      <c r="DU53" s="62">
        <f t="shared" si="44"/>
        <v>154.08406475869634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-1.7053025658242404E-13</v>
      </c>
      <c r="O54" s="14">
        <f>N54*VLOOKUP('Données projet'!$B$9,Paramètres!$A$1:$I$89,3,0)*VLOOKUP('Données projet'!$B$9,Paramètres!$A$1:$I$89,5,0)</f>
        <v>-1.0197709343628959E-13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203.63995177374335</v>
      </c>
      <c r="T54" s="62">
        <f t="shared" si="34"/>
        <v>268.97461244918378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9.3544800811410873</v>
      </c>
      <c r="AA54" s="23">
        <f>EXP(-LN(2)/25)*AA53+(1-EXP(-LN(2)/25))/(LN(2)/25)*Calculateur!V54*Calculateur!X54*VLOOKUP('Données projet'!$B$9,Paramètres!$A$1:$I$89,3,0)*0.475*44/12</f>
        <v>7.0001533750113518</v>
      </c>
      <c r="AB54" s="23">
        <f>EXP(-LN(2)/2)*AB53+(1-EXP(-LN(2)/2))/(LN(2)/2)*V54*Y54*VLOOKUP('Données projet'!$B$9,Paramètres!$A$1:$I$89,3,0)*0.475*44/12</f>
        <v>2.2111422800485448E-3</v>
      </c>
      <c r="AC54" s="24">
        <f t="shared" si="3"/>
        <v>16.356844598432488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126.59999999999995</v>
      </c>
      <c r="AJ54" s="14">
        <f>AI54*VLOOKUP('Données projet'!$B$10,Paramètres!$A$1:$I$89,3,0)*VLOOKUP('Données projet'!$B$10,Paramètres!$A$1:$I$89,5,0)</f>
        <v>128.37239999999997</v>
      </c>
      <c r="AK54" s="14">
        <f t="shared" si="35"/>
        <v>33.619993430877038</v>
      </c>
      <c r="AL54" s="22">
        <f t="shared" si="4"/>
        <v>282.13675189211079</v>
      </c>
      <c r="AM54" s="62">
        <f t="shared" si="5"/>
        <v>575.47008522544411</v>
      </c>
      <c r="AN54" s="62">
        <f ca="1">AVERAGE(OFFSET($AM$3,0,0,'Données projet'!$E$10+1,1))-AVERAGE(OFFSET($H$3,0,0,'Données projet'!$E$10+1,1))</f>
        <v>364.69354394930866</v>
      </c>
      <c r="AO54" s="62">
        <f t="shared" si="36"/>
        <v>159.6134369231965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</v>
      </c>
      <c r="BD54" s="13">
        <f>IF('Données projet'!$A$88&gt;35,BD53+BC54-BL53,IF(A54&lt;'Données projet'!$A$88,$BA$205^A54,IF(A54='Données projet'!$A$88,'Données projet'!$B$88,BD53+BC54-BL53)))</f>
        <v>116.99999999999994</v>
      </c>
      <c r="BE54" s="14">
        <f>BD54*VLOOKUP('Données projet'!$B$11,Paramètres!$A$1:$I$89,3,0)*VLOOKUP('Données projet'!$B$11,Paramètres!$A$1:$I$89,5,0)</f>
        <v>102.21119999999995</v>
      </c>
      <c r="BF54" s="14">
        <f t="shared" si="37"/>
        <v>27.488113037666018</v>
      </c>
      <c r="BG54" s="22">
        <f t="shared" si="7"/>
        <v>225.89297020726823</v>
      </c>
      <c r="BH54" s="62">
        <f t="shared" si="8"/>
        <v>519.22630354060152</v>
      </c>
      <c r="BI54" s="62">
        <f ca="1">AVERAGE(OFFSET($BH$3,0,0,'Données projet'!$E$11+1,1))-AVERAGE(OFFSET($H$3,0,0,'Données projet'!$E$11+1,1))</f>
        <v>241.00707378755914</v>
      </c>
      <c r="BJ54" s="62">
        <f t="shared" si="38"/>
        <v>239.93573789765657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4.3589743589743595</v>
      </c>
      <c r="BY54" s="13">
        <f>IF('Données projet'!$A$114&gt;35,BY53+BX54-CG53,IF(A54&lt;'Données projet'!$A$114,$BV$205^A54,IF(A54='Données projet'!$A$114,'Données projet'!$B$114,BY53+BX54-CG53)))</f>
        <v>118.46153846153848</v>
      </c>
      <c r="BZ54" s="14">
        <f>BY54*VLOOKUP('Données projet'!$B$12,Paramètres!$A$1:$I$89,3,0)*VLOOKUP('Données projet'!$B$12,Paramètres!$A$1:$I$89,5,0)</f>
        <v>79.464000000000013</v>
      </c>
      <c r="CA54" s="14">
        <f t="shared" si="39"/>
        <v>22.006078110784525</v>
      </c>
      <c r="CB54" s="22">
        <f t="shared" si="10"/>
        <v>176.7270527096164</v>
      </c>
      <c r="CC54" s="62">
        <f t="shared" si="11"/>
        <v>470.06038604294974</v>
      </c>
      <c r="CD54" s="62">
        <f ca="1">AVERAGE(OFFSET($CC$3,0,0,'Données projet'!$E$12+1,1))-AVERAGE(OFFSET($H$3,0,0,'Données projet'!$E$12+1,1))</f>
        <v>207.91006140109965</v>
      </c>
      <c r="CE54" s="62">
        <f t="shared" si="40"/>
        <v>164.93317437647255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4.3589743589743595</v>
      </c>
      <c r="CT54" s="13">
        <f>IF('Données projet'!$A$140&gt;35,CT53+CS54-DB53,IF(A54&lt;'Données projet'!$A$140,$CQ$205^A54,IF(A54='Données projet'!$A$140,'Données projet'!$B$140,CT53+CS54-DB53)))</f>
        <v>118.46153846153848</v>
      </c>
      <c r="CU54" s="18">
        <f>CT54*VLOOKUP('Données projet'!$B$13,Paramètres!$A$1:$I$89,3,0)*VLOOKUP('Données projet'!$B$13,Paramètres!$A$1:$I$89,5,0)</f>
        <v>101.64000000000003</v>
      </c>
      <c r="CV54" s="14">
        <f t="shared" si="41"/>
        <v>27.352334267310354</v>
      </c>
      <c r="CW54" s="22">
        <f t="shared" si="13"/>
        <v>224.66164884889892</v>
      </c>
      <c r="CX54" s="62">
        <f t="shared" si="14"/>
        <v>517.99498218223221</v>
      </c>
      <c r="CY54" s="62">
        <f ca="1">AVERAGE(OFFSET($CX$3,0,0,'Données projet'!$E$13+1,1))-AVERAGE(OFFSET($H$3,0,0,'Données projet'!$E$13+1,1))</f>
        <v>255.77222823147724</v>
      </c>
      <c r="CZ54" s="62">
        <f t="shared" si="42"/>
        <v>199.6931080052031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5.6</v>
      </c>
      <c r="DO54" s="13">
        <f>IF('Données projet'!$A$166&gt;35,DO53+DN54-DW53,IF(A54&lt;'Données projet'!$A$166,$DL$205^A54,IF(A54='Données projet'!$A$166,'Données projet'!$B$166,DO53+DN54-DW53)))</f>
        <v>126.59999999999995</v>
      </c>
      <c r="DP54" s="18">
        <f>DO54*VLOOKUP('Données projet'!$B$14,Paramètres!$A$1:$I$89,3,0)*VLOOKUP('Données projet'!$B$14,Paramètres!$A$1:$I$89,5,0)</f>
        <v>122.44751999999997</v>
      </c>
      <c r="DQ54" s="14">
        <f t="shared" si="43"/>
        <v>32.245170611031256</v>
      </c>
      <c r="DR54" s="22">
        <f t="shared" si="16"/>
        <v>269.42310281421265</v>
      </c>
      <c r="DS54" s="62">
        <f t="shared" si="17"/>
        <v>562.75643614754597</v>
      </c>
      <c r="DT54" s="62">
        <f ca="1">AVERAGE(OFFSET($DS$3,0,0,'Données projet'!$E$14+1,1))-AVERAGE(OFFSET($H$3,0,0,'Données projet'!$E$14+1,1))</f>
        <v>349.73011349954953</v>
      </c>
      <c r="DU54" s="62">
        <f t="shared" si="44"/>
        <v>154.08406475869634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-1.7053025658242404E-13</v>
      </c>
      <c r="O55" s="14">
        <f>N55*VLOOKUP('Données projet'!$B$9,Paramètres!$A$1:$I$89,3,0)*VLOOKUP('Données projet'!$B$9,Paramètres!$A$1:$I$89,5,0)</f>
        <v>-1.0197709343628959E-13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203.63995177374335</v>
      </c>
      <c r="T55" s="62">
        <f t="shared" si="34"/>
        <v>268.97461244918378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9.1710444324193716</v>
      </c>
      <c r="AA55" s="23">
        <f>EXP(-LN(2)/25)*AA54+(1-EXP(-LN(2)/25))/(LN(2)/25)*Calculateur!V55*Calculateur!X55*VLOOKUP('Données projet'!$B$9,Paramètres!$A$1:$I$89,3,0)*0.475*44/12</f>
        <v>6.8087338128495993</v>
      </c>
      <c r="AB55" s="23">
        <f>EXP(-LN(2)/2)*AB54+(1-EXP(-LN(2)/2))/(LN(2)/2)*V55*Y55*VLOOKUP('Données projet'!$B$9,Paramètres!$A$1:$I$89,3,0)*0.475*44/12</f>
        <v>1.5635137003906102E-3</v>
      </c>
      <c r="AC55" s="24">
        <f t="shared" si="3"/>
        <v>15.981341758969361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132.19999999999996</v>
      </c>
      <c r="AJ55" s="14">
        <f>AI55*VLOOKUP('Données projet'!$B$10,Paramètres!$A$1:$I$89,3,0)*VLOOKUP('Données projet'!$B$10,Paramètres!$A$1:$I$89,5,0)</f>
        <v>134.05079999999998</v>
      </c>
      <c r="AK55" s="14">
        <f t="shared" si="35"/>
        <v>34.930702157857986</v>
      </c>
      <c r="AL55" s="22">
        <f t="shared" si="4"/>
        <v>294.30944959160263</v>
      </c>
      <c r="AM55" s="62">
        <f t="shared" si="5"/>
        <v>587.642782924936</v>
      </c>
      <c r="AN55" s="62">
        <f ca="1">AVERAGE(OFFSET($AM$3,0,0,'Données projet'!$E$10+1,1))-AVERAGE(OFFSET($H$3,0,0,'Données projet'!$E$10+1,1))</f>
        <v>364.69354394930866</v>
      </c>
      <c r="AO55" s="62">
        <f t="shared" si="36"/>
        <v>159.6134369231965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</v>
      </c>
      <c r="BD55" s="13">
        <f>IF('Données projet'!$A$88&gt;35,BD54+BC55-BL54,IF(A55&lt;'Données projet'!$A$88,$BA$205^A55,IF(A55='Données projet'!$A$88,'Données projet'!$B$88,BD54+BC55-BL54)))</f>
        <v>120.99999999999994</v>
      </c>
      <c r="BE55" s="14">
        <f>BD55*VLOOKUP('Données projet'!$B$11,Paramètres!$A$1:$I$89,3,0)*VLOOKUP('Données projet'!$B$11,Paramètres!$A$1:$I$89,5,0)</f>
        <v>105.70559999999996</v>
      </c>
      <c r="BF55" s="14">
        <f t="shared" si="37"/>
        <v>28.316857405559993</v>
      </c>
      <c r="BG55" s="22">
        <f t="shared" si="7"/>
        <v>233.42244664801692</v>
      </c>
      <c r="BH55" s="62">
        <f t="shared" si="8"/>
        <v>526.7557799813502</v>
      </c>
      <c r="BI55" s="62">
        <f ca="1">AVERAGE(OFFSET($BH$3,0,0,'Données projet'!$E$11+1,1))-AVERAGE(OFFSET($H$3,0,0,'Données projet'!$E$11+1,1))</f>
        <v>241.00707378755914</v>
      </c>
      <c r="BJ55" s="62">
        <f t="shared" si="38"/>
        <v>239.93573789765657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4.3589743589743595</v>
      </c>
      <c r="BY55" s="13">
        <f>IF('Données projet'!$A$114&gt;35,BY54+BX55-CG54,IF(A55&lt;'Données projet'!$A$114,$BV$205^A55,IF(A55='Données projet'!$A$114,'Données projet'!$B$114,BY54+BX55-CG54)))</f>
        <v>122.82051282051285</v>
      </c>
      <c r="BZ55" s="14">
        <f>BY55*VLOOKUP('Données projet'!$B$12,Paramètres!$A$1:$I$89,3,0)*VLOOKUP('Données projet'!$B$12,Paramètres!$A$1:$I$89,5,0)</f>
        <v>82.388000000000019</v>
      </c>
      <c r="CA55" s="14">
        <f t="shared" si="39"/>
        <v>22.720059281625844</v>
      </c>
      <c r="CB55" s="22">
        <f t="shared" si="10"/>
        <v>183.06320324883168</v>
      </c>
      <c r="CC55" s="62">
        <f t="shared" si="11"/>
        <v>476.39653658216503</v>
      </c>
      <c r="CD55" s="62">
        <f ca="1">AVERAGE(OFFSET($CC$3,0,0,'Données projet'!$E$12+1,1))-AVERAGE(OFFSET($H$3,0,0,'Données projet'!$E$12+1,1))</f>
        <v>207.91006140109965</v>
      </c>
      <c r="CE55" s="62">
        <f t="shared" si="40"/>
        <v>164.93317437647255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4.3589743589743595</v>
      </c>
      <c r="CT55" s="13">
        <f>IF('Données projet'!$A$140&gt;35,CT54+CS55-DB54,IF(A55&lt;'Données projet'!$A$140,$CQ$205^A55,IF(A55='Données projet'!$A$140,'Données projet'!$B$140,CT54+CS55-DB54)))</f>
        <v>122.82051282051285</v>
      </c>
      <c r="CU55" s="18">
        <f>CT55*VLOOKUP('Données projet'!$B$13,Paramètres!$A$1:$I$89,3,0)*VLOOKUP('Données projet'!$B$13,Paramètres!$A$1:$I$89,5,0)</f>
        <v>105.38000000000004</v>
      </c>
      <c r="CV55" s="14">
        <f t="shared" si="41"/>
        <v>28.239773253353313</v>
      </c>
      <c r="CW55" s="22">
        <f t="shared" si="13"/>
        <v>232.72110508292371</v>
      </c>
      <c r="CX55" s="62">
        <f t="shared" si="14"/>
        <v>526.05443841625697</v>
      </c>
      <c r="CY55" s="62">
        <f ca="1">AVERAGE(OFFSET($CX$3,0,0,'Données projet'!$E$13+1,1))-AVERAGE(OFFSET($H$3,0,0,'Données projet'!$E$13+1,1))</f>
        <v>255.77222823147724</v>
      </c>
      <c r="CZ55" s="62">
        <f t="shared" si="42"/>
        <v>199.6931080052031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5.6</v>
      </c>
      <c r="DO55" s="13">
        <f>IF('Données projet'!$A$166&gt;35,DO54+DN55-DW54,IF(A55&lt;'Données projet'!$A$166,$DL$205^A55,IF(A55='Données projet'!$A$166,'Données projet'!$B$166,DO54+DN55-DW54)))</f>
        <v>132.19999999999996</v>
      </c>
      <c r="DP55" s="18">
        <f>DO55*VLOOKUP('Données projet'!$B$14,Paramètres!$A$1:$I$89,3,0)*VLOOKUP('Données projet'!$B$14,Paramètres!$A$1:$I$89,5,0)</f>
        <v>127.86383999999995</v>
      </c>
      <c r="DQ55" s="14">
        <f t="shared" si="43"/>
        <v>33.502280509335172</v>
      </c>
      <c r="DR55" s="22">
        <f t="shared" si="16"/>
        <v>281.04599322042532</v>
      </c>
      <c r="DS55" s="62">
        <f t="shared" si="17"/>
        <v>574.37932655375857</v>
      </c>
      <c r="DT55" s="62">
        <f ca="1">AVERAGE(OFFSET($DS$3,0,0,'Données projet'!$E$14+1,1))-AVERAGE(OFFSET($H$3,0,0,'Données projet'!$E$14+1,1))</f>
        <v>349.73011349954953</v>
      </c>
      <c r="DU55" s="62">
        <f t="shared" si="44"/>
        <v>154.08406475869634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-1.7053025658242404E-13</v>
      </c>
      <c r="O56" s="14">
        <f>N56*VLOOKUP('Données projet'!$B$9,Paramètres!$A$1:$I$89,3,0)*VLOOKUP('Données projet'!$B$9,Paramètres!$A$1:$I$89,5,0)</f>
        <v>-1.0197709343628959E-13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203.63995177374335</v>
      </c>
      <c r="T56" s="62">
        <f t="shared" si="34"/>
        <v>268.97461244918378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8.9912058448843908</v>
      </c>
      <c r="AA56" s="23">
        <f>EXP(-LN(2)/25)*AA55+(1-EXP(-LN(2)/25))/(LN(2)/25)*Calculateur!V56*Calculateur!X56*VLOOKUP('Données projet'!$B$9,Paramètres!$A$1:$I$89,3,0)*0.475*44/12</f>
        <v>6.6225486286814776</v>
      </c>
      <c r="AB56" s="23">
        <f>EXP(-LN(2)/2)*AB55+(1-EXP(-LN(2)/2))/(LN(2)/2)*V56*Y56*VLOOKUP('Données projet'!$B$9,Paramètres!$A$1:$I$89,3,0)*0.475*44/12</f>
        <v>1.1055711400242724E-3</v>
      </c>
      <c r="AC56" s="24">
        <f t="shared" si="3"/>
        <v>15.614860044705894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137.79999999999995</v>
      </c>
      <c r="AJ56" s="14">
        <f>AI56*VLOOKUP('Données projet'!$B$10,Paramètres!$A$1:$I$89,3,0)*VLOOKUP('Données projet'!$B$10,Paramètres!$A$1:$I$89,5,0)</f>
        <v>139.72919999999996</v>
      </c>
      <c r="AK56" s="14">
        <f t="shared" si="35"/>
        <v>36.234962028891381</v>
      </c>
      <c r="AL56" s="22">
        <f t="shared" si="4"/>
        <v>306.47091553365243</v>
      </c>
      <c r="AM56" s="62">
        <f t="shared" si="5"/>
        <v>599.80424886698574</v>
      </c>
      <c r="AN56" s="62">
        <f ca="1">AVERAGE(OFFSET($AM$3,0,0,'Données projet'!$E$10+1,1))-AVERAGE(OFFSET($H$3,0,0,'Données projet'!$E$10+1,1))</f>
        <v>364.69354394930866</v>
      </c>
      <c r="AO56" s="62">
        <f t="shared" si="36"/>
        <v>159.6134369231965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</v>
      </c>
      <c r="BD56" s="13">
        <f>IF('Données projet'!$A$88&gt;35,BD55+BC56-BL55,IF(A56&lt;'Données projet'!$A$88,$BA$205^A56,IF(A56='Données projet'!$A$88,'Données projet'!$B$88,BD55+BC56-BL55)))</f>
        <v>124.99999999999994</v>
      </c>
      <c r="BE56" s="14">
        <f>BD56*VLOOKUP('Données projet'!$B$11,Paramètres!$A$1:$I$89,3,0)*VLOOKUP('Données projet'!$B$11,Paramètres!$A$1:$I$89,5,0)</f>
        <v>109.19999999999996</v>
      </c>
      <c r="BF56" s="14">
        <f t="shared" si="37"/>
        <v>29.142418334948612</v>
      </c>
      <c r="BG56" s="22">
        <f t="shared" si="7"/>
        <v>240.94637860003544</v>
      </c>
      <c r="BH56" s="62">
        <f t="shared" si="8"/>
        <v>534.27971193336873</v>
      </c>
      <c r="BI56" s="62">
        <f ca="1">AVERAGE(OFFSET($BH$3,0,0,'Données projet'!$E$11+1,1))-AVERAGE(OFFSET($H$3,0,0,'Données projet'!$E$11+1,1))</f>
        <v>241.00707378755914</v>
      </c>
      <c r="BJ56" s="62">
        <f t="shared" si="38"/>
        <v>239.93573789765657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4.3589743589743595</v>
      </c>
      <c r="BY56" s="13">
        <f>IF('Données projet'!$A$114&gt;35,BY55+BX56-CG55,IF(A56&lt;'Données projet'!$A$114,$BV$205^A56,IF(A56='Données projet'!$A$114,'Données projet'!$B$114,BY55+BX56-CG55)))</f>
        <v>127.17948717948721</v>
      </c>
      <c r="BZ56" s="14">
        <f>BY56*VLOOKUP('Données projet'!$B$12,Paramètres!$A$1:$I$89,3,0)*VLOOKUP('Données projet'!$B$12,Paramètres!$A$1:$I$89,5,0)</f>
        <v>85.312000000000026</v>
      </c>
      <c r="CA56" s="14">
        <f t="shared" si="39"/>
        <v>23.431096351389638</v>
      </c>
      <c r="CB56" s="22">
        <f t="shared" si="10"/>
        <v>189.394226145337</v>
      </c>
      <c r="CC56" s="62">
        <f t="shared" si="11"/>
        <v>482.72755947867029</v>
      </c>
      <c r="CD56" s="62">
        <f ca="1">AVERAGE(OFFSET($CC$3,0,0,'Données projet'!$E$12+1,1))-AVERAGE(OFFSET($H$3,0,0,'Données projet'!$E$12+1,1))</f>
        <v>207.91006140109965</v>
      </c>
      <c r="CE56" s="62">
        <f t="shared" si="40"/>
        <v>164.93317437647255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4.3589743589743595</v>
      </c>
      <c r="CT56" s="13">
        <f>IF('Données projet'!$A$140&gt;35,CT55+CS56-DB55,IF(A56&lt;'Données projet'!$A$140,$CQ$205^A56,IF(A56='Données projet'!$A$140,'Données projet'!$B$140,CT55+CS56-DB55)))</f>
        <v>127.17948717948721</v>
      </c>
      <c r="CU56" s="18">
        <f>CT56*VLOOKUP('Données projet'!$B$13,Paramètres!$A$1:$I$89,3,0)*VLOOKUP('Données projet'!$B$13,Paramètres!$A$1:$I$89,5,0)</f>
        <v>109.12000000000003</v>
      </c>
      <c r="CV56" s="14">
        <f t="shared" si="41"/>
        <v>29.123552885085946</v>
      </c>
      <c r="CW56" s="22">
        <f t="shared" si="13"/>
        <v>240.77418794152473</v>
      </c>
      <c r="CX56" s="62">
        <f t="shared" si="14"/>
        <v>534.10752127485807</v>
      </c>
      <c r="CY56" s="62">
        <f ca="1">AVERAGE(OFFSET($CX$3,0,0,'Données projet'!$E$13+1,1))-AVERAGE(OFFSET($H$3,0,0,'Données projet'!$E$13+1,1))</f>
        <v>255.77222823147724</v>
      </c>
      <c r="CZ56" s="62">
        <f t="shared" si="42"/>
        <v>199.6931080052031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5.6</v>
      </c>
      <c r="DO56" s="13">
        <f>IF('Données projet'!$A$166&gt;35,DO55+DN56-DW55,IF(A56&lt;'Données projet'!$A$166,$DL$205^A56,IF(A56='Données projet'!$A$166,'Données projet'!$B$166,DO55+DN56-DW55)))</f>
        <v>137.79999999999995</v>
      </c>
      <c r="DP56" s="18">
        <f>DO56*VLOOKUP('Données projet'!$B$14,Paramètres!$A$1:$I$89,3,0)*VLOOKUP('Données projet'!$B$14,Paramètres!$A$1:$I$89,5,0)</f>
        <v>133.28015999999994</v>
      </c>
      <c r="DQ56" s="14">
        <f t="shared" si="43"/>
        <v>34.753205264839991</v>
      </c>
      <c r="DR56" s="22">
        <f t="shared" si="16"/>
        <v>292.65811116959617</v>
      </c>
      <c r="DS56" s="62">
        <f t="shared" si="17"/>
        <v>585.99144450292943</v>
      </c>
      <c r="DT56" s="62">
        <f ca="1">AVERAGE(OFFSET($DS$3,0,0,'Données projet'!$E$14+1,1))-AVERAGE(OFFSET($H$3,0,0,'Données projet'!$E$14+1,1))</f>
        <v>349.73011349954953</v>
      </c>
      <c r="DU56" s="62">
        <f t="shared" si="44"/>
        <v>154.08406475869634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-1.7053025658242404E-13</v>
      </c>
      <c r="O57" s="14">
        <f>N57*VLOOKUP('Données projet'!$B$9,Paramètres!$A$1:$I$89,3,0)*VLOOKUP('Données projet'!$B$9,Paramètres!$A$1:$I$89,5,0)</f>
        <v>-1.0197709343628959E-13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203.63995177374335</v>
      </c>
      <c r="T57" s="62">
        <f t="shared" si="34"/>
        <v>268.97461244918378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8.8148937823602633</v>
      </c>
      <c r="AA57" s="23">
        <f>EXP(-LN(2)/25)*AA56+(1-EXP(-LN(2)/25))/(LN(2)/25)*Calculateur!V57*Calculateur!X57*VLOOKUP('Données projet'!$B$9,Paramètres!$A$1:$I$89,3,0)*0.475*44/12</f>
        <v>6.4414546881654866</v>
      </c>
      <c r="AB57" s="23">
        <f>EXP(-LN(2)/2)*AB56+(1-EXP(-LN(2)/2))/(LN(2)/2)*V57*Y57*VLOOKUP('Données projet'!$B$9,Paramètres!$A$1:$I$89,3,0)*0.475*44/12</f>
        <v>7.817568501953051E-4</v>
      </c>
      <c r="AC57" s="24">
        <f t="shared" si="3"/>
        <v>15.257130227375946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143.39999999999995</v>
      </c>
      <c r="AJ57" s="14">
        <f>AI57*VLOOKUP('Données projet'!$B$10,Paramètres!$A$1:$I$89,3,0)*VLOOKUP('Données projet'!$B$10,Paramètres!$A$1:$I$89,5,0)</f>
        <v>145.40759999999995</v>
      </c>
      <c r="AK57" s="14">
        <f t="shared" si="35"/>
        <v>37.533065094701904</v>
      </c>
      <c r="AL57" s="22">
        <f t="shared" si="4"/>
        <v>318.62165837327234</v>
      </c>
      <c r="AM57" s="62">
        <f t="shared" si="5"/>
        <v>611.9549917066056</v>
      </c>
      <c r="AN57" s="62">
        <f ca="1">AVERAGE(OFFSET($AM$3,0,0,'Données projet'!$E$10+1,1))-AVERAGE(OFFSET($H$3,0,0,'Données projet'!$E$10+1,1))</f>
        <v>364.69354394930866</v>
      </c>
      <c r="AO57" s="62">
        <f t="shared" si="36"/>
        <v>159.6134369231965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</v>
      </c>
      <c r="BD57" s="13">
        <f>IF('Données projet'!$A$88&gt;35,BD56+BC57-BL56,IF(A57&lt;'Données projet'!$A$88,$BA$205^A57,IF(A57='Données projet'!$A$88,'Données projet'!$B$88,BD56+BC57-BL56)))</f>
        <v>128.99999999999994</v>
      </c>
      <c r="BE57" s="14">
        <f>BD57*VLOOKUP('Données projet'!$B$11,Paramètres!$A$1:$I$89,3,0)*VLOOKUP('Données projet'!$B$11,Paramètres!$A$1:$I$89,5,0)</f>
        <v>112.69439999999997</v>
      </c>
      <c r="BF57" s="14">
        <f t="shared" si="37"/>
        <v>29.964909381330607</v>
      </c>
      <c r="BG57" s="22">
        <f t="shared" si="7"/>
        <v>248.46496383915076</v>
      </c>
      <c r="BH57" s="62">
        <f t="shared" si="8"/>
        <v>541.79829717248413</v>
      </c>
      <c r="BI57" s="62">
        <f ca="1">AVERAGE(OFFSET($BH$3,0,0,'Données projet'!$E$11+1,1))-AVERAGE(OFFSET($H$3,0,0,'Données projet'!$E$11+1,1))</f>
        <v>241.00707378755914</v>
      </c>
      <c r="BJ57" s="62">
        <f t="shared" si="38"/>
        <v>239.93573789765657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4.3589743589743595</v>
      </c>
      <c r="BY57" s="13">
        <f>IF('Données projet'!$A$114&gt;35,BY56+BX57-CG56,IF(A57&lt;'Données projet'!$A$114,$BV$205^A57,IF(A57='Données projet'!$A$114,'Données projet'!$B$114,BY56+BX57-CG56)))</f>
        <v>131.53846153846158</v>
      </c>
      <c r="BZ57" s="14">
        <f>BY57*VLOOKUP('Données projet'!$B$12,Paramètres!$A$1:$I$89,3,0)*VLOOKUP('Données projet'!$B$12,Paramètres!$A$1:$I$89,5,0)</f>
        <v>88.236000000000018</v>
      </c>
      <c r="CA57" s="14">
        <f t="shared" si="39"/>
        <v>24.139301792637397</v>
      </c>
      <c r="CB57" s="22">
        <f t="shared" si="10"/>
        <v>195.72031728884349</v>
      </c>
      <c r="CC57" s="62">
        <f t="shared" si="11"/>
        <v>489.0536506221768</v>
      </c>
      <c r="CD57" s="62">
        <f ca="1">AVERAGE(OFFSET($CC$3,0,0,'Données projet'!$E$12+1,1))-AVERAGE(OFFSET($H$3,0,0,'Données projet'!$E$12+1,1))</f>
        <v>207.91006140109965</v>
      </c>
      <c r="CE57" s="62">
        <f t="shared" si="40"/>
        <v>164.93317437647255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4.3589743589743595</v>
      </c>
      <c r="CT57" s="13">
        <f>IF('Données projet'!$A$140&gt;35,CT56+CS57-DB56,IF(A57&lt;'Données projet'!$A$140,$CQ$205^A57,IF(A57='Données projet'!$A$140,'Données projet'!$B$140,CT56+CS57-DB56)))</f>
        <v>131.53846153846158</v>
      </c>
      <c r="CU57" s="18">
        <f>CT57*VLOOKUP('Données projet'!$B$13,Paramètres!$A$1:$I$89,3,0)*VLOOKUP('Données projet'!$B$13,Paramètres!$A$1:$I$89,5,0)</f>
        <v>112.86000000000004</v>
      </c>
      <c r="CV57" s="14">
        <f t="shared" si="41"/>
        <v>30.003812959662515</v>
      </c>
      <c r="CW57" s="22">
        <f t="shared" si="13"/>
        <v>248.82114090474559</v>
      </c>
      <c r="CX57" s="62">
        <f t="shared" si="14"/>
        <v>542.15447423807893</v>
      </c>
      <c r="CY57" s="62">
        <f ca="1">AVERAGE(OFFSET($CX$3,0,0,'Données projet'!$E$13+1,1))-AVERAGE(OFFSET($H$3,0,0,'Données projet'!$E$13+1,1))</f>
        <v>255.77222823147724</v>
      </c>
      <c r="CZ57" s="62">
        <f t="shared" si="42"/>
        <v>199.6931080052031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5.6</v>
      </c>
      <c r="DO57" s="13">
        <f>IF('Données projet'!$A$166&gt;35,DO56+DN57-DW56,IF(A57&lt;'Données projet'!$A$166,$DL$205^A57,IF(A57='Données projet'!$A$166,'Données projet'!$B$166,DO56+DN57-DW56)))</f>
        <v>143.39999999999995</v>
      </c>
      <c r="DP57" s="18">
        <f>DO57*VLOOKUP('Données projet'!$B$14,Paramètres!$A$1:$I$89,3,0)*VLOOKUP('Données projet'!$B$14,Paramètres!$A$1:$I$89,5,0)</f>
        <v>138.69647999999995</v>
      </c>
      <c r="DQ57" s="14">
        <f t="shared" si="43"/>
        <v>35.998224985436444</v>
      </c>
      <c r="DR57" s="22">
        <f t="shared" si="16"/>
        <v>304.25994451630169</v>
      </c>
      <c r="DS57" s="62">
        <f t="shared" si="17"/>
        <v>597.593277849635</v>
      </c>
      <c r="DT57" s="62">
        <f ca="1">AVERAGE(OFFSET($DS$3,0,0,'Données projet'!$E$14+1,1))-AVERAGE(OFFSET($H$3,0,0,'Données projet'!$E$14+1,1))</f>
        <v>349.73011349954953</v>
      </c>
      <c r="DU57" s="62">
        <f t="shared" si="44"/>
        <v>154.08406475869634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-1.7053025658242404E-13</v>
      </c>
      <c r="O58" s="14">
        <f>N58*VLOOKUP('Données projet'!$B$9,Paramètres!$A$1:$I$89,3,0)*VLOOKUP('Données projet'!$B$9,Paramètres!$A$1:$I$89,5,0)</f>
        <v>-1.0197709343628959E-13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203.63995177374335</v>
      </c>
      <c r="T58" s="62">
        <f t="shared" si="34"/>
        <v>268.97461244918378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8.642039091842495</v>
      </c>
      <c r="AA58" s="23">
        <f>EXP(-LN(2)/25)*AA57+(1-EXP(-LN(2)/25))/(LN(2)/25)*Calculateur!V58*Calculateur!X58*VLOOKUP('Données projet'!$B$9,Paramètres!$A$1:$I$89,3,0)*0.475*44/12</f>
        <v>6.2653127709762213</v>
      </c>
      <c r="AB58" s="23">
        <f>EXP(-LN(2)/2)*AB57+(1-EXP(-LN(2)/2))/(LN(2)/2)*V58*Y58*VLOOKUP('Données projet'!$B$9,Paramètres!$A$1:$I$89,3,0)*0.475*44/12</f>
        <v>5.5278557001213621E-4</v>
      </c>
      <c r="AC58" s="24">
        <f t="shared" si="3"/>
        <v>14.907904648388728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149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148.99999999999994</v>
      </c>
      <c r="AJ58" s="14">
        <f>AI58*VLOOKUP('Données projet'!$B$10,Paramètres!$A$1:$I$89,3,0)*VLOOKUP('Données projet'!$B$10,Paramètres!$A$1:$I$89,5,0)</f>
        <v>151.08599999999996</v>
      </c>
      <c r="AK58" s="14">
        <f t="shared" si="35"/>
        <v>38.825279304404233</v>
      </c>
      <c r="AL58" s="22">
        <f t="shared" si="4"/>
        <v>330.76214478850397</v>
      </c>
      <c r="AM58" s="62">
        <f t="shared" si="5"/>
        <v>624.09547812183723</v>
      </c>
      <c r="AN58" s="62">
        <f ca="1">AVERAGE(OFFSET($AM$3,0,0,'Données projet'!$E$10+1,1))-AVERAGE(OFFSET($H$3,0,0,'Données projet'!$E$10+1,1))</f>
        <v>364.69354394930866</v>
      </c>
      <c r="AO58" s="62">
        <f t="shared" si="36"/>
        <v>159.6134369231965</v>
      </c>
      <c r="AP58" s="16">
        <f>IF(ISNA(VLOOKUP(A58,'Données projet'!$A$61:$I$81,3,0)),0,VLOOKUP(A58,'Données projet'!$A$61:$I$81,3,0))</f>
        <v>3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133</v>
      </c>
      <c r="BB58" s="13">
        <f>VLOOKUP(A58,'Données projet'!$A$87:$I$107,9,0)</f>
        <v>4</v>
      </c>
      <c r="BC58" s="13">
        <f t="array" ref="BC58">INDEX(BB:BB,MIN(IF(ISNUMBER(BB58:BB254),ROW(BB58:BB254),"")))</f>
        <v>4</v>
      </c>
      <c r="BD58" s="13">
        <f>IF('Données projet'!$A$88&gt;35,BD57+BC58-BL57,IF(A58&lt;'Données projet'!$A$88,$BA$205^A58,IF(A58='Données projet'!$A$88,'Données projet'!$B$88,BD57+BC58-BL57)))</f>
        <v>132.99999999999994</v>
      </c>
      <c r="BE58" s="14">
        <f>BD58*VLOOKUP('Données projet'!$B$11,Paramètres!$A$1:$I$89,3,0)*VLOOKUP('Données projet'!$B$11,Paramètres!$A$1:$I$89,5,0)</f>
        <v>116.18879999999997</v>
      </c>
      <c r="BF58" s="14">
        <f t="shared" si="37"/>
        <v>30.784436657961702</v>
      </c>
      <c r="BG58" s="22">
        <f t="shared" si="7"/>
        <v>255.97838717928323</v>
      </c>
      <c r="BH58" s="62">
        <f t="shared" si="8"/>
        <v>549.3117205126166</v>
      </c>
      <c r="BI58" s="62">
        <f ca="1">AVERAGE(OFFSET($BH$3,0,0,'Données projet'!$E$11+1,1))-AVERAGE(OFFSET($H$3,0,0,'Données projet'!$E$11+1,1))</f>
        <v>241.00707378755914</v>
      </c>
      <c r="BJ58" s="62">
        <f t="shared" si="38"/>
        <v>239.93573789765657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135.89743589743588</v>
      </c>
      <c r="BW58" s="13">
        <f>VLOOKUP(A58,'Données projet'!$A$113:$I$133,9,0)</f>
        <v>4.3589743589743595</v>
      </c>
      <c r="BX58" s="13">
        <f t="array" ref="BX58">INDEX(BW:BW,MIN(IF(ISNUMBER(BW58:BW254),ROW(BW58:BW254),"")))</f>
        <v>4.3589743589743595</v>
      </c>
      <c r="BY58" s="13">
        <f>IF('Données projet'!$A$114&gt;35,BY57+BX58-CG57,IF(A58&lt;'Données projet'!$A$114,$BV$205^A58,IF(A58='Données projet'!$A$114,'Données projet'!$B$114,BY57+BX58-CG57)))</f>
        <v>135.89743589743594</v>
      </c>
      <c r="BZ58" s="14">
        <f>BY58*VLOOKUP('Données projet'!$B$12,Paramètres!$A$1:$I$89,3,0)*VLOOKUP('Données projet'!$B$12,Paramètres!$A$1:$I$89,5,0)</f>
        <v>91.160000000000025</v>
      </c>
      <c r="CA58" s="14">
        <f t="shared" si="39"/>
        <v>24.844780200578068</v>
      </c>
      <c r="CB58" s="22">
        <f t="shared" si="10"/>
        <v>202.04165884934017</v>
      </c>
      <c r="CC58" s="62">
        <f t="shared" si="11"/>
        <v>495.37499218267351</v>
      </c>
      <c r="CD58" s="62">
        <f ca="1">AVERAGE(OFFSET($CC$3,0,0,'Données projet'!$E$12+1,1))-AVERAGE(OFFSET($H$3,0,0,'Données projet'!$E$12+1,1))</f>
        <v>207.91006140109965</v>
      </c>
      <c r="CE58" s="62">
        <f t="shared" si="40"/>
        <v>164.93317437647255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135.89743589743588</v>
      </c>
      <c r="CR58" s="13">
        <f>VLOOKUP(A58,'Données projet'!$A$139:$I$159,9,0)</f>
        <v>4.3589743589743595</v>
      </c>
      <c r="CS58" s="13">
        <f t="array" ref="CS58">INDEX(CR:CR,MIN(IF(ISNUMBER(CR58:CR254),ROW(CR58:CR254),"")))</f>
        <v>4.3589743589743595</v>
      </c>
      <c r="CT58" s="13">
        <f>IF('Données projet'!$A$140&gt;35,CT57+CS58-DB57,IF(A58&lt;'Données projet'!$A$140,$CQ$205^A58,IF(A58='Données projet'!$A$140,'Données projet'!$B$140,CT57+CS58-DB57)))</f>
        <v>135.89743589743594</v>
      </c>
      <c r="CU58" s="18">
        <f>CT58*VLOOKUP('Données projet'!$B$13,Paramètres!$A$1:$I$89,3,0)*VLOOKUP('Données projet'!$B$13,Paramètres!$A$1:$I$89,5,0)</f>
        <v>116.60000000000007</v>
      </c>
      <c r="CV58" s="14">
        <f t="shared" si="41"/>
        <v>30.880683483125132</v>
      </c>
      <c r="CW58" s="22">
        <f t="shared" si="13"/>
        <v>256.86219039977641</v>
      </c>
      <c r="CX58" s="62">
        <f t="shared" si="14"/>
        <v>550.19552373310967</v>
      </c>
      <c r="CY58" s="62">
        <f ca="1">AVERAGE(OFFSET($CX$3,0,0,'Données projet'!$E$13+1,1))-AVERAGE(OFFSET($H$3,0,0,'Données projet'!$E$13+1,1))</f>
        <v>255.77222823147724</v>
      </c>
      <c r="CZ58" s="62">
        <f t="shared" si="42"/>
        <v>199.6931080052031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149</v>
      </c>
      <c r="DM58" s="13">
        <f>VLOOKUP(A58,'Données projet'!$A$165:$I$185,9,0)</f>
        <v>5.6</v>
      </c>
      <c r="DN58" s="13">
        <f t="array" ref="DN58">INDEX(DM:DM,MIN(IF(ISNUMBER(DM58:DM254),ROW(DM58:DM254),"")))</f>
        <v>5.6</v>
      </c>
      <c r="DO58" s="13">
        <f>IF('Données projet'!$A$166&gt;35,DO57+DN58-DW57,IF(A58&lt;'Données projet'!$A$166,$DL$205^A58,IF(A58='Données projet'!$A$166,'Données projet'!$B$166,DO57+DN58-DW57)))</f>
        <v>148.99999999999994</v>
      </c>
      <c r="DP58" s="18">
        <f>DO58*VLOOKUP('Données projet'!$B$14,Paramètres!$A$1:$I$89,3,0)*VLOOKUP('Données projet'!$B$14,Paramètres!$A$1:$I$89,5,0)</f>
        <v>144.11279999999996</v>
      </c>
      <c r="DQ58" s="14">
        <f t="shared" si="43"/>
        <v>37.237596662992466</v>
      </c>
      <c r="DR58" s="22">
        <f t="shared" si="16"/>
        <v>315.85194085471181</v>
      </c>
      <c r="DS58" s="62">
        <f t="shared" si="17"/>
        <v>609.18527418804513</v>
      </c>
      <c r="DT58" s="62">
        <f ca="1">AVERAGE(OFFSET($DS$3,0,0,'Données projet'!$E$14+1,1))-AVERAGE(OFFSET($H$3,0,0,'Données projet'!$E$14+1,1))</f>
        <v>349.73011349954953</v>
      </c>
      <c r="DU58" s="62">
        <f t="shared" si="44"/>
        <v>154.08406475869634</v>
      </c>
      <c r="DV58" s="16">
        <f>IF(ISNA(VLOOKUP(A58,'Données projet'!$A$165:$I$185,3,0)),0,VLOOKUP(A58,'Données projet'!$A$165:$I$185,3,0))</f>
        <v>3</v>
      </c>
      <c r="DW58" s="16">
        <f>IF(ISNA(VLOOKUP(A58,'Données projet'!$A$165:$I$185,4,0)),0,VLOOKUP(A58,'Données projet'!$A$165:$I$185,4,0))</f>
        <v>28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-1.7053025658242404E-13</v>
      </c>
      <c r="O59" s="14">
        <f>N59*VLOOKUP('Données projet'!$B$9,Paramètres!$A$1:$I$89,3,0)*VLOOKUP('Données projet'!$B$9,Paramètres!$A$1:$I$89,5,0)</f>
        <v>-1.0197709343628959E-13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203.63995177374335</v>
      </c>
      <c r="T59" s="62">
        <f t="shared" si="34"/>
        <v>268.97461244918378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8.4725739763748287</v>
      </c>
      <c r="AA59" s="23">
        <f>EXP(-LN(2)/25)*AA58+(1-EXP(-LN(2)/25))/(LN(2)/25)*Calculateur!V59*Calculateur!X59*VLOOKUP('Données projet'!$B$9,Paramètres!$A$1:$I$89,3,0)*0.475*44/12</f>
        <v>6.0939874637753979</v>
      </c>
      <c r="AB59" s="23">
        <f>EXP(-LN(2)/2)*AB58+(1-EXP(-LN(2)/2))/(LN(2)/2)*V59*Y59*VLOOKUP('Données projet'!$B$9,Paramètres!$A$1:$I$89,3,0)*0.475*44/12</f>
        <v>3.9087842509765255E-4</v>
      </c>
      <c r="AC59" s="24">
        <f t="shared" si="3"/>
        <v>14.566952318575325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5.4</v>
      </c>
      <c r="AI59" s="14">
        <f>IF('Données projet'!$A$62&gt;35,AI58+AH59-AQ58,IF(A59&lt;'Données projet'!$A$62,$AF$205^A59,IF(A59='Données projet'!$A$62,'Données projet'!$B$62,AI58+AH59-AQ58)))</f>
        <v>126.39999999999995</v>
      </c>
      <c r="AJ59" s="14">
        <f>AI59*VLOOKUP('Données projet'!$B$10,Paramètres!$A$1:$I$89,3,0)*VLOOKUP('Données projet'!$B$10,Paramètres!$A$1:$I$89,5,0)</f>
        <v>128.16959999999995</v>
      </c>
      <c r="AK59" s="14">
        <f t="shared" si="35"/>
        <v>33.573059214253476</v>
      </c>
      <c r="AL59" s="22">
        <f t="shared" si="4"/>
        <v>281.70179813149139</v>
      </c>
      <c r="AM59" s="62">
        <f t="shared" si="5"/>
        <v>575.03513146482464</v>
      </c>
      <c r="AN59" s="62">
        <f ca="1">AVERAGE(OFFSET($AM$3,0,0,'Données projet'!$E$10+1,1))-AVERAGE(OFFSET($H$3,0,0,'Données projet'!$E$10+1,1))</f>
        <v>364.69354394930866</v>
      </c>
      <c r="AO59" s="62">
        <f t="shared" si="36"/>
        <v>159.6134369231965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3.6</v>
      </c>
      <c r="BD59" s="13">
        <f>IF('Données projet'!$A$88&gt;35,BD58+BC59-BL58,IF(A59&lt;'Données projet'!$A$88,$BA$205^A59,IF(A59='Données projet'!$A$88,'Données projet'!$B$88,BD58+BC59-BL58)))</f>
        <v>136.59999999999994</v>
      </c>
      <c r="BE59" s="14">
        <f>BD59*VLOOKUP('Données projet'!$B$11,Paramètres!$A$1:$I$89,3,0)*VLOOKUP('Données projet'!$B$11,Paramètres!$A$1:$I$89,5,0)</f>
        <v>119.33375999999996</v>
      </c>
      <c r="BF59" s="14">
        <f t="shared" si="37"/>
        <v>31.519559440518673</v>
      </c>
      <c r="BG59" s="22">
        <f t="shared" si="7"/>
        <v>262.73619802556993</v>
      </c>
      <c r="BH59" s="62">
        <f t="shared" si="8"/>
        <v>556.0695313589033</v>
      </c>
      <c r="BI59" s="62">
        <f ca="1">AVERAGE(OFFSET($BH$3,0,0,'Données projet'!$E$11+1,1))-AVERAGE(OFFSET($H$3,0,0,'Données projet'!$E$11+1,1))</f>
        <v>241.00707378755914</v>
      </c>
      <c r="BJ59" s="62">
        <f t="shared" si="38"/>
        <v>239.93573789765657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3.974358974358978</v>
      </c>
      <c r="BY59" s="13">
        <f>IF('Données projet'!$A$114&gt;35,BY58+BX59-CG58,IF(A59&lt;'Données projet'!$A$114,$BV$205^A59,IF(A59='Données projet'!$A$114,'Données projet'!$B$114,BY58+BX59-CG58)))</f>
        <v>139.87179487179492</v>
      </c>
      <c r="BZ59" s="14">
        <f>BY59*VLOOKUP('Données projet'!$B$12,Paramètres!$A$1:$I$89,3,0)*VLOOKUP('Données projet'!$B$12,Paramètres!$A$1:$I$89,5,0)</f>
        <v>93.826000000000022</v>
      </c>
      <c r="CA59" s="14">
        <f t="shared" si="39"/>
        <v>25.485716397269243</v>
      </c>
      <c r="CB59" s="22">
        <f t="shared" si="10"/>
        <v>207.80123939191063</v>
      </c>
      <c r="CC59" s="62">
        <f t="shared" si="11"/>
        <v>501.13457272524397</v>
      </c>
      <c r="CD59" s="62">
        <f ca="1">AVERAGE(OFFSET($CC$3,0,0,'Données projet'!$E$12+1,1))-AVERAGE(OFFSET($H$3,0,0,'Données projet'!$E$12+1,1))</f>
        <v>207.91006140109965</v>
      </c>
      <c r="CE59" s="62">
        <f t="shared" si="40"/>
        <v>164.93317437647255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3.974358974358978</v>
      </c>
      <c r="CT59" s="13">
        <f>IF('Données projet'!$A$140&gt;35,CT58+CS59-DB58,IF(A59&lt;'Données projet'!$A$140,$CQ$205^A59,IF(A59='Données projet'!$A$140,'Données projet'!$B$140,CT58+CS59-DB58)))</f>
        <v>139.87179487179492</v>
      </c>
      <c r="CU59" s="18">
        <f>CT59*VLOOKUP('Données projet'!$B$13,Paramètres!$A$1:$I$89,3,0)*VLOOKUP('Données projet'!$B$13,Paramètres!$A$1:$I$89,5,0)</f>
        <v>120.01000000000005</v>
      </c>
      <c r="CV59" s="14">
        <f t="shared" si="41"/>
        <v>31.677331618592952</v>
      </c>
      <c r="CW59" s="22">
        <f t="shared" si="13"/>
        <v>264.18876923571611</v>
      </c>
      <c r="CX59" s="62">
        <f t="shared" si="14"/>
        <v>557.52210256904937</v>
      </c>
      <c r="CY59" s="62">
        <f ca="1">AVERAGE(OFFSET($CX$3,0,0,'Données projet'!$E$13+1,1))-AVERAGE(OFFSET($H$3,0,0,'Données projet'!$E$13+1,1))</f>
        <v>255.77222823147724</v>
      </c>
      <c r="CZ59" s="62">
        <f t="shared" si="42"/>
        <v>199.6931080052031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5.4</v>
      </c>
      <c r="DO59" s="13">
        <f>IF('Données projet'!$A$166&gt;35,DO58+DN59-DW58,IF(A59&lt;'Données projet'!$A$166,$DL$205^A59,IF(A59='Données projet'!$A$166,'Données projet'!$B$166,DO58+DN59-DW58)))</f>
        <v>126.39999999999995</v>
      </c>
      <c r="DP59" s="18">
        <f>DO59*VLOOKUP('Données projet'!$B$14,Paramètres!$A$1:$I$89,3,0)*VLOOKUP('Données projet'!$B$14,Paramètres!$A$1:$I$89,5,0)</f>
        <v>122.25407999999995</v>
      </c>
      <c r="DQ59" s="14">
        <f t="shared" si="43"/>
        <v>32.20015567592624</v>
      </c>
      <c r="DR59" s="22">
        <f t="shared" si="16"/>
        <v>269.0077938022381</v>
      </c>
      <c r="DS59" s="62">
        <f t="shared" si="17"/>
        <v>562.34112713557147</v>
      </c>
      <c r="DT59" s="62">
        <f ca="1">AVERAGE(OFFSET($DS$3,0,0,'Données projet'!$E$14+1,1))-AVERAGE(OFFSET($H$3,0,0,'Données projet'!$E$14+1,1))</f>
        <v>349.73011349954953</v>
      </c>
      <c r="DU59" s="62">
        <f t="shared" si="44"/>
        <v>154.08406475869634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-1.7053025658242404E-13</v>
      </c>
      <c r="O60" s="14">
        <f>N60*VLOOKUP('Données projet'!$B$9,Paramètres!$A$1:$I$89,3,0)*VLOOKUP('Données projet'!$B$9,Paramètres!$A$1:$I$89,5,0)</f>
        <v>-1.0197709343628959E-13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203.63995177374335</v>
      </c>
      <c r="T60" s="62">
        <f t="shared" si="34"/>
        <v>268.97461244918378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8.3064319684579697</v>
      </c>
      <c r="AA60" s="23">
        <f>EXP(-LN(2)/25)*AA59+(1-EXP(-LN(2)/25))/(LN(2)/25)*Calculateur!V60*Calculateur!X60*VLOOKUP('Données projet'!$B$9,Paramètres!$A$1:$I$89,3,0)*0.475*44/12</f>
        <v>5.9273470561095873</v>
      </c>
      <c r="AB60" s="23">
        <f>EXP(-LN(2)/2)*AB59+(1-EXP(-LN(2)/2))/(LN(2)/2)*V60*Y60*VLOOKUP('Données projet'!$B$9,Paramètres!$A$1:$I$89,3,0)*0.475*44/12</f>
        <v>2.763927850060681E-4</v>
      </c>
      <c r="AC60" s="24">
        <f t="shared" si="3"/>
        <v>14.234055417352563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5.4</v>
      </c>
      <c r="AI60" s="14">
        <f>IF('Données projet'!$A$62&gt;35,AI59+AH60-AQ59,IF(A60&lt;'Données projet'!$A$62,$AF$205^A60,IF(A60='Données projet'!$A$62,'Données projet'!$B$62,AI59+AH60-AQ59)))</f>
        <v>131.79999999999995</v>
      </c>
      <c r="AJ60" s="14">
        <f>AI60*VLOOKUP('Données projet'!$B$10,Paramètres!$A$1:$I$89,3,0)*VLOOKUP('Données projet'!$B$10,Paramètres!$A$1:$I$89,5,0)</f>
        <v>133.64519999999996</v>
      </c>
      <c r="AK60" s="14">
        <f t="shared" si="35"/>
        <v>34.837297589797373</v>
      </c>
      <c r="AL60" s="22">
        <f t="shared" si="4"/>
        <v>293.44034996889701</v>
      </c>
      <c r="AM60" s="62">
        <f t="shared" si="5"/>
        <v>586.77368330223032</v>
      </c>
      <c r="AN60" s="62">
        <f ca="1">AVERAGE(OFFSET($AM$3,0,0,'Données projet'!$E$10+1,1))-AVERAGE(OFFSET($H$3,0,0,'Données projet'!$E$10+1,1))</f>
        <v>364.69354394930866</v>
      </c>
      <c r="AO60" s="62">
        <f t="shared" si="36"/>
        <v>159.6134369231965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3.6</v>
      </c>
      <c r="BD60" s="13">
        <f>IF('Données projet'!$A$88&gt;35,BD59+BC60-BL59,IF(A60&lt;'Données projet'!$A$88,$BA$205^A60,IF(A60='Données projet'!$A$88,'Données projet'!$B$88,BD59+BC60-BL59)))</f>
        <v>140.19999999999993</v>
      </c>
      <c r="BE60" s="14">
        <f>BD60*VLOOKUP('Données projet'!$B$11,Paramètres!$A$1:$I$89,3,0)*VLOOKUP('Données projet'!$B$11,Paramètres!$A$1:$I$89,5,0)</f>
        <v>122.47871999999997</v>
      </c>
      <c r="BF60" s="14">
        <f t="shared" si="37"/>
        <v>32.252430308903975</v>
      </c>
      <c r="BG60" s="22">
        <f t="shared" si="7"/>
        <v>269.49008678800766</v>
      </c>
      <c r="BH60" s="62">
        <f t="shared" si="8"/>
        <v>562.82342012134097</v>
      </c>
      <c r="BI60" s="62">
        <f ca="1">AVERAGE(OFFSET($BH$3,0,0,'Données projet'!$E$11+1,1))-AVERAGE(OFFSET($H$3,0,0,'Données projet'!$E$11+1,1))</f>
        <v>241.00707378755914</v>
      </c>
      <c r="BJ60" s="62">
        <f t="shared" si="38"/>
        <v>239.93573789765657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3.974358974358978</v>
      </c>
      <c r="BY60" s="13">
        <f>IF('Données projet'!$A$114&gt;35,BY59+BX60-CG59,IF(A60&lt;'Données projet'!$A$114,$BV$205^A60,IF(A60='Données projet'!$A$114,'Données projet'!$B$114,BY59+BX60-CG59)))</f>
        <v>143.8461538461539</v>
      </c>
      <c r="BZ60" s="14">
        <f>BY60*VLOOKUP('Données projet'!$B$12,Paramètres!$A$1:$I$89,3,0)*VLOOKUP('Données projet'!$B$12,Paramètres!$A$1:$I$89,5,0)</f>
        <v>96.492000000000047</v>
      </c>
      <c r="CA60" s="14">
        <f t="shared" si="39"/>
        <v>26.12453594675571</v>
      </c>
      <c r="CB60" s="22">
        <f t="shared" si="10"/>
        <v>213.55713344059961</v>
      </c>
      <c r="CC60" s="62">
        <f t="shared" si="11"/>
        <v>506.89046677393293</v>
      </c>
      <c r="CD60" s="62">
        <f ca="1">AVERAGE(OFFSET($CC$3,0,0,'Données projet'!$E$12+1,1))-AVERAGE(OFFSET($H$3,0,0,'Données projet'!$E$12+1,1))</f>
        <v>207.91006140109965</v>
      </c>
      <c r="CE60" s="62">
        <f t="shared" si="40"/>
        <v>164.93317437647255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3.974358974358978</v>
      </c>
      <c r="CT60" s="13">
        <f>IF('Données projet'!$A$140&gt;35,CT59+CS60-DB59,IF(A60&lt;'Données projet'!$A$140,$CQ$205^A60,IF(A60='Données projet'!$A$140,'Données projet'!$B$140,CT59+CS60-DB59)))</f>
        <v>143.8461538461539</v>
      </c>
      <c r="CU60" s="18">
        <f>CT60*VLOOKUP('Données projet'!$B$13,Paramètres!$A$1:$I$89,3,0)*VLOOKUP('Données projet'!$B$13,Paramètres!$A$1:$I$89,5,0)</f>
        <v>123.42000000000007</v>
      </c>
      <c r="CV60" s="14">
        <f t="shared" si="41"/>
        <v>32.471348879009895</v>
      </c>
      <c r="CW60" s="22">
        <f t="shared" si="13"/>
        <v>271.51076596427566</v>
      </c>
      <c r="CX60" s="62">
        <f t="shared" si="14"/>
        <v>564.84409929760898</v>
      </c>
      <c r="CY60" s="62">
        <f ca="1">AVERAGE(OFFSET($CX$3,0,0,'Données projet'!$E$13+1,1))-AVERAGE(OFFSET($H$3,0,0,'Données projet'!$E$13+1,1))</f>
        <v>255.77222823147724</v>
      </c>
      <c r="CZ60" s="62">
        <f t="shared" si="42"/>
        <v>199.6931080052031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5.4</v>
      </c>
      <c r="DO60" s="13">
        <f>IF('Données projet'!$A$166&gt;35,DO59+DN60-DW59,IF(A60&lt;'Données projet'!$A$166,$DL$205^A60,IF(A60='Données projet'!$A$166,'Données projet'!$B$166,DO59+DN60-DW59)))</f>
        <v>131.79999999999995</v>
      </c>
      <c r="DP60" s="18">
        <f>DO60*VLOOKUP('Données projet'!$B$14,Paramètres!$A$1:$I$89,3,0)*VLOOKUP('Données projet'!$B$14,Paramètres!$A$1:$I$89,5,0)</f>
        <v>127.47695999999995</v>
      </c>
      <c r="DQ60" s="14">
        <f t="shared" si="43"/>
        <v>33.412695535466739</v>
      </c>
      <c r="DR60" s="22">
        <f t="shared" si="16"/>
        <v>280.21615005760447</v>
      </c>
      <c r="DS60" s="62">
        <f t="shared" si="17"/>
        <v>573.54948339093778</v>
      </c>
      <c r="DT60" s="62">
        <f ca="1">AVERAGE(OFFSET($DS$3,0,0,'Données projet'!$E$14+1,1))-AVERAGE(OFFSET($H$3,0,0,'Données projet'!$E$14+1,1))</f>
        <v>349.73011349954953</v>
      </c>
      <c r="DU60" s="62">
        <f t="shared" si="44"/>
        <v>154.08406475869634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-1.7053025658242404E-13</v>
      </c>
      <c r="O61" s="14">
        <f>N61*VLOOKUP('Données projet'!$B$9,Paramètres!$A$1:$I$89,3,0)*VLOOKUP('Données projet'!$B$9,Paramètres!$A$1:$I$89,5,0)</f>
        <v>-1.0197709343628959E-13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203.63995177374335</v>
      </c>
      <c r="T61" s="62">
        <f t="shared" si="34"/>
        <v>268.97461244918378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8.1435479039797425</v>
      </c>
      <c r="AA61" s="23">
        <f>EXP(-LN(2)/25)*AA60+(1-EXP(-LN(2)/25))/(LN(2)/25)*Calculateur!V61*Calculateur!X61*VLOOKUP('Données projet'!$B$9,Paramètres!$A$1:$I$89,3,0)*0.475*44/12</f>
        <v>5.7652634391546362</v>
      </c>
      <c r="AB61" s="23">
        <f>EXP(-LN(2)/2)*AB60+(1-EXP(-LN(2)/2))/(LN(2)/2)*V61*Y61*VLOOKUP('Données projet'!$B$9,Paramètres!$A$1:$I$89,3,0)*0.475*44/12</f>
        <v>1.9543921254882627E-4</v>
      </c>
      <c r="AC61" s="24">
        <f t="shared" si="3"/>
        <v>13.909006782346927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5.4</v>
      </c>
      <c r="AI61" s="14">
        <f>IF('Données projet'!$A$62&gt;35,AI60+AH61-AQ60,IF(A61&lt;'Données projet'!$A$62,$AF$205^A61,IF(A61='Données projet'!$A$62,'Données projet'!$B$62,AI60+AH61-AQ60)))</f>
        <v>137.19999999999996</v>
      </c>
      <c r="AJ61" s="14">
        <f>AI61*VLOOKUP('Données projet'!$B$10,Paramètres!$A$1:$I$89,3,0)*VLOOKUP('Données projet'!$B$10,Paramètres!$A$1:$I$89,5,0)</f>
        <v>139.12079999999997</v>
      </c>
      <c r="AK61" s="14">
        <f t="shared" si="35"/>
        <v>36.095519333110218</v>
      </c>
      <c r="AL61" s="22">
        <f t="shared" si="4"/>
        <v>305.16842283850025</v>
      </c>
      <c r="AM61" s="62">
        <f t="shared" si="5"/>
        <v>598.50175617183356</v>
      </c>
      <c r="AN61" s="62">
        <f ca="1">AVERAGE(OFFSET($AM$3,0,0,'Données projet'!$E$10+1,1))-AVERAGE(OFFSET($H$3,0,0,'Données projet'!$E$10+1,1))</f>
        <v>364.69354394930866</v>
      </c>
      <c r="AO61" s="62">
        <f t="shared" si="36"/>
        <v>159.6134369231965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3.6</v>
      </c>
      <c r="BD61" s="13">
        <f>IF('Données projet'!$A$88&gt;35,BD60+BC61-BL60,IF(A61&lt;'Données projet'!$A$88,$BA$205^A61,IF(A61='Données projet'!$A$88,'Données projet'!$B$88,BD60+BC61-BL60)))</f>
        <v>143.79999999999993</v>
      </c>
      <c r="BE61" s="14">
        <f>BD61*VLOOKUP('Données projet'!$B$11,Paramètres!$A$1:$I$89,3,0)*VLOOKUP('Données projet'!$B$11,Paramètres!$A$1:$I$89,5,0)</f>
        <v>125.62367999999995</v>
      </c>
      <c r="BF61" s="14">
        <f t="shared" si="37"/>
        <v>32.983113735523155</v>
      </c>
      <c r="BG61" s="22">
        <f t="shared" si="7"/>
        <v>276.24016575603605</v>
      </c>
      <c r="BH61" s="62">
        <f t="shared" si="8"/>
        <v>569.57349908936931</v>
      </c>
      <c r="BI61" s="62">
        <f ca="1">AVERAGE(OFFSET($BH$3,0,0,'Données projet'!$E$11+1,1))-AVERAGE(OFFSET($H$3,0,0,'Données projet'!$E$11+1,1))</f>
        <v>241.00707378755914</v>
      </c>
      <c r="BJ61" s="62">
        <f t="shared" si="38"/>
        <v>239.93573789765657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3.974358974358978</v>
      </c>
      <c r="BY61" s="13">
        <f>IF('Données projet'!$A$114&gt;35,BY60+BX61-CG60,IF(A61&lt;'Données projet'!$A$114,$BV$205^A61,IF(A61='Données projet'!$A$114,'Données projet'!$B$114,BY60+BX61-CG60)))</f>
        <v>147.82051282051287</v>
      </c>
      <c r="BZ61" s="14">
        <f>BY61*VLOOKUP('Données projet'!$B$12,Paramètres!$A$1:$I$89,3,0)*VLOOKUP('Données projet'!$B$12,Paramètres!$A$1:$I$89,5,0)</f>
        <v>99.158000000000044</v>
      </c>
      <c r="CA61" s="14">
        <f t="shared" si="39"/>
        <v>26.761304049535234</v>
      </c>
      <c r="CB61" s="22">
        <f t="shared" si="10"/>
        <v>219.30945455294059</v>
      </c>
      <c r="CC61" s="62">
        <f t="shared" si="11"/>
        <v>512.64278788627394</v>
      </c>
      <c r="CD61" s="62">
        <f ca="1">AVERAGE(OFFSET($CC$3,0,0,'Données projet'!$E$12+1,1))-AVERAGE(OFFSET($H$3,0,0,'Données projet'!$E$12+1,1))</f>
        <v>207.91006140109965</v>
      </c>
      <c r="CE61" s="62">
        <f t="shared" si="40"/>
        <v>164.93317437647255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3.974358974358978</v>
      </c>
      <c r="CT61" s="13">
        <f>IF('Données projet'!$A$140&gt;35,CT60+CS61-DB60,IF(A61&lt;'Données projet'!$A$140,$CQ$205^A61,IF(A61='Données projet'!$A$140,'Données projet'!$B$140,CT60+CS61-DB60)))</f>
        <v>147.82051282051287</v>
      </c>
      <c r="CU61" s="18">
        <f>CT61*VLOOKUP('Données projet'!$B$13,Paramètres!$A$1:$I$89,3,0)*VLOOKUP('Données projet'!$B$13,Paramètres!$A$1:$I$89,5,0)</f>
        <v>126.83000000000006</v>
      </c>
      <c r="CV61" s="14">
        <f t="shared" si="41"/>
        <v>33.262816304977555</v>
      </c>
      <c r="CW61" s="22">
        <f t="shared" si="13"/>
        <v>278.82832173116935</v>
      </c>
      <c r="CX61" s="62">
        <f t="shared" si="14"/>
        <v>572.16165506450261</v>
      </c>
      <c r="CY61" s="62">
        <f ca="1">AVERAGE(OFFSET($CX$3,0,0,'Données projet'!$E$13+1,1))-AVERAGE(OFFSET($H$3,0,0,'Données projet'!$E$13+1,1))</f>
        <v>255.77222823147724</v>
      </c>
      <c r="CZ61" s="62">
        <f t="shared" si="42"/>
        <v>199.6931080052031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5.4</v>
      </c>
      <c r="DO61" s="13">
        <f>IF('Données projet'!$A$166&gt;35,DO60+DN61-DW60,IF(A61&lt;'Données projet'!$A$166,$DL$205^A61,IF(A61='Données projet'!$A$166,'Données projet'!$B$166,DO60+DN61-DW60)))</f>
        <v>137.19999999999996</v>
      </c>
      <c r="DP61" s="18">
        <f>DO61*VLOOKUP('Données projet'!$B$14,Paramètres!$A$1:$I$89,3,0)*VLOOKUP('Données projet'!$B$14,Paramètres!$A$1:$I$89,5,0)</f>
        <v>132.69983999999997</v>
      </c>
      <c r="DQ61" s="14">
        <f t="shared" si="43"/>
        <v>34.619464800994599</v>
      </c>
      <c r="DR61" s="22">
        <f t="shared" si="16"/>
        <v>291.41445586173216</v>
      </c>
      <c r="DS61" s="62">
        <f t="shared" si="17"/>
        <v>584.74778919506548</v>
      </c>
      <c r="DT61" s="62">
        <f ca="1">AVERAGE(OFFSET($DS$3,0,0,'Données projet'!$E$14+1,1))-AVERAGE(OFFSET($H$3,0,0,'Données projet'!$E$14+1,1))</f>
        <v>349.73011349954953</v>
      </c>
      <c r="DU61" s="62">
        <f t="shared" si="44"/>
        <v>154.08406475869634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-1.7053025658242404E-13</v>
      </c>
      <c r="O62" s="14">
        <f>N62*VLOOKUP('Données projet'!$B$9,Paramètres!$A$1:$I$89,3,0)*VLOOKUP('Données projet'!$B$9,Paramètres!$A$1:$I$89,5,0)</f>
        <v>-1.0197709343628959E-13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203.63995177374335</v>
      </c>
      <c r="T62" s="62">
        <f t="shared" si="34"/>
        <v>268.97461244918378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7.9838578966564633</v>
      </c>
      <c r="AA62" s="23">
        <f>EXP(-LN(2)/25)*AA61+(1-EXP(-LN(2)/25))/(LN(2)/25)*Calculateur!V62*Calculateur!X62*VLOOKUP('Données projet'!$B$9,Paramètres!$A$1:$I$89,3,0)*0.475*44/12</f>
        <v>5.6076120072289255</v>
      </c>
      <c r="AB62" s="23">
        <f>EXP(-LN(2)/2)*AB61+(1-EXP(-LN(2)/2))/(LN(2)/2)*V62*Y62*VLOOKUP('Données projet'!$B$9,Paramètres!$A$1:$I$89,3,0)*0.475*44/12</f>
        <v>1.3819639250303405E-4</v>
      </c>
      <c r="AC62" s="24">
        <f t="shared" si="3"/>
        <v>13.591608100277893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5.4</v>
      </c>
      <c r="AI62" s="14">
        <f>IF('Données projet'!$A$62&gt;35,AI61+AH62-AQ61,IF(A62&lt;'Données projet'!$A$62,$AF$205^A62,IF(A62='Données projet'!$A$62,'Données projet'!$B$62,AI61+AH62-AQ61)))</f>
        <v>142.59999999999997</v>
      </c>
      <c r="AJ62" s="14">
        <f>AI62*VLOOKUP('Données projet'!$B$10,Paramètres!$A$1:$I$89,3,0)*VLOOKUP('Données projet'!$B$10,Paramètres!$A$1:$I$89,5,0)</f>
        <v>144.59639999999999</v>
      </c>
      <c r="AK62" s="14">
        <f t="shared" si="35"/>
        <v>37.347988348805522</v>
      </c>
      <c r="AL62" s="22">
        <f t="shared" si="4"/>
        <v>316.8864763741696</v>
      </c>
      <c r="AM62" s="62">
        <f t="shared" si="5"/>
        <v>610.21980970750292</v>
      </c>
      <c r="AN62" s="62">
        <f ca="1">AVERAGE(OFFSET($AM$3,0,0,'Données projet'!$E$10+1,1))-AVERAGE(OFFSET($H$3,0,0,'Données projet'!$E$10+1,1))</f>
        <v>364.69354394930866</v>
      </c>
      <c r="AO62" s="62">
        <f t="shared" si="36"/>
        <v>159.6134369231965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3.6</v>
      </c>
      <c r="BD62" s="13">
        <f>IF('Données projet'!$A$88&gt;35,BD61+BC62-BL61,IF(A62&lt;'Données projet'!$A$88,$BA$205^A62,IF(A62='Données projet'!$A$88,'Données projet'!$B$88,BD61+BC62-BL61)))</f>
        <v>147.39999999999992</v>
      </c>
      <c r="BE62" s="14">
        <f>BD62*VLOOKUP('Données projet'!$B$11,Paramètres!$A$1:$I$89,3,0)*VLOOKUP('Données projet'!$B$11,Paramètres!$A$1:$I$89,5,0)</f>
        <v>128.76863999999995</v>
      </c>
      <c r="BF62" s="14">
        <f t="shared" si="37"/>
        <v>33.711670780700196</v>
      </c>
      <c r="BG62" s="22">
        <f t="shared" si="7"/>
        <v>282.98654127638605</v>
      </c>
      <c r="BH62" s="62">
        <f t="shared" si="8"/>
        <v>576.31987460971936</v>
      </c>
      <c r="BI62" s="62">
        <f ca="1">AVERAGE(OFFSET($BH$3,0,0,'Données projet'!$E$11+1,1))-AVERAGE(OFFSET($H$3,0,0,'Données projet'!$E$11+1,1))</f>
        <v>241.00707378755914</v>
      </c>
      <c r="BJ62" s="62">
        <f t="shared" si="38"/>
        <v>239.93573789765657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3.974358974358978</v>
      </c>
      <c r="BY62" s="13">
        <f>IF('Données projet'!$A$114&gt;35,BY61+BX62-CG61,IF(A62&lt;'Données projet'!$A$114,$BV$205^A62,IF(A62='Données projet'!$A$114,'Données projet'!$B$114,BY61+BX62-CG61)))</f>
        <v>151.79487179487185</v>
      </c>
      <c r="BZ62" s="14">
        <f>BY62*VLOOKUP('Données projet'!$B$12,Paramètres!$A$1:$I$89,3,0)*VLOOKUP('Données projet'!$B$12,Paramètres!$A$1:$I$89,5,0)</f>
        <v>101.82400000000004</v>
      </c>
      <c r="CA62" s="14">
        <f t="shared" si="39"/>
        <v>27.396082200495364</v>
      </c>
      <c r="CB62" s="22">
        <f t="shared" si="10"/>
        <v>225.05830983252949</v>
      </c>
      <c r="CC62" s="62">
        <f t="shared" si="11"/>
        <v>518.39164316586277</v>
      </c>
      <c r="CD62" s="62">
        <f ca="1">AVERAGE(OFFSET($CC$3,0,0,'Données projet'!$E$12+1,1))-AVERAGE(OFFSET($H$3,0,0,'Données projet'!$E$12+1,1))</f>
        <v>207.91006140109965</v>
      </c>
      <c r="CE62" s="62">
        <f t="shared" si="40"/>
        <v>164.93317437647255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3.974358974358978</v>
      </c>
      <c r="CT62" s="13">
        <f>IF('Données projet'!$A$140&gt;35,CT61+CS62-DB61,IF(A62&lt;'Données projet'!$A$140,$CQ$205^A62,IF(A62='Données projet'!$A$140,'Données projet'!$B$140,CT61+CS62-DB61)))</f>
        <v>151.79487179487185</v>
      </c>
      <c r="CU62" s="18">
        <f>CT62*VLOOKUP('Données projet'!$B$13,Paramètres!$A$1:$I$89,3,0)*VLOOKUP('Données projet'!$B$13,Paramètres!$A$1:$I$89,5,0)</f>
        <v>130.24000000000007</v>
      </c>
      <c r="CV62" s="14">
        <f t="shared" si="41"/>
        <v>34.051810331229682</v>
      </c>
      <c r="CW62" s="22">
        <f t="shared" si="13"/>
        <v>286.14156966022517</v>
      </c>
      <c r="CX62" s="62">
        <f t="shared" si="14"/>
        <v>579.47490299355854</v>
      </c>
      <c r="CY62" s="62">
        <f ca="1">AVERAGE(OFFSET($CX$3,0,0,'Données projet'!$E$13+1,1))-AVERAGE(OFFSET($H$3,0,0,'Données projet'!$E$13+1,1))</f>
        <v>255.77222823147724</v>
      </c>
      <c r="CZ62" s="62">
        <f t="shared" si="42"/>
        <v>199.6931080052031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5.4</v>
      </c>
      <c r="DO62" s="13">
        <f>IF('Données projet'!$A$166&gt;35,DO61+DN62-DW61,IF(A62&lt;'Données projet'!$A$166,$DL$205^A62,IF(A62='Données projet'!$A$166,'Données projet'!$B$166,DO61+DN62-DW61)))</f>
        <v>142.59999999999997</v>
      </c>
      <c r="DP62" s="18">
        <f>DO62*VLOOKUP('Données projet'!$B$14,Paramètres!$A$1:$I$89,3,0)*VLOOKUP('Données projet'!$B$14,Paramètres!$A$1:$I$89,5,0)</f>
        <v>137.92271999999997</v>
      </c>
      <c r="DQ62" s="14">
        <f t="shared" si="43"/>
        <v>35.82071658526872</v>
      </c>
      <c r="DR62" s="22">
        <f t="shared" si="16"/>
        <v>302.60315205267631</v>
      </c>
      <c r="DS62" s="62">
        <f t="shared" si="17"/>
        <v>595.93648538600962</v>
      </c>
      <c r="DT62" s="62">
        <f ca="1">AVERAGE(OFFSET($DS$3,0,0,'Données projet'!$E$14+1,1))-AVERAGE(OFFSET($H$3,0,0,'Données projet'!$E$14+1,1))</f>
        <v>349.73011349954953</v>
      </c>
      <c r="DU62" s="62">
        <f t="shared" si="44"/>
        <v>154.08406475869634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-1.7053025658242404E-13</v>
      </c>
      <c r="O63" s="14">
        <f>N63*VLOOKUP('Données projet'!$B$9,Paramètres!$A$1:$I$89,3,0)*VLOOKUP('Données projet'!$B$9,Paramètres!$A$1:$I$89,5,0)</f>
        <v>-1.0197709343628959E-13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203.63995177374335</v>
      </c>
      <c r="T63" s="62">
        <f t="shared" si="34"/>
        <v>268.97461244918378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7.8272993129755069</v>
      </c>
      <c r="AA63" s="23">
        <f>EXP(-LN(2)/25)*AA62+(1-EXP(-LN(2)/25))/(LN(2)/25)*Calculateur!V63*Calculateur!X63*VLOOKUP('Données projet'!$B$9,Paramètres!$A$1:$I$89,3,0)*0.475*44/12</f>
        <v>5.4542715619997511</v>
      </c>
      <c r="AB63" s="23">
        <f>EXP(-LN(2)/2)*AB62+(1-EXP(-LN(2)/2))/(LN(2)/2)*V63*Y63*VLOOKUP('Données projet'!$B$9,Paramètres!$A$1:$I$89,3,0)*0.475*44/12</f>
        <v>9.7719606274413137E-5</v>
      </c>
      <c r="AC63" s="24">
        <f t="shared" si="3"/>
        <v>13.281668594581534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148</v>
      </c>
      <c r="AG63" s="13">
        <f>VLOOKUP(A63,'Données projet'!$A$61:$I$81,9,0)</f>
        <v>5.4</v>
      </c>
      <c r="AH63" s="13">
        <f t="array" ref="AH63">INDEX(AG:AG,MIN(IF(ISNUMBER(AG63:AG259),ROW(AG63:AG259),"")))</f>
        <v>5.4</v>
      </c>
      <c r="AI63" s="14">
        <f>IF('Données projet'!$A$62&gt;35,AI62+AH63-AQ62,IF(A63&lt;'Données projet'!$A$62,$AF$205^A63,IF(A63='Données projet'!$A$62,'Données projet'!$B$62,AI62+AH63-AQ62)))</f>
        <v>147.99999999999997</v>
      </c>
      <c r="AJ63" s="14">
        <f>AI63*VLOOKUP('Données projet'!$B$10,Paramètres!$A$1:$I$89,3,0)*VLOOKUP('Données projet'!$B$10,Paramètres!$A$1:$I$89,5,0)</f>
        <v>150.07199999999997</v>
      </c>
      <c r="AK63" s="14">
        <f t="shared" si="35"/>
        <v>38.594947422201457</v>
      </c>
      <c r="AL63" s="22">
        <f t="shared" si="4"/>
        <v>328.5949334270008</v>
      </c>
      <c r="AM63" s="62">
        <f t="shared" si="5"/>
        <v>621.92826676033405</v>
      </c>
      <c r="AN63" s="62">
        <f ca="1">AVERAGE(OFFSET($AM$3,0,0,'Données projet'!$E$10+1,1))-AVERAGE(OFFSET($H$3,0,0,'Données projet'!$E$10+1,1))</f>
        <v>364.69354394930866</v>
      </c>
      <c r="AO63" s="62">
        <f t="shared" si="36"/>
        <v>159.6134369231965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151</v>
      </c>
      <c r="BB63" s="13">
        <f>VLOOKUP(A63,'Données projet'!$A$87:$I$107,9,0)</f>
        <v>3.6</v>
      </c>
      <c r="BC63" s="13">
        <f t="array" ref="BC63">INDEX(BB:BB,MIN(IF(ISNUMBER(BB63:BB259),ROW(BB63:BB259),"")))</f>
        <v>3.6</v>
      </c>
      <c r="BD63" s="13">
        <f>IF('Données projet'!$A$88&gt;35,BD62+BC63-BL62,IF(A63&lt;'Données projet'!$A$88,$BA$205^A63,IF(A63='Données projet'!$A$88,'Données projet'!$B$88,BD62+BC63-BL62)))</f>
        <v>150.99999999999991</v>
      </c>
      <c r="BE63" s="14">
        <f>BD63*VLOOKUP('Données projet'!$B$11,Paramètres!$A$1:$I$89,3,0)*VLOOKUP('Données projet'!$B$11,Paramètres!$A$1:$I$89,5,0)</f>
        <v>131.91359999999995</v>
      </c>
      <c r="BF63" s="14">
        <f t="shared" si="37"/>
        <v>34.438159352115974</v>
      </c>
      <c r="BG63" s="22">
        <f t="shared" si="7"/>
        <v>289.72931420493518</v>
      </c>
      <c r="BH63" s="62">
        <f t="shared" si="8"/>
        <v>583.06264753826849</v>
      </c>
      <c r="BI63" s="62">
        <f ca="1">AVERAGE(OFFSET($BH$3,0,0,'Données projet'!$E$11+1,1))-AVERAGE(OFFSET($H$3,0,0,'Données projet'!$E$11+1,1))</f>
        <v>241.00707378755914</v>
      </c>
      <c r="BJ63" s="62">
        <f t="shared" si="38"/>
        <v>239.93573789765657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155.76923076923077</v>
      </c>
      <c r="BW63" s="13">
        <f>VLOOKUP(A63,'Données projet'!$A$113:$I$133,9,0)</f>
        <v>3.974358974358978</v>
      </c>
      <c r="BX63" s="13">
        <f t="array" ref="BX63">INDEX(BW:BW,MIN(IF(ISNUMBER(BW63:BW259),ROW(BW63:BW259),"")))</f>
        <v>3.974358974358978</v>
      </c>
      <c r="BY63" s="13">
        <f>IF('Données projet'!$A$114&gt;35,BY62+BX63-CG62,IF(A63&lt;'Données projet'!$A$114,$BV$205^A63,IF(A63='Données projet'!$A$114,'Données projet'!$B$114,BY62+BX63-CG62)))</f>
        <v>155.76923076923083</v>
      </c>
      <c r="BZ63" s="14">
        <f>BY63*VLOOKUP('Données projet'!$B$12,Paramètres!$A$1:$I$89,3,0)*VLOOKUP('Données projet'!$B$12,Paramètres!$A$1:$I$89,5,0)</f>
        <v>104.49000000000004</v>
      </c>
      <c r="CA63" s="14">
        <f t="shared" si="39"/>
        <v>28.028928490951792</v>
      </c>
      <c r="CB63" s="22">
        <f t="shared" si="10"/>
        <v>230.80380045507442</v>
      </c>
      <c r="CC63" s="62">
        <f t="shared" si="11"/>
        <v>524.13713378840771</v>
      </c>
      <c r="CD63" s="62">
        <f ca="1">AVERAGE(OFFSET($CC$3,0,0,'Données projet'!$E$12+1,1))-AVERAGE(OFFSET($H$3,0,0,'Données projet'!$E$12+1,1))</f>
        <v>207.91006140109965</v>
      </c>
      <c r="CE63" s="62">
        <f t="shared" si="40"/>
        <v>164.93317437647255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21.794871794871796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155.76923076923077</v>
      </c>
      <c r="CR63" s="13">
        <f>VLOOKUP(A63,'Données projet'!$A$139:$I$159,9,0)</f>
        <v>3.974358974358978</v>
      </c>
      <c r="CS63" s="13">
        <f t="array" ref="CS63">INDEX(CR:CR,MIN(IF(ISNUMBER(CR63:CR259),ROW(CR63:CR259),"")))</f>
        <v>3.974358974358978</v>
      </c>
      <c r="CT63" s="13">
        <f>IF('Données projet'!$A$140&gt;35,CT62+CS63-DB62,IF(A63&lt;'Données projet'!$A$140,$CQ$205^A63,IF(A63='Données projet'!$A$140,'Données projet'!$B$140,CT62+CS63-DB62)))</f>
        <v>155.76923076923083</v>
      </c>
      <c r="CU63" s="18">
        <f>CT63*VLOOKUP('Données projet'!$B$13,Paramètres!$A$1:$I$89,3,0)*VLOOKUP('Données projet'!$B$13,Paramètres!$A$1:$I$89,5,0)</f>
        <v>133.65000000000006</v>
      </c>
      <c r="CV63" s="14">
        <f t="shared" si="41"/>
        <v>34.838403162048962</v>
      </c>
      <c r="CW63" s="22">
        <f t="shared" si="13"/>
        <v>293.45063550723535</v>
      </c>
      <c r="CX63" s="62">
        <f t="shared" si="14"/>
        <v>586.7839688405686</v>
      </c>
      <c r="CY63" s="62">
        <f ca="1">AVERAGE(OFFSET($CX$3,0,0,'Données projet'!$E$13+1,1))-AVERAGE(OFFSET($H$3,0,0,'Données projet'!$E$13+1,1))</f>
        <v>255.77222823147724</v>
      </c>
      <c r="CZ63" s="62">
        <f t="shared" si="42"/>
        <v>199.6931080052031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21.794871794871796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148</v>
      </c>
      <c r="DM63" s="13">
        <f>VLOOKUP(A63,'Données projet'!$A$165:$I$185,9,0)</f>
        <v>5.4</v>
      </c>
      <c r="DN63" s="13">
        <f t="array" ref="DN63">INDEX(DM:DM,MIN(IF(ISNUMBER(DM63:DM259),ROW(DM63:DM259),"")))</f>
        <v>5.4</v>
      </c>
      <c r="DO63" s="13">
        <f>IF('Données projet'!$A$166&gt;35,DO62+DN63-DW62,IF(A63&lt;'Données projet'!$A$166,$DL$205^A63,IF(A63='Données projet'!$A$166,'Données projet'!$B$166,DO62+DN63-DW62)))</f>
        <v>147.99999999999997</v>
      </c>
      <c r="DP63" s="18">
        <f>DO63*VLOOKUP('Données projet'!$B$14,Paramètres!$A$1:$I$89,3,0)*VLOOKUP('Données projet'!$B$14,Paramètres!$A$1:$I$89,5,0)</f>
        <v>143.14559999999997</v>
      </c>
      <c r="DQ63" s="14">
        <f t="shared" si="43"/>
        <v>37.01668374538415</v>
      </c>
      <c r="DR63" s="22">
        <f t="shared" si="16"/>
        <v>313.78264418987732</v>
      </c>
      <c r="DS63" s="62">
        <f t="shared" si="17"/>
        <v>607.11597752321063</v>
      </c>
      <c r="DT63" s="62">
        <f ca="1">AVERAGE(OFFSET($DS$3,0,0,'Données projet'!$E$14+1,1))-AVERAGE(OFFSET($H$3,0,0,'Données projet'!$E$14+1,1))</f>
        <v>349.73011349954953</v>
      </c>
      <c r="DU63" s="62">
        <f t="shared" si="44"/>
        <v>154.08406475869634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-1.7053025658242404E-13</v>
      </c>
      <c r="O64" s="14">
        <f>N64*VLOOKUP('Données projet'!$B$9,Paramètres!$A$1:$I$89,3,0)*VLOOKUP('Données projet'!$B$9,Paramètres!$A$1:$I$89,5,0)</f>
        <v>-1.0197709343628959E-13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203.63995177374335</v>
      </c>
      <c r="T64" s="62">
        <f t="shared" si="34"/>
        <v>268.97461244918378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7.6738107476292265</v>
      </c>
      <c r="AA64" s="23">
        <f>EXP(-LN(2)/25)*AA63+(1-EXP(-LN(2)/25))/(LN(2)/25)*Calculateur!V64*Calculateur!X64*VLOOKUP('Données projet'!$B$9,Paramètres!$A$1:$I$89,3,0)*0.475*44/12</f>
        <v>5.3051242193091923</v>
      </c>
      <c r="AB64" s="23">
        <f>EXP(-LN(2)/2)*AB63+(1-EXP(-LN(2)/2))/(LN(2)/2)*V64*Y64*VLOOKUP('Données projet'!$B$9,Paramètres!$A$1:$I$89,3,0)*0.475*44/12</f>
        <v>6.9098196251517026E-5</v>
      </c>
      <c r="AC64" s="24">
        <f t="shared" si="3"/>
        <v>12.979004065134669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5.4</v>
      </c>
      <c r="AI64" s="14">
        <f>IF('Données projet'!$A$62&gt;35,AI63+AH64-AQ63,IF(A64&lt;'Données projet'!$A$62,$AF$205^A64,IF(A64='Données projet'!$A$62,'Données projet'!$B$62,AI63+AH64-AQ63)))</f>
        <v>153.39999999999998</v>
      </c>
      <c r="AJ64" s="14">
        <f>AI64*VLOOKUP('Données projet'!$B$10,Paramètres!$A$1:$I$89,3,0)*VLOOKUP('Données projet'!$B$10,Paramètres!$A$1:$I$89,5,0)</f>
        <v>155.54759999999999</v>
      </c>
      <c r="AK64" s="14">
        <f t="shared" si="35"/>
        <v>39.836620617816237</v>
      </c>
      <c r="AL64" s="22">
        <f t="shared" si="4"/>
        <v>340.29418424269653</v>
      </c>
      <c r="AM64" s="62">
        <f t="shared" si="5"/>
        <v>633.62751757602985</v>
      </c>
      <c r="AN64" s="62">
        <f ca="1">AVERAGE(OFFSET($AM$3,0,0,'Données projet'!$E$10+1,1))-AVERAGE(OFFSET($H$3,0,0,'Données projet'!$E$10+1,1))</f>
        <v>364.69354394930866</v>
      </c>
      <c r="AO64" s="62">
        <f t="shared" si="36"/>
        <v>159.6134369231965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3</v>
      </c>
      <c r="BD64" s="13">
        <f>IF('Données projet'!$A$88&gt;35,BD63+BC64-BL63,IF(A64&lt;'Données projet'!$A$88,$BA$205^A64,IF(A64='Données projet'!$A$88,'Données projet'!$B$88,BD63+BC64-BL63)))</f>
        <v>132.99999999999991</v>
      </c>
      <c r="BE64" s="14">
        <f>BD64*VLOOKUP('Données projet'!$B$11,Paramètres!$A$1:$I$89,3,0)*VLOOKUP('Données projet'!$B$11,Paramètres!$A$1:$I$89,5,0)</f>
        <v>116.18879999999994</v>
      </c>
      <c r="BF64" s="14">
        <f t="shared" si="37"/>
        <v>30.784436657961702</v>
      </c>
      <c r="BG64" s="22">
        <f t="shared" si="7"/>
        <v>255.97838717928315</v>
      </c>
      <c r="BH64" s="62">
        <f t="shared" si="8"/>
        <v>549.31172051261649</v>
      </c>
      <c r="BI64" s="62">
        <f ca="1">AVERAGE(OFFSET($BH$3,0,0,'Données projet'!$E$11+1,1))-AVERAGE(OFFSET($H$3,0,0,'Données projet'!$E$11+1,1))</f>
        <v>241.00707378755914</v>
      </c>
      <c r="BJ64" s="62">
        <f t="shared" si="38"/>
        <v>239.93573789765657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3.9743589743589722</v>
      </c>
      <c r="BY64" s="13">
        <f>IF('Données projet'!$A$114&gt;35,BY63+BX64-CG63,IF(A64&lt;'Données projet'!$A$114,$BV$205^A64,IF(A64='Données projet'!$A$114,'Données projet'!$B$114,BY63+BX64-CG63)))</f>
        <v>137.94871794871801</v>
      </c>
      <c r="BZ64" s="14">
        <f>BY64*VLOOKUP('Données projet'!$B$12,Paramètres!$A$1:$I$89,3,0)*VLOOKUP('Données projet'!$B$12,Paramètres!$A$1:$I$89,5,0)</f>
        <v>92.536000000000044</v>
      </c>
      <c r="CA64" s="14">
        <f t="shared" si="39"/>
        <v>25.175854463014939</v>
      </c>
      <c r="CB64" s="22">
        <f t="shared" si="10"/>
        <v>205.0148131897511</v>
      </c>
      <c r="CC64" s="62">
        <f t="shared" si="11"/>
        <v>498.34814652308444</v>
      </c>
      <c r="CD64" s="62">
        <f ca="1">AVERAGE(OFFSET($CC$3,0,0,'Données projet'!$E$12+1,1))-AVERAGE(OFFSET($H$3,0,0,'Données projet'!$E$12+1,1))</f>
        <v>207.91006140109965</v>
      </c>
      <c r="CE64" s="62">
        <f t="shared" si="40"/>
        <v>164.93317437647255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3.9743589743589722</v>
      </c>
      <c r="CT64" s="13">
        <f>IF('Données projet'!$A$140&gt;35,CT63+CS64-DB63,IF(A64&lt;'Données projet'!$A$140,$CQ$205^A64,IF(A64='Données projet'!$A$140,'Données projet'!$B$140,CT63+CS64-DB63)))</f>
        <v>137.94871794871801</v>
      </c>
      <c r="CU64" s="18">
        <f>CT64*VLOOKUP('Données projet'!$B$13,Paramètres!$A$1:$I$89,3,0)*VLOOKUP('Données projet'!$B$13,Paramètres!$A$1:$I$89,5,0)</f>
        <v>118.36000000000007</v>
      </c>
      <c r="CV64" s="14">
        <f t="shared" si="41"/>
        <v>31.292190424429592</v>
      </c>
      <c r="CW64" s="22">
        <f t="shared" si="13"/>
        <v>260.64423165588164</v>
      </c>
      <c r="CX64" s="62">
        <f t="shared" si="14"/>
        <v>553.9775649892149</v>
      </c>
      <c r="CY64" s="62">
        <f ca="1">AVERAGE(OFFSET($CX$3,0,0,'Données projet'!$E$13+1,1))-AVERAGE(OFFSET($H$3,0,0,'Données projet'!$E$13+1,1))</f>
        <v>255.77222823147724</v>
      </c>
      <c r="CZ64" s="62">
        <f t="shared" si="42"/>
        <v>199.6931080052031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5.4</v>
      </c>
      <c r="DO64" s="13">
        <f>IF('Données projet'!$A$166&gt;35,DO63+DN64-DW63,IF(A64&lt;'Données projet'!$A$166,$DL$205^A64,IF(A64='Données projet'!$A$166,'Données projet'!$B$166,DO63+DN64-DW63)))</f>
        <v>153.39999999999998</v>
      </c>
      <c r="DP64" s="18">
        <f>DO64*VLOOKUP('Données projet'!$B$14,Paramètres!$A$1:$I$89,3,0)*VLOOKUP('Données projet'!$B$14,Paramètres!$A$1:$I$89,5,0)</f>
        <v>148.36847999999998</v>
      </c>
      <c r="DQ64" s="14">
        <f t="shared" si="43"/>
        <v>38.207581183185901</v>
      </c>
      <c r="DR64" s="22">
        <f t="shared" si="16"/>
        <v>324.95330656071542</v>
      </c>
      <c r="DS64" s="62">
        <f t="shared" si="17"/>
        <v>618.28663989404868</v>
      </c>
      <c r="DT64" s="62">
        <f ca="1">AVERAGE(OFFSET($DS$3,0,0,'Données projet'!$E$14+1,1))-AVERAGE(OFFSET($H$3,0,0,'Données projet'!$E$14+1,1))</f>
        <v>349.73011349954953</v>
      </c>
      <c r="DU64" s="62">
        <f t="shared" si="44"/>
        <v>154.08406475869634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-1.7053025658242404E-13</v>
      </c>
      <c r="O65" s="14">
        <f>N65*VLOOKUP('Données projet'!$B$9,Paramètres!$A$1:$I$89,3,0)*VLOOKUP('Données projet'!$B$9,Paramètres!$A$1:$I$89,5,0)</f>
        <v>-1.0197709343628959E-13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203.63995177374335</v>
      </c>
      <c r="T65" s="62">
        <f t="shared" si="34"/>
        <v>268.97461244918378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7.5233319994306065</v>
      </c>
      <c r="AA65" s="23">
        <f>EXP(-LN(2)/25)*AA64+(1-EXP(-LN(2)/25))/(LN(2)/25)*Calculateur!V65*Calculateur!X65*VLOOKUP('Données projet'!$B$9,Paramètres!$A$1:$I$89,3,0)*0.475*44/12</f>
        <v>5.1600553185478244</v>
      </c>
      <c r="AB65" s="23">
        <f>EXP(-LN(2)/2)*AB64+(1-EXP(-LN(2)/2))/(LN(2)/2)*V65*Y65*VLOOKUP('Données projet'!$B$9,Paramètres!$A$1:$I$89,3,0)*0.475*44/12</f>
        <v>4.8859803137206568E-5</v>
      </c>
      <c r="AC65" s="24">
        <f t="shared" si="3"/>
        <v>12.683436177781568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5.4</v>
      </c>
      <c r="AI65" s="14">
        <f>IF('Données projet'!$A$62&gt;35,AI64+AH65-AQ64,IF(A65&lt;'Données projet'!$A$62,$AF$205^A65,IF(A65='Données projet'!$A$62,'Données projet'!$B$62,AI64+AH65-AQ64)))</f>
        <v>158.79999999999998</v>
      </c>
      <c r="AJ65" s="14">
        <f>AI65*VLOOKUP('Données projet'!$B$10,Paramètres!$A$1:$I$89,3,0)*VLOOKUP('Données projet'!$B$10,Paramètres!$A$1:$I$89,5,0)</f>
        <v>161.0232</v>
      </c>
      <c r="AK65" s="14">
        <f t="shared" si="35"/>
        <v>41.073215330646036</v>
      </c>
      <c r="AL65" s="22">
        <f t="shared" si="4"/>
        <v>351.98459003420857</v>
      </c>
      <c r="AM65" s="62">
        <f t="shared" si="5"/>
        <v>645.31792336754188</v>
      </c>
      <c r="AN65" s="62">
        <f ca="1">AVERAGE(OFFSET($AM$3,0,0,'Données projet'!$E$10+1,1))-AVERAGE(OFFSET($H$3,0,0,'Données projet'!$E$10+1,1))</f>
        <v>364.69354394930866</v>
      </c>
      <c r="AO65" s="62">
        <f t="shared" si="36"/>
        <v>159.6134369231965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3</v>
      </c>
      <c r="BD65" s="13">
        <f>IF('Données projet'!$A$88&gt;35,BD64+BC65-BL64,IF(A65&lt;'Données projet'!$A$88,$BA$205^A65,IF(A65='Données projet'!$A$88,'Données projet'!$B$88,BD64+BC65-BL64)))</f>
        <v>135.99999999999991</v>
      </c>
      <c r="BE65" s="14">
        <f>BD65*VLOOKUP('Données projet'!$B$11,Paramètres!$A$1:$I$89,3,0)*VLOOKUP('Données projet'!$B$11,Paramètres!$A$1:$I$89,5,0)</f>
        <v>118.80959999999993</v>
      </c>
      <c r="BF65" s="14">
        <f t="shared" si="37"/>
        <v>31.397197153337192</v>
      </c>
      <c r="BG65" s="22">
        <f t="shared" si="7"/>
        <v>261.61017170872884</v>
      </c>
      <c r="BH65" s="62">
        <f t="shared" si="8"/>
        <v>554.94350504206216</v>
      </c>
      <c r="BI65" s="62">
        <f ca="1">AVERAGE(OFFSET($BH$3,0,0,'Données projet'!$E$11+1,1))-AVERAGE(OFFSET($H$3,0,0,'Données projet'!$E$11+1,1))</f>
        <v>241.00707378755914</v>
      </c>
      <c r="BJ65" s="62">
        <f t="shared" si="38"/>
        <v>239.93573789765657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3.9743589743589722</v>
      </c>
      <c r="BY65" s="13">
        <f>IF('Données projet'!$A$114&gt;35,BY64+BX65-CG64,IF(A65&lt;'Données projet'!$A$114,$BV$205^A65,IF(A65='Données projet'!$A$114,'Données projet'!$B$114,BY64+BX65-CG64)))</f>
        <v>141.92307692307699</v>
      </c>
      <c r="BZ65" s="14">
        <f>BY65*VLOOKUP('Données projet'!$B$12,Paramètres!$A$1:$I$89,3,0)*VLOOKUP('Données projet'!$B$12,Paramètres!$A$1:$I$89,5,0)</f>
        <v>95.202000000000041</v>
      </c>
      <c r="CA65" s="14">
        <f t="shared" si="39"/>
        <v>25.815689813656931</v>
      </c>
      <c r="CB65" s="22">
        <f t="shared" si="10"/>
        <v>210.77247642545254</v>
      </c>
      <c r="CC65" s="62">
        <f t="shared" si="11"/>
        <v>504.10580975878588</v>
      </c>
      <c r="CD65" s="62">
        <f ca="1">AVERAGE(OFFSET($CC$3,0,0,'Données projet'!$E$12+1,1))-AVERAGE(OFFSET($H$3,0,0,'Données projet'!$E$12+1,1))</f>
        <v>207.91006140109965</v>
      </c>
      <c r="CE65" s="62">
        <f t="shared" si="40"/>
        <v>164.93317437647255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3.9743589743589722</v>
      </c>
      <c r="CT65" s="13">
        <f>IF('Données projet'!$A$140&gt;35,CT64+CS65-DB64,IF(A65&lt;'Données projet'!$A$140,$CQ$205^A65,IF(A65='Données projet'!$A$140,'Données projet'!$B$140,CT64+CS65-DB64)))</f>
        <v>141.92307692307699</v>
      </c>
      <c r="CU65" s="18">
        <f>CT65*VLOOKUP('Données projet'!$B$13,Paramètres!$A$1:$I$89,3,0)*VLOOKUP('Données projet'!$B$13,Paramètres!$A$1:$I$89,5,0)</f>
        <v>121.77000000000007</v>
      </c>
      <c r="CV65" s="14">
        <f t="shared" si="41"/>
        <v>32.087470269329621</v>
      </c>
      <c r="CW65" s="22">
        <f t="shared" si="13"/>
        <v>267.96842738574924</v>
      </c>
      <c r="CX65" s="62">
        <f t="shared" si="14"/>
        <v>561.30176071908249</v>
      </c>
      <c r="CY65" s="62">
        <f ca="1">AVERAGE(OFFSET($CX$3,0,0,'Données projet'!$E$13+1,1))-AVERAGE(OFFSET($H$3,0,0,'Données projet'!$E$13+1,1))</f>
        <v>255.77222823147724</v>
      </c>
      <c r="CZ65" s="62">
        <f t="shared" si="42"/>
        <v>199.6931080052031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5.4</v>
      </c>
      <c r="DO65" s="13">
        <f>IF('Données projet'!$A$166&gt;35,DO64+DN65-DW64,IF(A65&lt;'Données projet'!$A$166,$DL$205^A65,IF(A65='Données projet'!$A$166,'Données projet'!$B$166,DO64+DN65-DW64)))</f>
        <v>158.79999999999998</v>
      </c>
      <c r="DP65" s="18">
        <f>DO65*VLOOKUP('Données projet'!$B$14,Paramètres!$A$1:$I$89,3,0)*VLOOKUP('Données projet'!$B$14,Paramètres!$A$1:$I$89,5,0)</f>
        <v>153.59135999999998</v>
      </c>
      <c r="DQ65" s="14">
        <f t="shared" si="43"/>
        <v>39.393607812663873</v>
      </c>
      <c r="DR65" s="22">
        <f t="shared" si="16"/>
        <v>336.1154856070562</v>
      </c>
      <c r="DS65" s="62">
        <f t="shared" si="17"/>
        <v>629.44881894038951</v>
      </c>
      <c r="DT65" s="62">
        <f ca="1">AVERAGE(OFFSET($DS$3,0,0,'Données projet'!$E$14+1,1))-AVERAGE(OFFSET($H$3,0,0,'Données projet'!$E$14+1,1))</f>
        <v>349.73011349954953</v>
      </c>
      <c r="DU65" s="62">
        <f t="shared" si="44"/>
        <v>154.08406475869634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-1.7053025658242404E-13</v>
      </c>
      <c r="O66" s="14">
        <f>N66*VLOOKUP('Données projet'!$B$9,Paramètres!$A$1:$I$89,3,0)*VLOOKUP('Données projet'!$B$9,Paramètres!$A$1:$I$89,5,0)</f>
        <v>-1.0197709343628959E-13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203.63995177374335</v>
      </c>
      <c r="T66" s="62">
        <f t="shared" si="34"/>
        <v>268.97461244918378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7.3758040477011875</v>
      </c>
      <c r="AA66" s="23">
        <f>EXP(-LN(2)/25)*AA65+(1-EXP(-LN(2)/25))/(LN(2)/25)*Calculateur!V66*Calculateur!X66*VLOOKUP('Données projet'!$B$9,Paramètres!$A$1:$I$89,3,0)*0.475*44/12</f>
        <v>5.0189533345066186</v>
      </c>
      <c r="AB66" s="23">
        <f>EXP(-LN(2)/2)*AB65+(1-EXP(-LN(2)/2))/(LN(2)/2)*V66*Y66*VLOOKUP('Données projet'!$B$9,Paramètres!$A$1:$I$89,3,0)*0.475*44/12</f>
        <v>3.4549098125758513E-5</v>
      </c>
      <c r="AC66" s="24">
        <f t="shared" si="3"/>
        <v>12.394791931305933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5.4</v>
      </c>
      <c r="AI66" s="14">
        <f>IF('Données projet'!$A$62&gt;35,AI65+AH66-AQ65,IF(A66&lt;'Données projet'!$A$62,$AF$205^A66,IF(A66='Données projet'!$A$62,'Données projet'!$B$62,AI65+AH66-AQ65)))</f>
        <v>164.2</v>
      </c>
      <c r="AJ66" s="14">
        <f>AI66*VLOOKUP('Données projet'!$B$10,Paramètres!$A$1:$I$89,3,0)*VLOOKUP('Données projet'!$B$10,Paramètres!$A$1:$I$89,5,0)</f>
        <v>166.49879999999999</v>
      </c>
      <c r="AK66" s="14">
        <f t="shared" si="35"/>
        <v>42.304924050589179</v>
      </c>
      <c r="AL66" s="22">
        <f t="shared" si="4"/>
        <v>363.66648605477604</v>
      </c>
      <c r="AM66" s="62">
        <f t="shared" si="5"/>
        <v>656.99981938810936</v>
      </c>
      <c r="AN66" s="62">
        <f ca="1">AVERAGE(OFFSET($AM$3,0,0,'Données projet'!$E$10+1,1))-AVERAGE(OFFSET($H$3,0,0,'Données projet'!$E$10+1,1))</f>
        <v>364.69354394930866</v>
      </c>
      <c r="AO66" s="62">
        <f t="shared" si="36"/>
        <v>159.6134369231965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3</v>
      </c>
      <c r="BD66" s="13">
        <f>IF('Données projet'!$A$88&gt;35,BD65+BC66-BL65,IF(A66&lt;'Données projet'!$A$88,$BA$205^A66,IF(A66='Données projet'!$A$88,'Données projet'!$B$88,BD65+BC66-BL65)))</f>
        <v>138.99999999999991</v>
      </c>
      <c r="BE66" s="14">
        <f>BD66*VLOOKUP('Données projet'!$B$11,Paramètres!$A$1:$I$89,3,0)*VLOOKUP('Données projet'!$B$11,Paramètres!$A$1:$I$89,5,0)</f>
        <v>121.43039999999995</v>
      </c>
      <c r="BF66" s="14">
        <f t="shared" si="37"/>
        <v>32.008386179504456</v>
      </c>
      <c r="BG66" s="22">
        <f t="shared" si="7"/>
        <v>267.23921926263682</v>
      </c>
      <c r="BH66" s="62">
        <f t="shared" si="8"/>
        <v>560.57255259597014</v>
      </c>
      <c r="BI66" s="62">
        <f ca="1">AVERAGE(OFFSET($BH$3,0,0,'Données projet'!$E$11+1,1))-AVERAGE(OFFSET($H$3,0,0,'Données projet'!$E$11+1,1))</f>
        <v>241.00707378755914</v>
      </c>
      <c r="BJ66" s="62">
        <f t="shared" si="38"/>
        <v>239.93573789765657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3.9743589743589722</v>
      </c>
      <c r="BY66" s="13">
        <f>IF('Données projet'!$A$114&gt;35,BY65+BX66-CG65,IF(A66&lt;'Données projet'!$A$114,$BV$205^A66,IF(A66='Données projet'!$A$114,'Données projet'!$B$114,BY65+BX66-CG65)))</f>
        <v>145.89743589743597</v>
      </c>
      <c r="BZ66" s="14">
        <f>BY66*VLOOKUP('Données projet'!$B$12,Paramètres!$A$1:$I$89,3,0)*VLOOKUP('Données projet'!$B$12,Paramètres!$A$1:$I$89,5,0)</f>
        <v>97.868000000000052</v>
      </c>
      <c r="CA66" s="14">
        <f t="shared" si="39"/>
        <v>26.453442651675363</v>
      </c>
      <c r="CB66" s="22">
        <f t="shared" si="10"/>
        <v>216.52651261833466</v>
      </c>
      <c r="CC66" s="62">
        <f t="shared" si="11"/>
        <v>509.85984595166798</v>
      </c>
      <c r="CD66" s="62">
        <f ca="1">AVERAGE(OFFSET($CC$3,0,0,'Données projet'!$E$12+1,1))-AVERAGE(OFFSET($H$3,0,0,'Données projet'!$E$12+1,1))</f>
        <v>207.91006140109965</v>
      </c>
      <c r="CE66" s="62">
        <f t="shared" si="40"/>
        <v>164.93317437647255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3.9743589743589722</v>
      </c>
      <c r="CT66" s="13">
        <f>IF('Données projet'!$A$140&gt;35,CT65+CS66-DB65,IF(A66&lt;'Données projet'!$A$140,$CQ$205^A66,IF(A66='Données projet'!$A$140,'Données projet'!$B$140,CT65+CS66-DB65)))</f>
        <v>145.89743589743597</v>
      </c>
      <c r="CU66" s="18">
        <f>CT66*VLOOKUP('Données projet'!$B$13,Paramètres!$A$1:$I$89,3,0)*VLOOKUP('Données projet'!$B$13,Paramètres!$A$1:$I$89,5,0)</f>
        <v>125.18000000000008</v>
      </c>
      <c r="CV66" s="14">
        <f t="shared" si="41"/>
        <v>32.8801616665694</v>
      </c>
      <c r="CW66" s="22">
        <f t="shared" si="13"/>
        <v>275.28811490260853</v>
      </c>
      <c r="CX66" s="62">
        <f t="shared" si="14"/>
        <v>568.6214482359419</v>
      </c>
      <c r="CY66" s="62">
        <f ca="1">AVERAGE(OFFSET($CX$3,0,0,'Données projet'!$E$13+1,1))-AVERAGE(OFFSET($H$3,0,0,'Données projet'!$E$13+1,1))</f>
        <v>255.77222823147724</v>
      </c>
      <c r="CZ66" s="62">
        <f t="shared" si="42"/>
        <v>199.6931080052031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5.4</v>
      </c>
      <c r="DO66" s="13">
        <f>IF('Données projet'!$A$166&gt;35,DO65+DN66-DW65,IF(A66&lt;'Données projet'!$A$166,$DL$205^A66,IF(A66='Données projet'!$A$166,'Données projet'!$B$166,DO65+DN66-DW65)))</f>
        <v>164.2</v>
      </c>
      <c r="DP66" s="18">
        <f>DO66*VLOOKUP('Données projet'!$B$14,Paramètres!$A$1:$I$89,3,0)*VLOOKUP('Données projet'!$B$14,Paramètres!$A$1:$I$89,5,0)</f>
        <v>158.81423999999998</v>
      </c>
      <c r="DQ66" s="14">
        <f t="shared" si="43"/>
        <v>40.574948252224658</v>
      </c>
      <c r="DR66" s="22">
        <f t="shared" si="16"/>
        <v>347.26950287262457</v>
      </c>
      <c r="DS66" s="62">
        <f t="shared" si="17"/>
        <v>640.60283620595783</v>
      </c>
      <c r="DT66" s="62">
        <f ca="1">AVERAGE(OFFSET($DS$3,0,0,'Données projet'!$E$14+1,1))-AVERAGE(OFFSET($H$3,0,0,'Données projet'!$E$14+1,1))</f>
        <v>349.73011349954953</v>
      </c>
      <c r="DU66" s="62">
        <f t="shared" si="44"/>
        <v>154.08406475869634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-1.7053025658242404E-13</v>
      </c>
      <c r="O67" s="14">
        <f>N67*VLOOKUP('Données projet'!$B$9,Paramètres!$A$1:$I$89,3,0)*VLOOKUP('Données projet'!$B$9,Paramètres!$A$1:$I$89,5,0)</f>
        <v>-1.0197709343628959E-13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203.63995177374335</v>
      </c>
      <c r="T67" s="62">
        <f t="shared" si="34"/>
        <v>268.97461244918378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7.2311690291220172</v>
      </c>
      <c r="AA67" s="23">
        <f>EXP(-LN(2)/25)*AA66+(1-EXP(-LN(2)/25))/(LN(2)/25)*Calculateur!V67*Calculateur!X67*VLOOKUP('Données projet'!$B$9,Paramètres!$A$1:$I$89,3,0)*0.475*44/12</f>
        <v>4.88170979163925</v>
      </c>
      <c r="AB67" s="23">
        <f>EXP(-LN(2)/2)*AB66+(1-EXP(-LN(2)/2))/(LN(2)/2)*V67*Y67*VLOOKUP('Données projet'!$B$9,Paramètres!$A$1:$I$89,3,0)*0.475*44/12</f>
        <v>2.4429901568603284E-5</v>
      </c>
      <c r="AC67" s="24">
        <f t="shared" si="3"/>
        <v>12.112903250662836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5.4</v>
      </c>
      <c r="AI67" s="14">
        <f>IF('Données projet'!$A$62&gt;35,AI66+AH67-AQ66,IF(A67&lt;'Données projet'!$A$62,$AF$205^A67,IF(A67='Données projet'!$A$62,'Données projet'!$B$62,AI66+AH67-AQ66)))</f>
        <v>169.6</v>
      </c>
      <c r="AJ67" s="14">
        <f>AI67*VLOOKUP('Données projet'!$B$10,Paramètres!$A$1:$I$89,3,0)*VLOOKUP('Données projet'!$B$10,Paramètres!$A$1:$I$89,5,0)</f>
        <v>171.9744</v>
      </c>
      <c r="AK67" s="14">
        <f t="shared" si="35"/>
        <v>43.531925888246128</v>
      </c>
      <c r="AL67" s="22">
        <f t="shared" si="4"/>
        <v>375.34018425536198</v>
      </c>
      <c r="AM67" s="62">
        <f t="shared" si="5"/>
        <v>668.67351758869529</v>
      </c>
      <c r="AN67" s="62">
        <f ca="1">AVERAGE(OFFSET($AM$3,0,0,'Données projet'!$E$10+1,1))-AVERAGE(OFFSET($H$3,0,0,'Données projet'!$E$10+1,1))</f>
        <v>364.69354394930866</v>
      </c>
      <c r="AO67" s="62">
        <f t="shared" si="36"/>
        <v>159.6134369231965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3</v>
      </c>
      <c r="BD67" s="13">
        <f>IF('Données projet'!$A$88&gt;35,BD66+BC67-BL66,IF(A67&lt;'Données projet'!$A$88,$BA$205^A67,IF(A67='Données projet'!$A$88,'Données projet'!$B$88,BD66+BC67-BL66)))</f>
        <v>141.99999999999991</v>
      </c>
      <c r="BE67" s="14">
        <f>BD67*VLOOKUP('Données projet'!$B$11,Paramètres!$A$1:$I$89,3,0)*VLOOKUP('Données projet'!$B$11,Paramètres!$A$1:$I$89,5,0)</f>
        <v>124.05119999999994</v>
      </c>
      <c r="BF67" s="14">
        <f t="shared" si="37"/>
        <v>32.618041559365977</v>
      </c>
      <c r="BG67" s="22">
        <f t="shared" si="7"/>
        <v>272.86559571589561</v>
      </c>
      <c r="BH67" s="62">
        <f t="shared" si="8"/>
        <v>566.19892904922892</v>
      </c>
      <c r="BI67" s="62">
        <f ca="1">AVERAGE(OFFSET($BH$3,0,0,'Données projet'!$E$11+1,1))-AVERAGE(OFFSET($H$3,0,0,'Données projet'!$E$11+1,1))</f>
        <v>241.00707378755914</v>
      </c>
      <c r="BJ67" s="62">
        <f t="shared" si="38"/>
        <v>239.93573789765657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3.9743589743589722</v>
      </c>
      <c r="BY67" s="13">
        <f>IF('Données projet'!$A$114&gt;35,BY66+BX67-CG66,IF(A67&lt;'Données projet'!$A$114,$BV$205^A67,IF(A67='Données projet'!$A$114,'Données projet'!$B$114,BY66+BX67-CG66)))</f>
        <v>149.87179487179495</v>
      </c>
      <c r="BZ67" s="14">
        <f>BY67*VLOOKUP('Données projet'!$B$12,Paramètres!$A$1:$I$89,3,0)*VLOOKUP('Données projet'!$B$12,Paramètres!$A$1:$I$89,5,0)</f>
        <v>100.53400000000006</v>
      </c>
      <c r="CA67" s="14">
        <f t="shared" si="39"/>
        <v>27.089176225149</v>
      </c>
      <c r="CB67" s="22">
        <f t="shared" si="10"/>
        <v>222.27703192546792</v>
      </c>
      <c r="CC67" s="62">
        <f t="shared" si="11"/>
        <v>515.61036525880127</v>
      </c>
      <c r="CD67" s="62">
        <f ca="1">AVERAGE(OFFSET($CC$3,0,0,'Données projet'!$E$12+1,1))-AVERAGE(OFFSET($H$3,0,0,'Données projet'!$E$12+1,1))</f>
        <v>207.91006140109965</v>
      </c>
      <c r="CE67" s="62">
        <f t="shared" si="40"/>
        <v>164.93317437647255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3.9743589743589722</v>
      </c>
      <c r="CT67" s="13">
        <f>IF('Données projet'!$A$140&gt;35,CT66+CS67-DB66,IF(A67&lt;'Données projet'!$A$140,$CQ$205^A67,IF(A67='Données projet'!$A$140,'Données projet'!$B$140,CT66+CS67-DB66)))</f>
        <v>149.87179487179495</v>
      </c>
      <c r="CU67" s="18">
        <f>CT67*VLOOKUP('Données projet'!$B$13,Paramètres!$A$1:$I$89,3,0)*VLOOKUP('Données projet'!$B$13,Paramètres!$A$1:$I$89,5,0)</f>
        <v>128.59000000000009</v>
      </c>
      <c r="CV67" s="14">
        <f t="shared" si="41"/>
        <v>33.67034323000216</v>
      </c>
      <c r="CW67" s="22">
        <f t="shared" si="13"/>
        <v>282.60343112558729</v>
      </c>
      <c r="CX67" s="62">
        <f t="shared" si="14"/>
        <v>575.93676445892061</v>
      </c>
      <c r="CY67" s="62">
        <f ca="1">AVERAGE(OFFSET($CX$3,0,0,'Données projet'!$E$13+1,1))-AVERAGE(OFFSET($H$3,0,0,'Données projet'!$E$13+1,1))</f>
        <v>255.77222823147724</v>
      </c>
      <c r="CZ67" s="62">
        <f t="shared" si="42"/>
        <v>199.6931080052031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5.4</v>
      </c>
      <c r="DO67" s="13">
        <f>IF('Données projet'!$A$166&gt;35,DO66+DN67-DW66,IF(A67&lt;'Données projet'!$A$166,$DL$205^A67,IF(A67='Données projet'!$A$166,'Données projet'!$B$166,DO66+DN67-DW66)))</f>
        <v>169.6</v>
      </c>
      <c r="DP67" s="18">
        <f>DO67*VLOOKUP('Données projet'!$B$14,Paramètres!$A$1:$I$89,3,0)*VLOOKUP('Données projet'!$B$14,Paramètres!$A$1:$I$89,5,0)</f>
        <v>164.03712000000002</v>
      </c>
      <c r="DQ67" s="14">
        <f t="shared" si="43"/>
        <v>41.75177428809652</v>
      </c>
      <c r="DR67" s="22">
        <f t="shared" si="16"/>
        <v>358.41565755176816</v>
      </c>
      <c r="DS67" s="62">
        <f t="shared" si="17"/>
        <v>651.74899088510142</v>
      </c>
      <c r="DT67" s="62">
        <f ca="1">AVERAGE(OFFSET($DS$3,0,0,'Données projet'!$E$14+1,1))-AVERAGE(OFFSET($H$3,0,0,'Données projet'!$E$14+1,1))</f>
        <v>349.73011349954953</v>
      </c>
      <c r="DU67" s="62">
        <f t="shared" si="44"/>
        <v>154.08406475869634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-1.7053025658242404E-13</v>
      </c>
      <c r="O68" s="14">
        <f>N68*VLOOKUP('Données projet'!$B$9,Paramètres!$A$1:$I$89,3,0)*VLOOKUP('Données projet'!$B$9,Paramètres!$A$1:$I$89,5,0)</f>
        <v>-1.0197709343628959E-13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203.63995177374335</v>
      </c>
      <c r="T68" s="62">
        <f t="shared" si="34"/>
        <v>268.97461244918378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7.0893702150385343</v>
      </c>
      <c r="AA68" s="23">
        <f>EXP(-LN(2)/25)*AA67+(1-EXP(-LN(2)/25))/(LN(2)/25)*Calculateur!V68*Calculateur!X68*VLOOKUP('Données projet'!$B$9,Paramètres!$A$1:$I$89,3,0)*0.475*44/12</f>
        <v>4.7482191806689142</v>
      </c>
      <c r="AB68" s="23">
        <f>EXP(-LN(2)/2)*AB67+(1-EXP(-LN(2)/2))/(LN(2)/2)*V68*Y68*VLOOKUP('Données projet'!$B$9,Paramètres!$A$1:$I$89,3,0)*0.475*44/12</f>
        <v>1.7274549062879256E-5</v>
      </c>
      <c r="AC68" s="24">
        <f t="shared" ref="AC68:AC131" si="57">SUM(Z68:AB68)</f>
        <v>11.837606670256511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175</v>
      </c>
      <c r="AG68" s="13">
        <f>VLOOKUP(A68,'Données projet'!$A$61:$I$81,9,0)</f>
        <v>5.4</v>
      </c>
      <c r="AH68" s="13">
        <f t="array" ref="AH68">INDEX(AG:AG,MIN(IF(ISNUMBER(AG68:AG264),ROW(AG68:AG264),"")))</f>
        <v>5.4</v>
      </c>
      <c r="AI68" s="14">
        <f>IF('Données projet'!$A$62&gt;35,AI67+AH68-AQ67,IF(A68&lt;'Données projet'!$A$62,$AF$205^A68,IF(A68='Données projet'!$A$62,'Données projet'!$B$62,AI67+AH68-AQ67)))</f>
        <v>175</v>
      </c>
      <c r="AJ68" s="14">
        <f>AI68*VLOOKUP('Données projet'!$B$10,Paramètres!$A$1:$I$89,3,0)*VLOOKUP('Données projet'!$B$10,Paramètres!$A$1:$I$89,5,0)</f>
        <v>177.45000000000002</v>
      </c>
      <c r="AK68" s="14">
        <f t="shared" si="35"/>
        <v>44.754387900936791</v>
      </c>
      <c r="AL68" s="22">
        <f t="shared" ref="AL68:AL131" si="58">(AJ68+AK68)*0.475*44/12</f>
        <v>387.0059755941316</v>
      </c>
      <c r="AM68" s="62">
        <f t="shared" ref="AM68:AM131" si="59">AL68+(AD68+AE68)*44/12</f>
        <v>680.33930892746491</v>
      </c>
      <c r="AN68" s="62">
        <f ca="1">AVERAGE(OFFSET($AM$3,0,0,'Données projet'!$E$10+1,1))-AVERAGE(OFFSET($H$3,0,0,'Données projet'!$E$10+1,1))</f>
        <v>364.69354394930866</v>
      </c>
      <c r="AO68" s="62">
        <f t="shared" si="36"/>
        <v>159.6134369231965</v>
      </c>
      <c r="AP68" s="16">
        <f>IF(ISNA(VLOOKUP(A68,'Données projet'!$A$61:$I$81,3,0)),0,VLOOKUP(A68,'Données projet'!$A$61:$I$81,3,0))</f>
        <v>4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145</v>
      </c>
      <c r="BB68" s="13">
        <f>VLOOKUP(A68,'Données projet'!$A$87:$I$107,9,0)</f>
        <v>3</v>
      </c>
      <c r="BC68" s="13">
        <f t="array" ref="BC68">INDEX(BB:BB,MIN(IF(ISNUMBER(BB68:BB264),ROW(BB68:BB264),"")))</f>
        <v>3</v>
      </c>
      <c r="BD68" s="13">
        <f>IF('Données projet'!$A$88&gt;35,BD67+BC68-BL67,IF(A68&lt;'Données projet'!$A$88,$BA$205^A68,IF(A68='Données projet'!$A$88,'Données projet'!$B$88,BD67+BC68-BL67)))</f>
        <v>144.99999999999991</v>
      </c>
      <c r="BE68" s="14">
        <f>BD68*VLOOKUP('Données projet'!$B$11,Paramètres!$A$1:$I$89,3,0)*VLOOKUP('Données projet'!$B$11,Paramètres!$A$1:$I$89,5,0)</f>
        <v>126.67199999999994</v>
      </c>
      <c r="BF68" s="14">
        <f t="shared" si="37"/>
        <v>33.226199426361319</v>
      </c>
      <c r="BG68" s="22">
        <f t="shared" ref="BG68:BG131" si="61">(BE68+BF68)*0.475*44/12</f>
        <v>278.48936400091253</v>
      </c>
      <c r="BH68" s="62">
        <f t="shared" ref="BH68:BH131" si="62">BG68+(AY68+AZ68)*44/12</f>
        <v>571.82269733424585</v>
      </c>
      <c r="BI68" s="62">
        <f ca="1">AVERAGE(OFFSET($BH$3,0,0,'Données projet'!$E$11+1,1))-AVERAGE(OFFSET($H$3,0,0,'Données projet'!$E$11+1,1))</f>
        <v>241.00707378755914</v>
      </c>
      <c r="BJ68" s="62">
        <f t="shared" si="38"/>
        <v>239.93573789765657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153.84615384615384</v>
      </c>
      <c r="BW68" s="13">
        <f>VLOOKUP(A68,'Données projet'!$A$113:$I$133,9,0)</f>
        <v>3.9743589743589722</v>
      </c>
      <c r="BX68" s="13">
        <f t="array" ref="BX68">INDEX(BW:BW,MIN(IF(ISNUMBER(BW68:BW264),ROW(BW68:BW264),"")))</f>
        <v>3.9743589743589722</v>
      </c>
      <c r="BY68" s="13">
        <f>IF('Données projet'!$A$114&gt;35,BY67+BX68-CG67,IF(A68&lt;'Données projet'!$A$114,$BV$205^A68,IF(A68='Données projet'!$A$114,'Données projet'!$B$114,BY67+BX68-CG67)))</f>
        <v>153.84615384615392</v>
      </c>
      <c r="BZ68" s="14">
        <f>BY68*VLOOKUP('Données projet'!$B$12,Paramètres!$A$1:$I$89,3,0)*VLOOKUP('Données projet'!$B$12,Paramètres!$A$1:$I$89,5,0)</f>
        <v>103.20000000000006</v>
      </c>
      <c r="CA68" s="14">
        <f t="shared" si="39"/>
        <v>27.722950236669881</v>
      </c>
      <c r="CB68" s="22">
        <f t="shared" ref="CB68:CB131" si="64">(BZ68+CA68)*0.475*44/12</f>
        <v>228.0241383288668</v>
      </c>
      <c r="CC68" s="62">
        <f t="shared" ref="CC68:CC131" si="65">CB68+(BT68+BU68)*44/12</f>
        <v>521.35747166220017</v>
      </c>
      <c r="CD68" s="62">
        <f ca="1">AVERAGE(OFFSET($CC$3,0,0,'Données projet'!$E$12+1,1))-AVERAGE(OFFSET($H$3,0,0,'Données projet'!$E$12+1,1))</f>
        <v>207.91006140109965</v>
      </c>
      <c r="CE68" s="62">
        <f t="shared" si="40"/>
        <v>164.93317437647255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153.84615384615384</v>
      </c>
      <c r="CR68" s="13">
        <f>VLOOKUP(A68,'Données projet'!$A$139:$I$159,9,0)</f>
        <v>3.9743589743589722</v>
      </c>
      <c r="CS68" s="13">
        <f t="array" ref="CS68">INDEX(CR:CR,MIN(IF(ISNUMBER(CR68:CR264),ROW(CR68:CR264),"")))</f>
        <v>3.9743589743589722</v>
      </c>
      <c r="CT68" s="13">
        <f>IF('Données projet'!$A$140&gt;35,CT67+CS68-DB67,IF(A68&lt;'Données projet'!$A$140,$CQ$205^A68,IF(A68='Données projet'!$A$140,'Données projet'!$B$140,CT67+CS68-DB67)))</f>
        <v>153.84615384615392</v>
      </c>
      <c r="CU68" s="18">
        <f>CT68*VLOOKUP('Données projet'!$B$13,Paramètres!$A$1:$I$89,3,0)*VLOOKUP('Données projet'!$B$13,Paramètres!$A$1:$I$89,5,0)</f>
        <v>132.00000000000009</v>
      </c>
      <c r="CV68" s="14">
        <f t="shared" si="41"/>
        <v>34.458089166637578</v>
      </c>
      <c r="CW68" s="22">
        <f t="shared" ref="CW68:CW131" si="67">(CU68+CV68)*0.475*44/12</f>
        <v>289.91450529856053</v>
      </c>
      <c r="CX68" s="62">
        <f t="shared" ref="CX68:CX131" si="68">CW68+(CO68+CP68)*44/12</f>
        <v>583.24783863189384</v>
      </c>
      <c r="CY68" s="62">
        <f ca="1">AVERAGE(OFFSET($CX$3,0,0,'Données projet'!$E$13+1,1))-AVERAGE(OFFSET($H$3,0,0,'Données projet'!$E$13+1,1))</f>
        <v>255.77222823147724</v>
      </c>
      <c r="CZ68" s="62">
        <f t="shared" si="42"/>
        <v>199.6931080052031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175</v>
      </c>
      <c r="DM68" s="13">
        <f>VLOOKUP(A68,'Données projet'!$A$165:$I$185,9,0)</f>
        <v>5.4</v>
      </c>
      <c r="DN68" s="13">
        <f t="array" ref="DN68">INDEX(DM:DM,MIN(IF(ISNUMBER(DM68:DM264),ROW(DM68:DM264),"")))</f>
        <v>5.4</v>
      </c>
      <c r="DO68" s="13">
        <f>IF('Données projet'!$A$166&gt;35,DO67+DN68-DW67,IF(A68&lt;'Données projet'!$A$166,$DL$205^A68,IF(A68='Données projet'!$A$166,'Données projet'!$B$166,DO67+DN68-DW67)))</f>
        <v>175</v>
      </c>
      <c r="DP68" s="18">
        <f>DO68*VLOOKUP('Données projet'!$B$14,Paramètres!$A$1:$I$89,3,0)*VLOOKUP('Données projet'!$B$14,Paramètres!$A$1:$I$89,5,0)</f>
        <v>169.26000000000002</v>
      </c>
      <c r="DQ68" s="14">
        <f t="shared" si="43"/>
        <v>42.924246146122272</v>
      </c>
      <c r="DR68" s="22">
        <f t="shared" ref="DR68:DR131" si="70">(DP68+DQ68)*0.475*44/12</f>
        <v>369.55422870449632</v>
      </c>
      <c r="DS68" s="62">
        <f t="shared" ref="DS68:DS131" si="71">DR68+(DJ68+DK68)*44/12</f>
        <v>662.88756203782964</v>
      </c>
      <c r="DT68" s="62">
        <f ca="1">AVERAGE(OFFSET($DS$3,0,0,'Données projet'!$E$14+1,1))-AVERAGE(OFFSET($H$3,0,0,'Données projet'!$E$14+1,1))</f>
        <v>349.73011349954953</v>
      </c>
      <c r="DU68" s="62">
        <f t="shared" si="44"/>
        <v>154.08406475869634</v>
      </c>
      <c r="DV68" s="16">
        <f>IF(ISNA(VLOOKUP(A68,'Données projet'!$A$165:$I$185,3,0)),0,VLOOKUP(A68,'Données projet'!$A$165:$I$185,3,0))</f>
        <v>4</v>
      </c>
      <c r="DW68" s="16">
        <f>IF(ISNA(VLOOKUP(A68,'Données projet'!$A$165:$I$185,4,0)),0,VLOOKUP(A68,'Données projet'!$A$165:$I$185,4,0))</f>
        <v>28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-1.7053025658242404E-13</v>
      </c>
      <c r="O69" s="14">
        <f>N69*VLOOKUP('Données projet'!$B$9,Paramètres!$A$1:$I$89,3,0)*VLOOKUP('Données projet'!$B$9,Paramètres!$A$1:$I$89,5,0)</f>
        <v>-1.0197709343628959E-13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203.63995177374335</v>
      </c>
      <c r="T69" s="62">
        <f t="shared" ref="T69:T132" si="88">$T$3</f>
        <v>268.97461244918378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6.9503519892104917</v>
      </c>
      <c r="AA69" s="23">
        <f>EXP(-LN(2)/25)*AA68+(1-EXP(-LN(2)/25))/(LN(2)/25)*Calculateur!V69*Calculateur!X69*VLOOKUP('Données projet'!$B$9,Paramètres!$A$1:$I$89,3,0)*0.475*44/12</f>
        <v>4.6183788774755286</v>
      </c>
      <c r="AB69" s="23">
        <f>EXP(-LN(2)/2)*AB68+(1-EXP(-LN(2)/2))/(LN(2)/2)*V69*Y69*VLOOKUP('Données projet'!$B$9,Paramètres!$A$1:$I$89,3,0)*0.475*44/12</f>
        <v>1.2214950784301642E-5</v>
      </c>
      <c r="AC69" s="24">
        <f t="shared" si="57"/>
        <v>11.568743081636805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152</v>
      </c>
      <c r="AJ69" s="14">
        <f>AI69*VLOOKUP('Données projet'!$B$10,Paramètres!$A$1:$I$89,3,0)*VLOOKUP('Données projet'!$B$10,Paramètres!$A$1:$I$89,5,0)</f>
        <v>154.12800000000001</v>
      </c>
      <c r="AK69" s="14">
        <f t="shared" ref="AK69:AK132" si="89">EXP(-1.0587+0.8836*LN(AJ69)+0.284)</f>
        <v>39.515201075361155</v>
      </c>
      <c r="AL69" s="22">
        <f t="shared" si="58"/>
        <v>337.26190853958735</v>
      </c>
      <c r="AM69" s="62">
        <f t="shared" si="59"/>
        <v>630.59524187292072</v>
      </c>
      <c r="AN69" s="62">
        <f ca="1">AVERAGE(OFFSET($AM$3,0,0,'Données projet'!$E$10+1,1))-AVERAGE(OFFSET($H$3,0,0,'Données projet'!$E$10+1,1))</f>
        <v>364.69354394930866</v>
      </c>
      <c r="AO69" s="62">
        <f t="shared" ref="AO69:AO132" si="90">$AO$3</f>
        <v>159.6134369231965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</v>
      </c>
      <c r="BD69" s="13">
        <f>IF('Données projet'!$A$88&gt;35,BD68+BC69-BL68,IF(A69&lt;'Données projet'!$A$88,$BA$205^A69,IF(A69='Données projet'!$A$88,'Données projet'!$B$88,BD68+BC69-BL68)))</f>
        <v>147.99999999999991</v>
      </c>
      <c r="BE69" s="14">
        <f>BD69*VLOOKUP('Données projet'!$B$11,Paramètres!$A$1:$I$89,3,0)*VLOOKUP('Données projet'!$B$11,Paramètres!$A$1:$I$89,5,0)</f>
        <v>129.29279999999994</v>
      </c>
      <c r="BF69" s="14">
        <f t="shared" ref="BF69:BF132" si="91">EXP(-1.0587+0.8836*LN(BE69)+0.284)</f>
        <v>33.832894333299215</v>
      </c>
      <c r="BG69" s="22">
        <f t="shared" si="61"/>
        <v>284.11058429716269</v>
      </c>
      <c r="BH69" s="62">
        <f t="shared" si="62"/>
        <v>577.443917630496</v>
      </c>
      <c r="BI69" s="62">
        <f ca="1">AVERAGE(OFFSET($BH$3,0,0,'Données projet'!$E$11+1,1))-AVERAGE(OFFSET($H$3,0,0,'Données projet'!$E$11+1,1))</f>
        <v>241.00707378755914</v>
      </c>
      <c r="BJ69" s="62">
        <f t="shared" ref="BJ69:BJ132" si="92">$BJ$3</f>
        <v>239.93573789765657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3.4615384615384643</v>
      </c>
      <c r="BY69" s="13">
        <f>IF('Données projet'!$A$114&gt;35,BY68+BX69-CG68,IF(A69&lt;'Données projet'!$A$114,$BV$205^A69,IF(A69='Données projet'!$A$114,'Données projet'!$B$114,BY68+BX69-CG68)))</f>
        <v>157.30769230769238</v>
      </c>
      <c r="BZ69" s="14">
        <f>BY69*VLOOKUP('Données projet'!$B$12,Paramètres!$A$1:$I$89,3,0)*VLOOKUP('Données projet'!$B$12,Paramètres!$A$1:$I$89,5,0)</f>
        <v>105.52200000000005</v>
      </c>
      <c r="CA69" s="14">
        <f t="shared" ref="CA69:CA132" si="93">EXP(-1.0587+0.8836*LN(BZ69)+0.284)</f>
        <v>28.273394438553236</v>
      </c>
      <c r="CB69" s="22">
        <f t="shared" si="64"/>
        <v>233.02697864714693</v>
      </c>
      <c r="CC69" s="62">
        <f t="shared" si="65"/>
        <v>526.36031198048022</v>
      </c>
      <c r="CD69" s="62">
        <f ca="1">AVERAGE(OFFSET($CC$3,0,0,'Données projet'!$E$12+1,1))-AVERAGE(OFFSET($H$3,0,0,'Données projet'!$E$12+1,1))</f>
        <v>207.91006140109965</v>
      </c>
      <c r="CE69" s="62">
        <f t="shared" ref="CE69:CE132" si="94">$CE$3</f>
        <v>164.93317437647255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3.4615384615384643</v>
      </c>
      <c r="CT69" s="13">
        <f>IF('Données projet'!$A$140&gt;35,CT68+CS69-DB68,IF(A69&lt;'Données projet'!$A$140,$CQ$205^A69,IF(A69='Données projet'!$A$140,'Données projet'!$B$140,CT68+CS69-DB68)))</f>
        <v>157.30769230769238</v>
      </c>
      <c r="CU69" s="18">
        <f>CT69*VLOOKUP('Données projet'!$B$13,Paramètres!$A$1:$I$89,3,0)*VLOOKUP('Données projet'!$B$13,Paramètres!$A$1:$I$89,5,0)</f>
        <v>134.97000000000008</v>
      </c>
      <c r="CV69" s="14">
        <f t="shared" ref="CV69:CV132" si="95">EXP(-1.0587+0.8836*LN(CU69)+0.284)</f>
        <v>35.142260772755705</v>
      </c>
      <c r="CW69" s="22">
        <f t="shared" si="67"/>
        <v>296.27885417921635</v>
      </c>
      <c r="CX69" s="62">
        <f t="shared" si="68"/>
        <v>589.61218751254967</v>
      </c>
      <c r="CY69" s="62">
        <f ca="1">AVERAGE(OFFSET($CX$3,0,0,'Données projet'!$E$13+1,1))-AVERAGE(OFFSET($H$3,0,0,'Données projet'!$E$13+1,1))</f>
        <v>255.77222823147724</v>
      </c>
      <c r="CZ69" s="62">
        <f t="shared" ref="CZ69:CZ132" si="96">$CZ$3</f>
        <v>199.6931080052031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5</v>
      </c>
      <c r="DO69" s="13">
        <f>IF('Données projet'!$A$166&gt;35,DO68+DN69-DW68,IF(A69&lt;'Données projet'!$A$166,$DL$205^A69,IF(A69='Données projet'!$A$166,'Données projet'!$B$166,DO68+DN69-DW68)))</f>
        <v>152</v>
      </c>
      <c r="DP69" s="18">
        <f>DO69*VLOOKUP('Données projet'!$B$14,Paramètres!$A$1:$I$89,3,0)*VLOOKUP('Données projet'!$B$14,Paramètres!$A$1:$I$89,5,0)</f>
        <v>147.01439999999999</v>
      </c>
      <c r="DQ69" s="14">
        <f t="shared" ref="DQ69:DQ132" si="97">EXP(-1.0587+0.8836*LN(DP69)+0.284)</f>
        <v>37.899305454176826</v>
      </c>
      <c r="DR69" s="22">
        <f t="shared" si="70"/>
        <v>322.05803699935797</v>
      </c>
      <c r="DS69" s="62">
        <f t="shared" si="71"/>
        <v>615.39137033269128</v>
      </c>
      <c r="DT69" s="62">
        <f ca="1">AVERAGE(OFFSET($DS$3,0,0,'Données projet'!$E$14+1,1))-AVERAGE(OFFSET($H$3,0,0,'Données projet'!$E$14+1,1))</f>
        <v>349.73011349954953</v>
      </c>
      <c r="DU69" s="62">
        <f t="shared" ref="DU69:DU132" si="98">$DU$3</f>
        <v>154.08406475869634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-1.7053025658242404E-13</v>
      </c>
      <c r="O70" s="14">
        <f>N70*VLOOKUP('Données projet'!$B$9,Paramètres!$A$1:$I$89,3,0)*VLOOKUP('Données projet'!$B$9,Paramètres!$A$1:$I$89,5,0)</f>
        <v>-1.0197709343628959E-13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203.63995177374335</v>
      </c>
      <c r="T70" s="62">
        <f t="shared" si="88"/>
        <v>268.97461244918378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6.8140598259981919</v>
      </c>
      <c r="AA70" s="23">
        <f>EXP(-LN(2)/25)*AA69+(1-EXP(-LN(2)/25))/(LN(2)/25)*Calculateur!V70*Calculateur!X70*VLOOKUP('Données projet'!$B$9,Paramètres!$A$1:$I$89,3,0)*0.475*44/12</f>
        <v>4.4920890642009708</v>
      </c>
      <c r="AB70" s="23">
        <f>EXP(-LN(2)/2)*AB69+(1-EXP(-LN(2)/2))/(LN(2)/2)*V70*Y70*VLOOKUP('Données projet'!$B$9,Paramètres!$A$1:$I$89,3,0)*0.475*44/12</f>
        <v>8.6372745314396282E-6</v>
      </c>
      <c r="AC70" s="24">
        <f t="shared" si="57"/>
        <v>11.306157527473694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157</v>
      </c>
      <c r="AJ70" s="14">
        <f>AI70*VLOOKUP('Données projet'!$B$10,Paramètres!$A$1:$I$89,3,0)*VLOOKUP('Données projet'!$B$10,Paramètres!$A$1:$I$89,5,0)</f>
        <v>159.19800000000001</v>
      </c>
      <c r="AK70" s="14">
        <f t="shared" si="89"/>
        <v>40.661569197787308</v>
      </c>
      <c r="AL70" s="22">
        <f t="shared" si="58"/>
        <v>348.08874968614623</v>
      </c>
      <c r="AM70" s="62">
        <f t="shared" si="59"/>
        <v>641.42208301947949</v>
      </c>
      <c r="AN70" s="62">
        <f ca="1">AVERAGE(OFFSET($AM$3,0,0,'Données projet'!$E$10+1,1))-AVERAGE(OFFSET($H$3,0,0,'Données projet'!$E$10+1,1))</f>
        <v>364.69354394930866</v>
      </c>
      <c r="AO70" s="62">
        <f t="shared" si="90"/>
        <v>159.6134369231965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</v>
      </c>
      <c r="BD70" s="13">
        <f>IF('Données projet'!$A$88&gt;35,BD69+BC70-BL69,IF(A70&lt;'Données projet'!$A$88,$BA$205^A70,IF(A70='Données projet'!$A$88,'Données projet'!$B$88,BD69+BC70-BL69)))</f>
        <v>150.99999999999991</v>
      </c>
      <c r="BE70" s="14">
        <f>BD70*VLOOKUP('Données projet'!$B$11,Paramètres!$A$1:$I$89,3,0)*VLOOKUP('Données projet'!$B$11,Paramètres!$A$1:$I$89,5,0)</f>
        <v>131.91359999999995</v>
      </c>
      <c r="BF70" s="14">
        <f t="shared" si="91"/>
        <v>34.438159352115974</v>
      </c>
      <c r="BG70" s="22">
        <f t="shared" si="61"/>
        <v>289.72931420493518</v>
      </c>
      <c r="BH70" s="62">
        <f t="shared" si="62"/>
        <v>583.06264753826849</v>
      </c>
      <c r="BI70" s="62">
        <f ca="1">AVERAGE(OFFSET($BH$3,0,0,'Données projet'!$E$11+1,1))-AVERAGE(OFFSET($H$3,0,0,'Données projet'!$E$11+1,1))</f>
        <v>241.00707378755914</v>
      </c>
      <c r="BJ70" s="62">
        <f t="shared" si="92"/>
        <v>239.93573789765657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3.4615384615384643</v>
      </c>
      <c r="BY70" s="13">
        <f>IF('Données projet'!$A$114&gt;35,BY69+BX70-CG69,IF(A70&lt;'Données projet'!$A$114,$BV$205^A70,IF(A70='Données projet'!$A$114,'Données projet'!$B$114,BY69+BX70-CG69)))</f>
        <v>160.76923076923083</v>
      </c>
      <c r="BZ70" s="14">
        <f>BY70*VLOOKUP('Données projet'!$B$12,Paramètres!$A$1:$I$89,3,0)*VLOOKUP('Données projet'!$B$12,Paramètres!$A$1:$I$89,5,0)</f>
        <v>107.84400000000005</v>
      </c>
      <c r="CA70" s="14">
        <f t="shared" si="93"/>
        <v>28.822430433579967</v>
      </c>
      <c r="CB70" s="22">
        <f t="shared" si="64"/>
        <v>238.02736633848519</v>
      </c>
      <c r="CC70" s="62">
        <f t="shared" si="65"/>
        <v>531.36069967181857</v>
      </c>
      <c r="CD70" s="62">
        <f ca="1">AVERAGE(OFFSET($CC$3,0,0,'Données projet'!$E$12+1,1))-AVERAGE(OFFSET($H$3,0,0,'Données projet'!$E$12+1,1))</f>
        <v>207.91006140109965</v>
      </c>
      <c r="CE70" s="62">
        <f t="shared" si="94"/>
        <v>164.93317437647255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3.4615384615384643</v>
      </c>
      <c r="CT70" s="13">
        <f>IF('Données projet'!$A$140&gt;35,CT69+CS70-DB69,IF(A70&lt;'Données projet'!$A$140,$CQ$205^A70,IF(A70='Données projet'!$A$140,'Données projet'!$B$140,CT69+CS70-DB69)))</f>
        <v>160.76923076923083</v>
      </c>
      <c r="CU70" s="18">
        <f>CT70*VLOOKUP('Données projet'!$B$13,Paramètres!$A$1:$I$89,3,0)*VLOOKUP('Données projet'!$B$13,Paramètres!$A$1:$I$89,5,0)</f>
        <v>137.94000000000005</v>
      </c>
      <c r="CV70" s="14">
        <f t="shared" si="95"/>
        <v>35.824682055873701</v>
      </c>
      <c r="CW70" s="22">
        <f t="shared" si="67"/>
        <v>302.64015458064677</v>
      </c>
      <c r="CX70" s="62">
        <f t="shared" si="68"/>
        <v>595.97348791398008</v>
      </c>
      <c r="CY70" s="62">
        <f ca="1">AVERAGE(OFFSET($CX$3,0,0,'Données projet'!$E$13+1,1))-AVERAGE(OFFSET($H$3,0,0,'Données projet'!$E$13+1,1))</f>
        <v>255.77222823147724</v>
      </c>
      <c r="CZ70" s="62">
        <f t="shared" si="96"/>
        <v>199.6931080052031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5</v>
      </c>
      <c r="DO70" s="13">
        <f>IF('Données projet'!$A$166&gt;35,DO69+DN70-DW69,IF(A70&lt;'Données projet'!$A$166,$DL$205^A70,IF(A70='Données projet'!$A$166,'Données projet'!$B$166,DO69+DN70-DW69)))</f>
        <v>157</v>
      </c>
      <c r="DP70" s="18">
        <f>DO70*VLOOKUP('Données projet'!$B$14,Paramètres!$A$1:$I$89,3,0)*VLOOKUP('Données projet'!$B$14,Paramètres!$A$1:$I$89,5,0)</f>
        <v>151.85040000000001</v>
      </c>
      <c r="DQ70" s="14">
        <f t="shared" si="97"/>
        <v>38.998795130362446</v>
      </c>
      <c r="DR70" s="22">
        <f t="shared" si="70"/>
        <v>332.39568151871464</v>
      </c>
      <c r="DS70" s="62">
        <f t="shared" si="71"/>
        <v>625.72901485204795</v>
      </c>
      <c r="DT70" s="62">
        <f ca="1">AVERAGE(OFFSET($DS$3,0,0,'Données projet'!$E$14+1,1))-AVERAGE(OFFSET($H$3,0,0,'Données projet'!$E$14+1,1))</f>
        <v>349.73011349954953</v>
      </c>
      <c r="DU70" s="62">
        <f t="shared" si="98"/>
        <v>154.08406475869634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-1.7053025658242404E-13</v>
      </c>
      <c r="O71" s="14">
        <f>N71*VLOOKUP('Données projet'!$B$9,Paramètres!$A$1:$I$89,3,0)*VLOOKUP('Données projet'!$B$9,Paramètres!$A$1:$I$89,5,0)</f>
        <v>-1.0197709343628959E-13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203.63995177374335</v>
      </c>
      <c r="T71" s="62">
        <f t="shared" si="88"/>
        <v>268.97461244918378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6.6804402689764739</v>
      </c>
      <c r="AA71" s="23">
        <f>EXP(-LN(2)/25)*AA70+(1-EXP(-LN(2)/25))/(LN(2)/25)*Calculateur!V71*Calculateur!X71*VLOOKUP('Données projet'!$B$9,Paramètres!$A$1:$I$89,3,0)*0.475*44/12</f>
        <v>4.3692526525116984</v>
      </c>
      <c r="AB71" s="23">
        <f>EXP(-LN(2)/2)*AB70+(1-EXP(-LN(2)/2))/(LN(2)/2)*V71*Y71*VLOOKUP('Données projet'!$B$9,Paramètres!$A$1:$I$89,3,0)*0.475*44/12</f>
        <v>6.1074753921508211E-6</v>
      </c>
      <c r="AC71" s="24">
        <f t="shared" si="57"/>
        <v>11.049699028963566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162</v>
      </c>
      <c r="AJ71" s="14">
        <f>AI71*VLOOKUP('Données projet'!$B$10,Paramètres!$A$1:$I$89,3,0)*VLOOKUP('Données projet'!$B$10,Paramètres!$A$1:$I$89,5,0)</f>
        <v>164.268</v>
      </c>
      <c r="AK71" s="14">
        <f t="shared" si="89"/>
        <v>41.803694835525619</v>
      </c>
      <c r="AL71" s="22">
        <f t="shared" si="58"/>
        <v>358.90820183854044</v>
      </c>
      <c r="AM71" s="62">
        <f t="shared" si="59"/>
        <v>652.24153517187369</v>
      </c>
      <c r="AN71" s="62">
        <f ca="1">AVERAGE(OFFSET($AM$3,0,0,'Données projet'!$E$10+1,1))-AVERAGE(OFFSET($H$3,0,0,'Données projet'!$E$10+1,1))</f>
        <v>364.69354394930866</v>
      </c>
      <c r="AO71" s="62">
        <f t="shared" si="90"/>
        <v>159.6134369231965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</v>
      </c>
      <c r="BD71" s="13">
        <f>IF('Données projet'!$A$88&gt;35,BD70+BC71-BL70,IF(A71&lt;'Données projet'!$A$88,$BA$205^A71,IF(A71='Données projet'!$A$88,'Données projet'!$B$88,BD70+BC71-BL70)))</f>
        <v>153.99999999999991</v>
      </c>
      <c r="BE71" s="14">
        <f>BD71*VLOOKUP('Données projet'!$B$11,Paramètres!$A$1:$I$89,3,0)*VLOOKUP('Données projet'!$B$11,Paramètres!$A$1:$I$89,5,0)</f>
        <v>134.53439999999995</v>
      </c>
      <c r="BF71" s="14">
        <f t="shared" si="91"/>
        <v>35.042026165482234</v>
      </c>
      <c r="BG71" s="22">
        <f t="shared" si="61"/>
        <v>295.34560890488143</v>
      </c>
      <c r="BH71" s="62">
        <f t="shared" si="62"/>
        <v>588.67894223821474</v>
      </c>
      <c r="BI71" s="62">
        <f ca="1">AVERAGE(OFFSET($BH$3,0,0,'Données projet'!$E$11+1,1))-AVERAGE(OFFSET($H$3,0,0,'Données projet'!$E$11+1,1))</f>
        <v>241.00707378755914</v>
      </c>
      <c r="BJ71" s="62">
        <f t="shared" si="92"/>
        <v>239.93573789765657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3.4615384615384643</v>
      </c>
      <c r="BY71" s="13">
        <f>IF('Données projet'!$A$114&gt;35,BY70+BX71-CG70,IF(A71&lt;'Données projet'!$A$114,$BV$205^A71,IF(A71='Données projet'!$A$114,'Données projet'!$B$114,BY70+BX71-CG70)))</f>
        <v>164.23076923076928</v>
      </c>
      <c r="BZ71" s="14">
        <f>BY71*VLOOKUP('Données projet'!$B$12,Paramètres!$A$1:$I$89,3,0)*VLOOKUP('Données projet'!$B$12,Paramètres!$A$1:$I$89,5,0)</f>
        <v>110.16600000000004</v>
      </c>
      <c r="CA71" s="14">
        <f t="shared" si="93"/>
        <v>29.370092034164426</v>
      </c>
      <c r="CB71" s="22">
        <f t="shared" si="64"/>
        <v>243.02536029283638</v>
      </c>
      <c r="CC71" s="62">
        <f t="shared" si="65"/>
        <v>536.35869362616972</v>
      </c>
      <c r="CD71" s="62">
        <f ca="1">AVERAGE(OFFSET($CC$3,0,0,'Données projet'!$E$12+1,1))-AVERAGE(OFFSET($H$3,0,0,'Données projet'!$E$12+1,1))</f>
        <v>207.91006140109965</v>
      </c>
      <c r="CE71" s="62">
        <f t="shared" si="94"/>
        <v>164.93317437647255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3.4615384615384643</v>
      </c>
      <c r="CT71" s="13">
        <f>IF('Données projet'!$A$140&gt;35,CT70+CS71-DB70,IF(A71&lt;'Données projet'!$A$140,$CQ$205^A71,IF(A71='Données projet'!$A$140,'Données projet'!$B$140,CT70+CS71-DB70)))</f>
        <v>164.23076923076928</v>
      </c>
      <c r="CU71" s="18">
        <f>CT71*VLOOKUP('Données projet'!$B$13,Paramètres!$A$1:$I$89,3,0)*VLOOKUP('Données projet'!$B$13,Paramètres!$A$1:$I$89,5,0)</f>
        <v>140.91000000000005</v>
      </c>
      <c r="CV71" s="14">
        <f t="shared" si="95"/>
        <v>36.505395042946844</v>
      </c>
      <c r="CW71" s="22">
        <f t="shared" si="67"/>
        <v>308.99847969979919</v>
      </c>
      <c r="CX71" s="62">
        <f t="shared" si="68"/>
        <v>602.33181303313245</v>
      </c>
      <c r="CY71" s="62">
        <f ca="1">AVERAGE(OFFSET($CX$3,0,0,'Données projet'!$E$13+1,1))-AVERAGE(OFFSET($H$3,0,0,'Données projet'!$E$13+1,1))</f>
        <v>255.77222823147724</v>
      </c>
      <c r="CZ71" s="62">
        <f t="shared" si="96"/>
        <v>199.6931080052031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5</v>
      </c>
      <c r="DO71" s="13">
        <f>IF('Données projet'!$A$166&gt;35,DO70+DN71-DW70,IF(A71&lt;'Données projet'!$A$166,$DL$205^A71,IF(A71='Données projet'!$A$166,'Données projet'!$B$166,DO70+DN71-DW70)))</f>
        <v>162</v>
      </c>
      <c r="DP71" s="18">
        <f>DO71*VLOOKUP('Données projet'!$B$14,Paramètres!$A$1:$I$89,3,0)*VLOOKUP('Données projet'!$B$14,Paramètres!$A$1:$I$89,5,0)</f>
        <v>156.68639999999999</v>
      </c>
      <c r="DQ71" s="14">
        <f t="shared" si="97"/>
        <v>40.094215809840712</v>
      </c>
      <c r="DR71" s="22">
        <f t="shared" si="70"/>
        <v>342.7262392021392</v>
      </c>
      <c r="DS71" s="62">
        <f t="shared" si="71"/>
        <v>636.05957253547251</v>
      </c>
      <c r="DT71" s="62">
        <f ca="1">AVERAGE(OFFSET($DS$3,0,0,'Données projet'!$E$14+1,1))-AVERAGE(OFFSET($H$3,0,0,'Données projet'!$E$14+1,1))</f>
        <v>349.73011349954953</v>
      </c>
      <c r="DU71" s="62">
        <f t="shared" si="98"/>
        <v>154.08406475869634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-1.7053025658242404E-13</v>
      </c>
      <c r="O72" s="14">
        <f>N72*VLOOKUP('Données projet'!$B$9,Paramètres!$A$1:$I$89,3,0)*VLOOKUP('Données projet'!$B$9,Paramètres!$A$1:$I$89,5,0)</f>
        <v>-1.0197709343628959E-13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203.63995177374335</v>
      </c>
      <c r="T72" s="62">
        <f t="shared" si="88"/>
        <v>268.97461244918378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6.5494409099680695</v>
      </c>
      <c r="AA72" s="23">
        <f>EXP(-LN(2)/25)*AA71+(1-EXP(-LN(2)/25))/(LN(2)/25)*Calculateur!V72*Calculateur!X72*VLOOKUP('Données projet'!$B$9,Paramètres!$A$1:$I$89,3,0)*0.475*44/12</f>
        <v>4.2497752089597549</v>
      </c>
      <c r="AB72" s="23">
        <f>EXP(-LN(2)/2)*AB71+(1-EXP(-LN(2)/2))/(LN(2)/2)*V72*Y72*VLOOKUP('Données projet'!$B$9,Paramètres!$A$1:$I$89,3,0)*0.475*44/12</f>
        <v>4.3186372657198141E-6</v>
      </c>
      <c r="AC72" s="24">
        <f t="shared" si="57"/>
        <v>10.79922043756509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167</v>
      </c>
      <c r="AJ72" s="14">
        <f>AI72*VLOOKUP('Données projet'!$B$10,Paramètres!$A$1:$I$89,3,0)*VLOOKUP('Données projet'!$B$10,Paramètres!$A$1:$I$89,5,0)</f>
        <v>169.33799999999999</v>
      </c>
      <c r="AK72" s="14">
        <f t="shared" si="89"/>
        <v>42.941723955722921</v>
      </c>
      <c r="AL72" s="22">
        <f t="shared" si="58"/>
        <v>369.72051922288409</v>
      </c>
      <c r="AM72" s="62">
        <f t="shared" si="59"/>
        <v>663.05385255621741</v>
      </c>
      <c r="AN72" s="62">
        <f ca="1">AVERAGE(OFFSET($AM$3,0,0,'Données projet'!$E$10+1,1))-AVERAGE(OFFSET($H$3,0,0,'Données projet'!$E$10+1,1))</f>
        <v>364.69354394930866</v>
      </c>
      <c r="AO72" s="62">
        <f t="shared" si="90"/>
        <v>159.6134369231965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</v>
      </c>
      <c r="BD72" s="13">
        <f>IF('Données projet'!$A$88&gt;35,BD71+BC72-BL71,IF(A72&lt;'Données projet'!$A$88,$BA$205^A72,IF(A72='Données projet'!$A$88,'Données projet'!$B$88,BD71+BC72-BL71)))</f>
        <v>156.99999999999991</v>
      </c>
      <c r="BE72" s="14">
        <f>BD72*VLOOKUP('Données projet'!$B$11,Paramètres!$A$1:$I$89,3,0)*VLOOKUP('Données projet'!$B$11,Paramètres!$A$1:$I$89,5,0)</f>
        <v>137.15519999999995</v>
      </c>
      <c r="BF72" s="14">
        <f t="shared" si="91"/>
        <v>35.644525151069693</v>
      </c>
      <c r="BG72" s="22">
        <f t="shared" si="61"/>
        <v>300.95952130477963</v>
      </c>
      <c r="BH72" s="62">
        <f t="shared" si="62"/>
        <v>594.29285463811289</v>
      </c>
      <c r="BI72" s="62">
        <f ca="1">AVERAGE(OFFSET($BH$3,0,0,'Données projet'!$E$11+1,1))-AVERAGE(OFFSET($H$3,0,0,'Données projet'!$E$11+1,1))</f>
        <v>241.00707378755914</v>
      </c>
      <c r="BJ72" s="62">
        <f t="shared" si="92"/>
        <v>239.93573789765657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3.4615384615384643</v>
      </c>
      <c r="BY72" s="13">
        <f>IF('Données projet'!$A$114&gt;35,BY71+BX72-CG71,IF(A72&lt;'Données projet'!$A$114,$BV$205^A72,IF(A72='Données projet'!$A$114,'Données projet'!$B$114,BY71+BX72-CG71)))</f>
        <v>167.69230769230774</v>
      </c>
      <c r="BZ72" s="14">
        <f>BY72*VLOOKUP('Données projet'!$B$12,Paramètres!$A$1:$I$89,3,0)*VLOOKUP('Données projet'!$B$12,Paramètres!$A$1:$I$89,5,0)</f>
        <v>112.48800000000004</v>
      </c>
      <c r="CA72" s="14">
        <f t="shared" si="93"/>
        <v>29.916411545931812</v>
      </c>
      <c r="CB72" s="22">
        <f t="shared" si="64"/>
        <v>248.02101677583127</v>
      </c>
      <c r="CC72" s="62">
        <f t="shared" si="65"/>
        <v>541.35435010916456</v>
      </c>
      <c r="CD72" s="62">
        <f ca="1">AVERAGE(OFFSET($CC$3,0,0,'Données projet'!$E$12+1,1))-AVERAGE(OFFSET($H$3,0,0,'Données projet'!$E$12+1,1))</f>
        <v>207.91006140109965</v>
      </c>
      <c r="CE72" s="62">
        <f t="shared" si="94"/>
        <v>164.93317437647255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3.4615384615384643</v>
      </c>
      <c r="CT72" s="13">
        <f>IF('Données projet'!$A$140&gt;35,CT71+CS72-DB71,IF(A72&lt;'Données projet'!$A$140,$CQ$205^A72,IF(A72='Données projet'!$A$140,'Données projet'!$B$140,CT71+CS72-DB71)))</f>
        <v>167.69230769230774</v>
      </c>
      <c r="CU72" s="18">
        <f>CT72*VLOOKUP('Données projet'!$B$13,Paramètres!$A$1:$I$89,3,0)*VLOOKUP('Données projet'!$B$13,Paramètres!$A$1:$I$89,5,0)</f>
        <v>143.88000000000005</v>
      </c>
      <c r="CV72" s="14">
        <f t="shared" si="95"/>
        <v>37.184439888074976</v>
      </c>
      <c r="CW72" s="22">
        <f t="shared" si="67"/>
        <v>315.35389947173059</v>
      </c>
      <c r="CX72" s="62">
        <f t="shared" si="68"/>
        <v>608.6872328050639</v>
      </c>
      <c r="CY72" s="62">
        <f ca="1">AVERAGE(OFFSET($CX$3,0,0,'Données projet'!$E$13+1,1))-AVERAGE(OFFSET($H$3,0,0,'Données projet'!$E$13+1,1))</f>
        <v>255.77222823147724</v>
      </c>
      <c r="CZ72" s="62">
        <f t="shared" si="96"/>
        <v>199.6931080052031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5</v>
      </c>
      <c r="DO72" s="13">
        <f>IF('Données projet'!$A$166&gt;35,DO71+DN72-DW71,IF(A72&lt;'Données projet'!$A$166,$DL$205^A72,IF(A72='Données projet'!$A$166,'Données projet'!$B$166,DO71+DN72-DW71)))</f>
        <v>167</v>
      </c>
      <c r="DP72" s="18">
        <f>DO72*VLOOKUP('Données projet'!$B$14,Paramètres!$A$1:$I$89,3,0)*VLOOKUP('Données projet'!$B$14,Paramètres!$A$1:$I$89,5,0)</f>
        <v>161.5224</v>
      </c>
      <c r="DQ72" s="14">
        <f t="shared" si="97"/>
        <v>41.185707490721896</v>
      </c>
      <c r="DR72" s="22">
        <f t="shared" si="70"/>
        <v>353.04995387967392</v>
      </c>
      <c r="DS72" s="62">
        <f t="shared" si="71"/>
        <v>646.38328721300718</v>
      </c>
      <c r="DT72" s="62">
        <f ca="1">AVERAGE(OFFSET($DS$3,0,0,'Données projet'!$E$14+1,1))-AVERAGE(OFFSET($H$3,0,0,'Données projet'!$E$14+1,1))</f>
        <v>349.73011349954953</v>
      </c>
      <c r="DU72" s="62">
        <f t="shared" si="98"/>
        <v>154.08406475869634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-1.7053025658242404E-13</v>
      </c>
      <c r="O73" s="14">
        <f>N73*VLOOKUP('Données projet'!$B$9,Paramètres!$A$1:$I$89,3,0)*VLOOKUP('Données projet'!$B$9,Paramètres!$A$1:$I$89,5,0)</f>
        <v>-1.0197709343628959E-13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203.63995177374335</v>
      </c>
      <c r="T73" s="62">
        <f t="shared" si="88"/>
        <v>268.97461244918378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6.4210103684881004</v>
      </c>
      <c r="AA73" s="23">
        <f>EXP(-LN(2)/25)*AA72+(1-EXP(-LN(2)/25))/(LN(2)/25)*Calculateur!V73*Calculateur!X73*VLOOKUP('Données projet'!$B$9,Paramètres!$A$1:$I$89,3,0)*0.475*44/12</f>
        <v>4.1335648823847855</v>
      </c>
      <c r="AB73" s="23">
        <f>EXP(-LN(2)/2)*AB72+(1-EXP(-LN(2)/2))/(LN(2)/2)*V73*Y73*VLOOKUP('Données projet'!$B$9,Paramètres!$A$1:$I$89,3,0)*0.475*44/12</f>
        <v>3.0537376960754105E-6</v>
      </c>
      <c r="AC73" s="24">
        <f t="shared" si="57"/>
        <v>10.554578304610583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172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172</v>
      </c>
      <c r="AJ73" s="14">
        <f>AI73*VLOOKUP('Données projet'!$B$10,Paramètres!$A$1:$I$89,3,0)*VLOOKUP('Données projet'!$B$10,Paramètres!$A$1:$I$89,5,0)</f>
        <v>174.40800000000002</v>
      </c>
      <c r="AK73" s="14">
        <f t="shared" si="89"/>
        <v>44.075793288194824</v>
      </c>
      <c r="AL73" s="22">
        <f t="shared" si="58"/>
        <v>380.52593997693936</v>
      </c>
      <c r="AM73" s="62">
        <f t="shared" si="59"/>
        <v>673.85927331027267</v>
      </c>
      <c r="AN73" s="62">
        <f ca="1">AVERAGE(OFFSET($AM$3,0,0,'Données projet'!$E$10+1,1))-AVERAGE(OFFSET($H$3,0,0,'Données projet'!$E$10+1,1))</f>
        <v>364.69354394930866</v>
      </c>
      <c r="AO73" s="62">
        <f t="shared" si="90"/>
        <v>159.6134369231965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160</v>
      </c>
      <c r="BB73" s="13">
        <f>VLOOKUP(A73,'Données projet'!$A$87:$I$107,9,0)</f>
        <v>3</v>
      </c>
      <c r="BC73" s="13">
        <f t="array" ref="BC73">INDEX(BB:BB,MIN(IF(ISNUMBER(BB73:BB269),ROW(BB73:BB269),"")))</f>
        <v>3</v>
      </c>
      <c r="BD73" s="13">
        <f>IF('Données projet'!$A$88&gt;35,BD72+BC73-BL72,IF(A73&lt;'Données projet'!$A$88,$BA$205^A73,IF(A73='Données projet'!$A$88,'Données projet'!$B$88,BD72+BC73-BL72)))</f>
        <v>159.99999999999991</v>
      </c>
      <c r="BE73" s="14">
        <f>BD73*VLOOKUP('Données projet'!$B$11,Paramètres!$A$1:$I$89,3,0)*VLOOKUP('Données projet'!$B$11,Paramètres!$A$1:$I$89,5,0)</f>
        <v>139.77599999999995</v>
      </c>
      <c r="BF73" s="14">
        <f t="shared" si="91"/>
        <v>36.245685459195258</v>
      </c>
      <c r="BG73" s="22">
        <f t="shared" si="61"/>
        <v>306.57110217476503</v>
      </c>
      <c r="BH73" s="62">
        <f t="shared" si="62"/>
        <v>599.90443550809835</v>
      </c>
      <c r="BI73" s="62">
        <f ca="1">AVERAGE(OFFSET($BH$3,0,0,'Données projet'!$E$11+1,1))-AVERAGE(OFFSET($H$3,0,0,'Données projet'!$E$11+1,1))</f>
        <v>241.00707378755914</v>
      </c>
      <c r="BJ73" s="62">
        <f t="shared" si="92"/>
        <v>239.93573789765657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18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171.15384615384616</v>
      </c>
      <c r="BW73" s="13">
        <f>VLOOKUP(A73,'Données projet'!$A$113:$I$133,9,0)</f>
        <v>3.4615384615384643</v>
      </c>
      <c r="BX73" s="13">
        <f t="array" ref="BX73">INDEX(BW:BW,MIN(IF(ISNUMBER(BW73:BW269),ROW(BW73:BW269),"")))</f>
        <v>3.4615384615384643</v>
      </c>
      <c r="BY73" s="13">
        <f>IF('Données projet'!$A$114&gt;35,BY72+BX73-CG72,IF(A73&lt;'Données projet'!$A$114,$BV$205^A73,IF(A73='Données projet'!$A$114,'Données projet'!$B$114,BY72+BX73-CG72)))</f>
        <v>171.15384615384619</v>
      </c>
      <c r="BZ73" s="14">
        <f>BY73*VLOOKUP('Données projet'!$B$12,Paramètres!$A$1:$I$89,3,0)*VLOOKUP('Données projet'!$B$12,Paramètres!$A$1:$I$89,5,0)</f>
        <v>114.81000000000002</v>
      </c>
      <c r="CA73" s="14">
        <f t="shared" si="93"/>
        <v>30.46141986456006</v>
      </c>
      <c r="CB73" s="22">
        <f t="shared" si="64"/>
        <v>253.01438959744212</v>
      </c>
      <c r="CC73" s="62">
        <f t="shared" si="65"/>
        <v>546.34772293077549</v>
      </c>
      <c r="CD73" s="62">
        <f ca="1">AVERAGE(OFFSET($CC$3,0,0,'Données projet'!$E$12+1,1))-AVERAGE(OFFSET($H$3,0,0,'Données projet'!$E$12+1,1))</f>
        <v>207.91006140109965</v>
      </c>
      <c r="CE73" s="62">
        <f t="shared" si="94"/>
        <v>164.93317437647255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19.871794871794872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171.15384615384616</v>
      </c>
      <c r="CR73" s="13">
        <f>VLOOKUP(A73,'Données projet'!$A$139:$I$159,9,0)</f>
        <v>3.4615384615384643</v>
      </c>
      <c r="CS73" s="13">
        <f t="array" ref="CS73">INDEX(CR:CR,MIN(IF(ISNUMBER(CR73:CR269),ROW(CR73:CR269),"")))</f>
        <v>3.4615384615384643</v>
      </c>
      <c r="CT73" s="13">
        <f>IF('Données projet'!$A$140&gt;35,CT72+CS73-DB72,IF(A73&lt;'Données projet'!$A$140,$CQ$205^A73,IF(A73='Données projet'!$A$140,'Données projet'!$B$140,CT72+CS73-DB72)))</f>
        <v>171.15384615384619</v>
      </c>
      <c r="CU73" s="18">
        <f>CT73*VLOOKUP('Données projet'!$B$13,Paramètres!$A$1:$I$89,3,0)*VLOOKUP('Données projet'!$B$13,Paramètres!$A$1:$I$89,5,0)</f>
        <v>146.85000000000005</v>
      </c>
      <c r="CV73" s="14">
        <f t="shared" si="95"/>
        <v>37.861854992871791</v>
      </c>
      <c r="CW73" s="22">
        <f t="shared" si="67"/>
        <v>321.70648077925182</v>
      </c>
      <c r="CX73" s="62">
        <f t="shared" si="68"/>
        <v>615.03981411258519</v>
      </c>
      <c r="CY73" s="62">
        <f ca="1">AVERAGE(OFFSET($CX$3,0,0,'Données projet'!$E$13+1,1))-AVERAGE(OFFSET($H$3,0,0,'Données projet'!$E$13+1,1))</f>
        <v>255.77222823147724</v>
      </c>
      <c r="CZ73" s="62">
        <f t="shared" si="96"/>
        <v>199.6931080052031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19.871794871794872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172</v>
      </c>
      <c r="DM73" s="13">
        <f>VLOOKUP(A73,'Données projet'!$A$165:$I$185,9,0)</f>
        <v>5</v>
      </c>
      <c r="DN73" s="13">
        <f t="array" ref="DN73">INDEX(DM:DM,MIN(IF(ISNUMBER(DM73:DM269),ROW(DM73:DM269),"")))</f>
        <v>5</v>
      </c>
      <c r="DO73" s="13">
        <f>IF('Données projet'!$A$166&gt;35,DO72+DN73-DW72,IF(A73&lt;'Données projet'!$A$166,$DL$205^A73,IF(A73='Données projet'!$A$166,'Données projet'!$B$166,DO72+DN73-DW72)))</f>
        <v>172</v>
      </c>
      <c r="DP73" s="18">
        <f>DO73*VLOOKUP('Données projet'!$B$14,Paramètres!$A$1:$I$89,3,0)*VLOOKUP('Données projet'!$B$14,Paramètres!$A$1:$I$89,5,0)</f>
        <v>166.35840000000002</v>
      </c>
      <c r="DQ73" s="14">
        <f t="shared" si="97"/>
        <v>42.27340131152765</v>
      </c>
      <c r="DR73" s="22">
        <f t="shared" si="70"/>
        <v>363.3670539509107</v>
      </c>
      <c r="DS73" s="62">
        <f t="shared" si="71"/>
        <v>656.70038728424402</v>
      </c>
      <c r="DT73" s="62">
        <f ca="1">AVERAGE(OFFSET($DS$3,0,0,'Données projet'!$E$14+1,1))-AVERAGE(OFFSET($H$3,0,0,'Données projet'!$E$14+1,1))</f>
        <v>349.73011349954953</v>
      </c>
      <c r="DU73" s="62">
        <f t="shared" si="98"/>
        <v>154.08406475869634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-1.7053025658242404E-13</v>
      </c>
      <c r="O74" s="14">
        <f>N74*VLOOKUP('Données projet'!$B$9,Paramètres!$A$1:$I$89,3,0)*VLOOKUP('Données projet'!$B$9,Paramètres!$A$1:$I$89,5,0)</f>
        <v>-1.0197709343628959E-13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203.63995177374335</v>
      </c>
      <c r="T74" s="62">
        <f t="shared" si="88"/>
        <v>268.97461244918378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6.2950982715916579</v>
      </c>
      <c r="AA74" s="23">
        <f>EXP(-LN(2)/25)*AA73+(1-EXP(-LN(2)/25))/(LN(2)/25)*Calculateur!V74*Calculateur!X74*VLOOKUP('Données projet'!$B$9,Paramètres!$A$1:$I$89,3,0)*0.475*44/12</f>
        <v>4.0205323333012437</v>
      </c>
      <c r="AB74" s="23">
        <f>EXP(-LN(2)/2)*AB73+(1-EXP(-LN(2)/2))/(LN(2)/2)*V74*Y74*VLOOKUP('Données projet'!$B$9,Paramètres!$A$1:$I$89,3,0)*0.475*44/12</f>
        <v>2.1593186328599071E-6</v>
      </c>
      <c r="AC74" s="24">
        <f t="shared" si="57"/>
        <v>10.315632764211536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</v>
      </c>
      <c r="AI74" s="14">
        <f>IF('Données projet'!$A$62&gt;35,AI73+AH74-AQ73,IF(A74&lt;'Données projet'!$A$62,$AF$205^A74,IF(A74='Données projet'!$A$62,'Données projet'!$B$62,AI73+AH74-AQ73)))</f>
        <v>177</v>
      </c>
      <c r="AJ74" s="14">
        <f>AI74*VLOOKUP('Données projet'!$B$10,Paramètres!$A$1:$I$89,3,0)*VLOOKUP('Données projet'!$B$10,Paramètres!$A$1:$I$89,5,0)</f>
        <v>179.47800000000001</v>
      </c>
      <c r="AK74" s="14">
        <f t="shared" si="89"/>
        <v>45.206031161327473</v>
      </c>
      <c r="AL74" s="22">
        <f t="shared" si="58"/>
        <v>391.32468760597868</v>
      </c>
      <c r="AM74" s="62">
        <f t="shared" si="59"/>
        <v>684.658020939312</v>
      </c>
      <c r="AN74" s="62">
        <f ca="1">AVERAGE(OFFSET($AM$3,0,0,'Données projet'!$E$10+1,1))-AVERAGE(OFFSET($H$3,0,0,'Données projet'!$E$10+1,1))</f>
        <v>364.69354394930866</v>
      </c>
      <c r="AO74" s="62">
        <f t="shared" si="90"/>
        <v>159.6134369231965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2.8</v>
      </c>
      <c r="BD74" s="13">
        <f>IF('Données projet'!$A$88&gt;35,BD73+BC74-BL73,IF(A74&lt;'Données projet'!$A$88,$BA$205^A74,IF(A74='Données projet'!$A$88,'Données projet'!$B$88,BD73+BC74-BL73)))</f>
        <v>144.79999999999993</v>
      </c>
      <c r="BE74" s="14">
        <f>BD74*VLOOKUP('Données projet'!$B$11,Paramètres!$A$1:$I$89,3,0)*VLOOKUP('Données projet'!$B$11,Paramètres!$A$1:$I$89,5,0)</f>
        <v>126.49727999999995</v>
      </c>
      <c r="BF74" s="14">
        <f t="shared" si="91"/>
        <v>33.185701456959592</v>
      </c>
      <c r="BG74" s="22">
        <f t="shared" si="61"/>
        <v>278.11452603753787</v>
      </c>
      <c r="BH74" s="62">
        <f t="shared" si="62"/>
        <v>571.44785937087113</v>
      </c>
      <c r="BI74" s="62">
        <f ca="1">AVERAGE(OFFSET($BH$3,0,0,'Données projet'!$E$11+1,1))-AVERAGE(OFFSET($H$3,0,0,'Données projet'!$E$11+1,1))</f>
        <v>241.00707378755914</v>
      </c>
      <c r="BJ74" s="62">
        <f t="shared" si="92"/>
        <v>239.93573789765657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3.3333333333333313</v>
      </c>
      <c r="BY74" s="13">
        <f>IF('Données projet'!$A$114&gt;35,BY73+BX74-CG73,IF(A74&lt;'Données projet'!$A$114,$BV$205^A74,IF(A74='Données projet'!$A$114,'Données projet'!$B$114,BY73+BX74-CG73)))</f>
        <v>154.61538461538467</v>
      </c>
      <c r="BZ74" s="14">
        <f>BY74*VLOOKUP('Données projet'!$B$12,Paramètres!$A$1:$I$89,3,0)*VLOOKUP('Données projet'!$B$12,Paramètres!$A$1:$I$89,5,0)</f>
        <v>103.71600000000004</v>
      </c>
      <c r="CA74" s="14">
        <f t="shared" si="93"/>
        <v>27.845394655279556</v>
      </c>
      <c r="CB74" s="22">
        <f t="shared" si="64"/>
        <v>229.1360956912786</v>
      </c>
      <c r="CC74" s="62">
        <f t="shared" si="65"/>
        <v>522.46942902461194</v>
      </c>
      <c r="CD74" s="62">
        <f ca="1">AVERAGE(OFFSET($CC$3,0,0,'Données projet'!$E$12+1,1))-AVERAGE(OFFSET($H$3,0,0,'Données projet'!$E$12+1,1))</f>
        <v>207.91006140109965</v>
      </c>
      <c r="CE74" s="62">
        <f t="shared" si="94"/>
        <v>164.93317437647255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3.3333333333333313</v>
      </c>
      <c r="CT74" s="13">
        <f>IF('Données projet'!$A$140&gt;35,CT73+CS74-DB73,IF(A74&lt;'Données projet'!$A$140,$CQ$205^A74,IF(A74='Données projet'!$A$140,'Données projet'!$B$140,CT73+CS74-DB73)))</f>
        <v>154.61538461538467</v>
      </c>
      <c r="CU74" s="18">
        <f>CT74*VLOOKUP('Données projet'!$B$13,Paramètres!$A$1:$I$89,3,0)*VLOOKUP('Données projet'!$B$13,Paramètres!$A$1:$I$89,5,0)</f>
        <v>132.66000000000005</v>
      </c>
      <c r="CV74" s="14">
        <f t="shared" si="95"/>
        <v>34.610280786158228</v>
      </c>
      <c r="CW74" s="22">
        <f t="shared" si="67"/>
        <v>291.32907236922568</v>
      </c>
      <c r="CX74" s="62">
        <f t="shared" si="68"/>
        <v>584.662405702559</v>
      </c>
      <c r="CY74" s="62">
        <f ca="1">AVERAGE(OFFSET($CX$3,0,0,'Données projet'!$E$13+1,1))-AVERAGE(OFFSET($H$3,0,0,'Données projet'!$E$13+1,1))</f>
        <v>255.77222823147724</v>
      </c>
      <c r="CZ74" s="62">
        <f t="shared" si="96"/>
        <v>199.6931080052031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5</v>
      </c>
      <c r="DO74" s="13">
        <f>IF('Données projet'!$A$166&gt;35,DO73+DN74-DW73,IF(A74&lt;'Données projet'!$A$166,$DL$205^A74,IF(A74='Données projet'!$A$166,'Données projet'!$B$166,DO73+DN74-DW73)))</f>
        <v>177</v>
      </c>
      <c r="DP74" s="18">
        <f>DO74*VLOOKUP('Données projet'!$B$14,Paramètres!$A$1:$I$89,3,0)*VLOOKUP('Données projet'!$B$14,Paramètres!$A$1:$I$89,5,0)</f>
        <v>171.1944</v>
      </c>
      <c r="DQ74" s="14">
        <f t="shared" si="97"/>
        <v>43.35742035290977</v>
      </c>
      <c r="DR74" s="22">
        <f t="shared" si="70"/>
        <v>373.67775378131779</v>
      </c>
      <c r="DS74" s="62">
        <f t="shared" si="71"/>
        <v>667.0110871146511</v>
      </c>
      <c r="DT74" s="62">
        <f ca="1">AVERAGE(OFFSET($DS$3,0,0,'Données projet'!$E$14+1,1))-AVERAGE(OFFSET($H$3,0,0,'Données projet'!$E$14+1,1))</f>
        <v>349.73011349954953</v>
      </c>
      <c r="DU74" s="62">
        <f t="shared" si="98"/>
        <v>154.08406475869634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-1.7053025658242404E-13</v>
      </c>
      <c r="O75" s="14">
        <f>N75*VLOOKUP('Données projet'!$B$9,Paramètres!$A$1:$I$89,3,0)*VLOOKUP('Données projet'!$B$9,Paramètres!$A$1:$I$89,5,0)</f>
        <v>-1.0197709343628959E-13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203.63995177374335</v>
      </c>
      <c r="T75" s="62">
        <f t="shared" si="88"/>
        <v>268.97461244918378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6.1716552341165594</v>
      </c>
      <c r="AA75" s="23">
        <f>EXP(-LN(2)/25)*AA74+(1-EXP(-LN(2)/25))/(LN(2)/25)*Calculateur!V75*Calculateur!X75*VLOOKUP('Données projet'!$B$9,Paramètres!$A$1:$I$89,3,0)*0.475*44/12</f>
        <v>3.9105906652165148</v>
      </c>
      <c r="AB75" s="23">
        <f>EXP(-LN(2)/2)*AB74+(1-EXP(-LN(2)/2))/(LN(2)/2)*V75*Y75*VLOOKUP('Données projet'!$B$9,Paramètres!$A$1:$I$89,3,0)*0.475*44/12</f>
        <v>1.5268688480377053E-6</v>
      </c>
      <c r="AC75" s="24">
        <f t="shared" si="57"/>
        <v>10.082247426201922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</v>
      </c>
      <c r="AI75" s="14">
        <f>IF('Données projet'!$A$62&gt;35,AI74+AH75-AQ74,IF(A75&lt;'Données projet'!$A$62,$AF$205^A75,IF(A75='Données projet'!$A$62,'Données projet'!$B$62,AI74+AH75-AQ74)))</f>
        <v>182</v>
      </c>
      <c r="AJ75" s="14">
        <f>AI75*VLOOKUP('Données projet'!$B$10,Paramètres!$A$1:$I$89,3,0)*VLOOKUP('Données projet'!$B$10,Paramètres!$A$1:$I$89,5,0)</f>
        <v>184.548</v>
      </c>
      <c r="AK75" s="14">
        <f t="shared" si="89"/>
        <v>46.332558240871698</v>
      </c>
      <c r="AL75" s="22">
        <f t="shared" si="58"/>
        <v>402.11697226951816</v>
      </c>
      <c r="AM75" s="62">
        <f t="shared" si="59"/>
        <v>695.45030560285147</v>
      </c>
      <c r="AN75" s="62">
        <f ca="1">AVERAGE(OFFSET($AM$3,0,0,'Données projet'!$E$10+1,1))-AVERAGE(OFFSET($H$3,0,0,'Données projet'!$E$10+1,1))</f>
        <v>364.69354394930866</v>
      </c>
      <c r="AO75" s="62">
        <f t="shared" si="90"/>
        <v>159.6134369231965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2.8</v>
      </c>
      <c r="BD75" s="13">
        <f>IF('Données projet'!$A$88&gt;35,BD74+BC75-BL74,IF(A75&lt;'Données projet'!$A$88,$BA$205^A75,IF(A75='Données projet'!$A$88,'Données projet'!$B$88,BD74+BC75-BL74)))</f>
        <v>147.59999999999994</v>
      </c>
      <c r="BE75" s="14">
        <f>BD75*VLOOKUP('Données projet'!$B$11,Paramètres!$A$1:$I$89,3,0)*VLOOKUP('Données projet'!$B$11,Paramètres!$A$1:$I$89,5,0)</f>
        <v>128.94335999999996</v>
      </c>
      <c r="BF75" s="14">
        <f t="shared" si="91"/>
        <v>33.752085002132162</v>
      </c>
      <c r="BG75" s="22">
        <f t="shared" si="61"/>
        <v>283.36123337871345</v>
      </c>
      <c r="BH75" s="62">
        <f t="shared" si="62"/>
        <v>576.69456671204671</v>
      </c>
      <c r="BI75" s="62">
        <f ca="1">AVERAGE(OFFSET($BH$3,0,0,'Données projet'!$E$11+1,1))-AVERAGE(OFFSET($H$3,0,0,'Données projet'!$E$11+1,1))</f>
        <v>241.00707378755914</v>
      </c>
      <c r="BJ75" s="62">
        <f t="shared" si="92"/>
        <v>239.93573789765657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3.3333333333333313</v>
      </c>
      <c r="BY75" s="13">
        <f>IF('Données projet'!$A$114&gt;35,BY74+BX75-CG74,IF(A75&lt;'Données projet'!$A$114,$BV$205^A75,IF(A75='Données projet'!$A$114,'Données projet'!$B$114,BY74+BX75-CG74)))</f>
        <v>157.94871794871801</v>
      </c>
      <c r="BZ75" s="14">
        <f>BY75*VLOOKUP('Données projet'!$B$12,Paramètres!$A$1:$I$89,3,0)*VLOOKUP('Données projet'!$B$12,Paramètres!$A$1:$I$89,5,0)</f>
        <v>105.95200000000006</v>
      </c>
      <c r="CA75" s="14">
        <f t="shared" si="93"/>
        <v>28.375172985321207</v>
      </c>
      <c r="CB75" s="22">
        <f t="shared" si="64"/>
        <v>233.95315961610117</v>
      </c>
      <c r="CC75" s="62">
        <f t="shared" si="65"/>
        <v>527.28649294943443</v>
      </c>
      <c r="CD75" s="62">
        <f ca="1">AVERAGE(OFFSET($CC$3,0,0,'Données projet'!$E$12+1,1))-AVERAGE(OFFSET($H$3,0,0,'Données projet'!$E$12+1,1))</f>
        <v>207.91006140109965</v>
      </c>
      <c r="CE75" s="62">
        <f t="shared" si="94"/>
        <v>164.93317437647255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3.3333333333333313</v>
      </c>
      <c r="CT75" s="13">
        <f>IF('Données projet'!$A$140&gt;35,CT74+CS75-DB74,IF(A75&lt;'Données projet'!$A$140,$CQ$205^A75,IF(A75='Données projet'!$A$140,'Données projet'!$B$140,CT74+CS75-DB74)))</f>
        <v>157.94871794871801</v>
      </c>
      <c r="CU75" s="18">
        <f>CT75*VLOOKUP('Données projet'!$B$13,Paramètres!$A$1:$I$89,3,0)*VLOOKUP('Données projet'!$B$13,Paramètres!$A$1:$I$89,5,0)</f>
        <v>135.52000000000007</v>
      </c>
      <c r="CV75" s="14">
        <f t="shared" si="95"/>
        <v>35.268765860051332</v>
      </c>
      <c r="CW75" s="22">
        <f t="shared" si="67"/>
        <v>297.45710053958948</v>
      </c>
      <c r="CX75" s="62">
        <f t="shared" si="68"/>
        <v>590.79043387292279</v>
      </c>
      <c r="CY75" s="62">
        <f ca="1">AVERAGE(OFFSET($CX$3,0,0,'Données projet'!$E$13+1,1))-AVERAGE(OFFSET($H$3,0,0,'Données projet'!$E$13+1,1))</f>
        <v>255.77222823147724</v>
      </c>
      <c r="CZ75" s="62">
        <f t="shared" si="96"/>
        <v>199.6931080052031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5</v>
      </c>
      <c r="DO75" s="13">
        <f>IF('Données projet'!$A$166&gt;35,DO74+DN75-DW74,IF(A75&lt;'Données projet'!$A$166,$DL$205^A75,IF(A75='Données projet'!$A$166,'Données projet'!$B$166,DO74+DN75-DW74)))</f>
        <v>182</v>
      </c>
      <c r="DP75" s="18">
        <f>DO75*VLOOKUP('Données projet'!$B$14,Paramètres!$A$1:$I$89,3,0)*VLOOKUP('Données projet'!$B$14,Paramètres!$A$1:$I$89,5,0)</f>
        <v>176.03040000000001</v>
      </c>
      <c r="DQ75" s="14">
        <f t="shared" si="97"/>
        <v>44.437880346232944</v>
      </c>
      <c r="DR75" s="22">
        <f t="shared" si="70"/>
        <v>383.98225493635573</v>
      </c>
      <c r="DS75" s="62">
        <f t="shared" si="71"/>
        <v>677.31558826968899</v>
      </c>
      <c r="DT75" s="62">
        <f ca="1">AVERAGE(OFFSET($DS$3,0,0,'Données projet'!$E$14+1,1))-AVERAGE(OFFSET($H$3,0,0,'Données projet'!$E$14+1,1))</f>
        <v>349.73011349954953</v>
      </c>
      <c r="DU75" s="62">
        <f t="shared" si="98"/>
        <v>154.08406475869634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-1.7053025658242404E-13</v>
      </c>
      <c r="O76" s="14">
        <f>N76*VLOOKUP('Données projet'!$B$9,Paramètres!$A$1:$I$89,3,0)*VLOOKUP('Données projet'!$B$9,Paramètres!$A$1:$I$89,5,0)</f>
        <v>-1.0197709343628959E-13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203.63995177374335</v>
      </c>
      <c r="T76" s="62">
        <f t="shared" si="88"/>
        <v>268.97461244918378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6.0506328393135291</v>
      </c>
      <c r="AA76" s="23">
        <f>EXP(-LN(2)/25)*AA75+(1-EXP(-LN(2)/25))/(LN(2)/25)*Calculateur!V76*Calculateur!X76*VLOOKUP('Données projet'!$B$9,Paramètres!$A$1:$I$89,3,0)*0.475*44/12</f>
        <v>3.8036553578271439</v>
      </c>
      <c r="AB76" s="23">
        <f>EXP(-LN(2)/2)*AB75+(1-EXP(-LN(2)/2))/(LN(2)/2)*V76*Y76*VLOOKUP('Données projet'!$B$9,Paramètres!$A$1:$I$89,3,0)*0.475*44/12</f>
        <v>1.0796593164299535E-6</v>
      </c>
      <c r="AC76" s="24">
        <f t="shared" si="57"/>
        <v>9.8542892767999888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</v>
      </c>
      <c r="AI76" s="14">
        <f>IF('Données projet'!$A$62&gt;35,AI75+AH76-AQ75,IF(A76&lt;'Données projet'!$A$62,$AF$205^A76,IF(A76='Données projet'!$A$62,'Données projet'!$B$62,AI75+AH76-AQ75)))</f>
        <v>187</v>
      </c>
      <c r="AJ76" s="14">
        <f>AI76*VLOOKUP('Données projet'!$B$10,Paramètres!$A$1:$I$89,3,0)*VLOOKUP('Données projet'!$B$10,Paramètres!$A$1:$I$89,5,0)</f>
        <v>189.61799999999999</v>
      </c>
      <c r="AK76" s="14">
        <f t="shared" si="89"/>
        <v>47.4554881852685</v>
      </c>
      <c r="AL76" s="22">
        <f t="shared" si="58"/>
        <v>412.90299192267594</v>
      </c>
      <c r="AM76" s="62">
        <f t="shared" si="59"/>
        <v>706.2363252560092</v>
      </c>
      <c r="AN76" s="62">
        <f ca="1">AVERAGE(OFFSET($AM$3,0,0,'Données projet'!$E$10+1,1))-AVERAGE(OFFSET($H$3,0,0,'Données projet'!$E$10+1,1))</f>
        <v>364.69354394930866</v>
      </c>
      <c r="AO76" s="62">
        <f t="shared" si="90"/>
        <v>159.6134369231965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2.8</v>
      </c>
      <c r="BD76" s="13">
        <f>IF('Données projet'!$A$88&gt;35,BD75+BC76-BL75,IF(A76&lt;'Données projet'!$A$88,$BA$205^A76,IF(A76='Données projet'!$A$88,'Données projet'!$B$88,BD75+BC76-BL75)))</f>
        <v>150.39999999999995</v>
      </c>
      <c r="BE76" s="14">
        <f>BD76*VLOOKUP('Données projet'!$B$11,Paramètres!$A$1:$I$89,3,0)*VLOOKUP('Données projet'!$B$11,Paramètres!$A$1:$I$89,5,0)</f>
        <v>131.38943999999998</v>
      </c>
      <c r="BF76" s="14">
        <f t="shared" si="91"/>
        <v>34.317219199328726</v>
      </c>
      <c r="BG76" s="22">
        <f t="shared" si="61"/>
        <v>288.60576477216415</v>
      </c>
      <c r="BH76" s="62">
        <f t="shared" si="62"/>
        <v>581.93909810549746</v>
      </c>
      <c r="BI76" s="62">
        <f ca="1">AVERAGE(OFFSET($BH$3,0,0,'Données projet'!$E$11+1,1))-AVERAGE(OFFSET($H$3,0,0,'Données projet'!$E$11+1,1))</f>
        <v>241.00707378755914</v>
      </c>
      <c r="BJ76" s="62">
        <f t="shared" si="92"/>
        <v>239.93573789765657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3.3333333333333313</v>
      </c>
      <c r="BY76" s="13">
        <f>IF('Données projet'!$A$114&gt;35,BY75+BX76-CG75,IF(A76&lt;'Données projet'!$A$114,$BV$205^A76,IF(A76='Données projet'!$A$114,'Données projet'!$B$114,BY75+BX76-CG75)))</f>
        <v>161.28205128205136</v>
      </c>
      <c r="BZ76" s="14">
        <f>BY76*VLOOKUP('Données projet'!$B$12,Paramètres!$A$1:$I$89,3,0)*VLOOKUP('Données projet'!$B$12,Paramètres!$A$1:$I$89,5,0)</f>
        <v>108.18800000000006</v>
      </c>
      <c r="CA76" s="14">
        <f t="shared" si="93"/>
        <v>28.903651413471959</v>
      </c>
      <c r="CB76" s="22">
        <f t="shared" si="64"/>
        <v>238.76795954513042</v>
      </c>
      <c r="CC76" s="62">
        <f t="shared" si="65"/>
        <v>532.10129287846371</v>
      </c>
      <c r="CD76" s="62">
        <f ca="1">AVERAGE(OFFSET($CC$3,0,0,'Données projet'!$E$12+1,1))-AVERAGE(OFFSET($H$3,0,0,'Données projet'!$E$12+1,1))</f>
        <v>207.91006140109965</v>
      </c>
      <c r="CE76" s="62">
        <f t="shared" si="94"/>
        <v>164.93317437647255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3.3333333333333313</v>
      </c>
      <c r="CT76" s="13">
        <f>IF('Données projet'!$A$140&gt;35,CT75+CS76-DB75,IF(A76&lt;'Données projet'!$A$140,$CQ$205^A76,IF(A76='Données projet'!$A$140,'Données projet'!$B$140,CT75+CS76-DB75)))</f>
        <v>161.28205128205136</v>
      </c>
      <c r="CU76" s="18">
        <f>CT76*VLOOKUP('Données projet'!$B$13,Paramètres!$A$1:$I$89,3,0)*VLOOKUP('Données projet'!$B$13,Paramètres!$A$1:$I$89,5,0)</f>
        <v>138.38000000000008</v>
      </c>
      <c r="CV76" s="14">
        <f t="shared" si="95"/>
        <v>35.925635228008275</v>
      </c>
      <c r="CW76" s="22">
        <f t="shared" si="67"/>
        <v>303.5823146887812</v>
      </c>
      <c r="CX76" s="62">
        <f t="shared" si="68"/>
        <v>596.91564802211451</v>
      </c>
      <c r="CY76" s="62">
        <f ca="1">AVERAGE(OFFSET($CX$3,0,0,'Données projet'!$E$13+1,1))-AVERAGE(OFFSET($H$3,0,0,'Données projet'!$E$13+1,1))</f>
        <v>255.77222823147724</v>
      </c>
      <c r="CZ76" s="62">
        <f t="shared" si="96"/>
        <v>199.6931080052031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5</v>
      </c>
      <c r="DO76" s="13">
        <f>IF('Données projet'!$A$166&gt;35,DO75+DN76-DW75,IF(A76&lt;'Données projet'!$A$166,$DL$205^A76,IF(A76='Données projet'!$A$166,'Données projet'!$B$166,DO75+DN76-DW75)))</f>
        <v>187</v>
      </c>
      <c r="DP76" s="18">
        <f>DO76*VLOOKUP('Données projet'!$B$14,Paramètres!$A$1:$I$89,3,0)*VLOOKUP('Données projet'!$B$14,Paramètres!$A$1:$I$89,5,0)</f>
        <v>180.8664</v>
      </c>
      <c r="DQ76" s="14">
        <f t="shared" si="97"/>
        <v>45.514890302102152</v>
      </c>
      <c r="DR76" s="22">
        <f t="shared" si="70"/>
        <v>394.28074727616121</v>
      </c>
      <c r="DS76" s="62">
        <f t="shared" si="71"/>
        <v>687.61408060949452</v>
      </c>
      <c r="DT76" s="62">
        <f ca="1">AVERAGE(OFFSET($DS$3,0,0,'Données projet'!$E$14+1,1))-AVERAGE(OFFSET($H$3,0,0,'Données projet'!$E$14+1,1))</f>
        <v>349.73011349954953</v>
      </c>
      <c r="DU76" s="62">
        <f t="shared" si="98"/>
        <v>154.08406475869634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-1.7053025658242404E-13</v>
      </c>
      <c r="O77" s="14">
        <f>N77*VLOOKUP('Données projet'!$B$9,Paramètres!$A$1:$I$89,3,0)*VLOOKUP('Données projet'!$B$9,Paramètres!$A$1:$I$89,5,0)</f>
        <v>-1.0197709343628959E-13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203.63995177374335</v>
      </c>
      <c r="T77" s="62">
        <f t="shared" si="88"/>
        <v>268.97461244918378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5.9319836198562141</v>
      </c>
      <c r="AA77" s="23">
        <f>EXP(-LN(2)/25)*AA76+(1-EXP(-LN(2)/25))/(LN(2)/25)*Calculateur!V77*Calculateur!X77*VLOOKUP('Données projet'!$B$9,Paramètres!$A$1:$I$89,3,0)*0.475*44/12</f>
        <v>3.699644202041819</v>
      </c>
      <c r="AB77" s="23">
        <f>EXP(-LN(2)/2)*AB76+(1-EXP(-LN(2)/2))/(LN(2)/2)*V77*Y77*VLOOKUP('Données projet'!$B$9,Paramètres!$A$1:$I$89,3,0)*0.475*44/12</f>
        <v>7.6343442401885263E-7</v>
      </c>
      <c r="AC77" s="24">
        <f t="shared" si="57"/>
        <v>9.6316285853324555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</v>
      </c>
      <c r="AI77" s="14">
        <f>IF('Données projet'!$A$62&gt;35,AI76+AH77-AQ76,IF(A77&lt;'Données projet'!$A$62,$AF$205^A77,IF(A77='Données projet'!$A$62,'Données projet'!$B$62,AI76+AH77-AQ76)))</f>
        <v>192</v>
      </c>
      <c r="AJ77" s="14">
        <f>AI77*VLOOKUP('Données projet'!$B$10,Paramètres!$A$1:$I$89,3,0)*VLOOKUP('Données projet'!$B$10,Paramètres!$A$1:$I$89,5,0)</f>
        <v>194.68800000000002</v>
      </c>
      <c r="AK77" s="14">
        <f t="shared" si="89"/>
        <v>48.574928228914978</v>
      </c>
      <c r="AL77" s="22">
        <f t="shared" si="58"/>
        <v>423.68293333202695</v>
      </c>
      <c r="AM77" s="62">
        <f t="shared" si="59"/>
        <v>717.01626666536026</v>
      </c>
      <c r="AN77" s="62">
        <f ca="1">AVERAGE(OFFSET($AM$3,0,0,'Données projet'!$E$10+1,1))-AVERAGE(OFFSET($H$3,0,0,'Données projet'!$E$10+1,1))</f>
        <v>364.69354394930866</v>
      </c>
      <c r="AO77" s="62">
        <f t="shared" si="90"/>
        <v>159.6134369231965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2.8</v>
      </c>
      <c r="BD77" s="13">
        <f>IF('Données projet'!$A$88&gt;35,BD76+BC77-BL76,IF(A77&lt;'Données projet'!$A$88,$BA$205^A77,IF(A77='Données projet'!$A$88,'Données projet'!$B$88,BD76+BC77-BL76)))</f>
        <v>153.19999999999996</v>
      </c>
      <c r="BE77" s="14">
        <f>BD77*VLOOKUP('Données projet'!$B$11,Paramètres!$A$1:$I$89,3,0)*VLOOKUP('Données projet'!$B$11,Paramètres!$A$1:$I$89,5,0)</f>
        <v>133.83551999999997</v>
      </c>
      <c r="BF77" s="14">
        <f t="shared" si="91"/>
        <v>34.881129989958559</v>
      </c>
      <c r="BG77" s="22">
        <f t="shared" si="61"/>
        <v>293.84816539917779</v>
      </c>
      <c r="BH77" s="62">
        <f t="shared" si="62"/>
        <v>587.18149873251105</v>
      </c>
      <c r="BI77" s="62">
        <f ca="1">AVERAGE(OFFSET($BH$3,0,0,'Données projet'!$E$11+1,1))-AVERAGE(OFFSET($H$3,0,0,'Données projet'!$E$11+1,1))</f>
        <v>241.00707378755914</v>
      </c>
      <c r="BJ77" s="62">
        <f t="shared" si="92"/>
        <v>239.93573789765657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3.3333333333333313</v>
      </c>
      <c r="BY77" s="13">
        <f>IF('Données projet'!$A$114&gt;35,BY76+BX77-CG76,IF(A77&lt;'Données projet'!$A$114,$BV$205^A77,IF(A77='Données projet'!$A$114,'Données projet'!$B$114,BY76+BX77-CG76)))</f>
        <v>164.6153846153847</v>
      </c>
      <c r="BZ77" s="14">
        <f>BY77*VLOOKUP('Données projet'!$B$12,Paramètres!$A$1:$I$89,3,0)*VLOOKUP('Données projet'!$B$12,Paramètres!$A$1:$I$89,5,0)</f>
        <v>110.42400000000006</v>
      </c>
      <c r="CA77" s="14">
        <f t="shared" si="93"/>
        <v>29.430859901210543</v>
      </c>
      <c r="CB77" s="22">
        <f t="shared" si="64"/>
        <v>243.58054766127512</v>
      </c>
      <c r="CC77" s="62">
        <f t="shared" si="65"/>
        <v>536.91388099460846</v>
      </c>
      <c r="CD77" s="62">
        <f ca="1">AVERAGE(OFFSET($CC$3,0,0,'Données projet'!$E$12+1,1))-AVERAGE(OFFSET($H$3,0,0,'Données projet'!$E$12+1,1))</f>
        <v>207.91006140109965</v>
      </c>
      <c r="CE77" s="62">
        <f t="shared" si="94"/>
        <v>164.93317437647255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3.3333333333333313</v>
      </c>
      <c r="CT77" s="13">
        <f>IF('Données projet'!$A$140&gt;35,CT76+CS77-DB76,IF(A77&lt;'Données projet'!$A$140,$CQ$205^A77,IF(A77='Données projet'!$A$140,'Données projet'!$B$140,CT76+CS77-DB76)))</f>
        <v>164.6153846153847</v>
      </c>
      <c r="CU77" s="18">
        <f>CT77*VLOOKUP('Données projet'!$B$13,Paramètres!$A$1:$I$89,3,0)*VLOOKUP('Données projet'!$B$13,Paramètres!$A$1:$I$89,5,0)</f>
        <v>141.24000000000009</v>
      </c>
      <c r="CV77" s="14">
        <f t="shared" si="95"/>
        <v>36.58092613048499</v>
      </c>
      <c r="CW77" s="22">
        <f t="shared" si="67"/>
        <v>309.70477967726151</v>
      </c>
      <c r="CX77" s="62">
        <f t="shared" si="68"/>
        <v>603.03811301059477</v>
      </c>
      <c r="CY77" s="62">
        <f ca="1">AVERAGE(OFFSET($CX$3,0,0,'Données projet'!$E$13+1,1))-AVERAGE(OFFSET($H$3,0,0,'Données projet'!$E$13+1,1))</f>
        <v>255.77222823147724</v>
      </c>
      <c r="CZ77" s="62">
        <f t="shared" si="96"/>
        <v>199.6931080052031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5</v>
      </c>
      <c r="DO77" s="13">
        <f>IF('Données projet'!$A$166&gt;35,DO76+DN77-DW76,IF(A77&lt;'Données projet'!$A$166,$DL$205^A77,IF(A77='Données projet'!$A$166,'Données projet'!$B$166,DO76+DN77-DW76)))</f>
        <v>192</v>
      </c>
      <c r="DP77" s="18">
        <f>DO77*VLOOKUP('Données projet'!$B$14,Paramètres!$A$1:$I$89,3,0)*VLOOKUP('Données projet'!$B$14,Paramètres!$A$1:$I$89,5,0)</f>
        <v>185.70239999999998</v>
      </c>
      <c r="DQ77" s="14">
        <f t="shared" si="97"/>
        <v>46.588553069776829</v>
      </c>
      <c r="DR77" s="22">
        <f t="shared" si="70"/>
        <v>404.57340992986127</v>
      </c>
      <c r="DS77" s="62">
        <f t="shared" si="71"/>
        <v>697.90674326319458</v>
      </c>
      <c r="DT77" s="62">
        <f ca="1">AVERAGE(OFFSET($DS$3,0,0,'Données projet'!$E$14+1,1))-AVERAGE(OFFSET($H$3,0,0,'Données projet'!$E$14+1,1))</f>
        <v>349.73011349954953</v>
      </c>
      <c r="DU77" s="62">
        <f t="shared" si="98"/>
        <v>154.08406475869634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-1.7053025658242404E-13</v>
      </c>
      <c r="O78" s="14">
        <f>N78*VLOOKUP('Données projet'!$B$9,Paramètres!$A$1:$I$89,3,0)*VLOOKUP('Données projet'!$B$9,Paramètres!$A$1:$I$89,5,0)</f>
        <v>-1.0197709343628959E-13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203.63995177374335</v>
      </c>
      <c r="T78" s="62">
        <f t="shared" si="88"/>
        <v>268.97461244918378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5.8156610392235786</v>
      </c>
      <c r="AA78" s="23">
        <f>EXP(-LN(2)/25)*AA77+(1-EXP(-LN(2)/25))/(LN(2)/25)*Calculateur!V78*Calculateur!X78*VLOOKUP('Données projet'!$B$9,Paramètres!$A$1:$I$89,3,0)*0.475*44/12</f>
        <v>3.5984772367811524</v>
      </c>
      <c r="AB78" s="23">
        <f>EXP(-LN(2)/2)*AB77+(1-EXP(-LN(2)/2))/(LN(2)/2)*V78*Y78*VLOOKUP('Données projet'!$B$9,Paramètres!$A$1:$I$89,3,0)*0.475*44/12</f>
        <v>5.3982965821497676E-7</v>
      </c>
      <c r="AC78" s="24">
        <f t="shared" si="57"/>
        <v>9.4141388158343897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197</v>
      </c>
      <c r="AG78" s="13">
        <f>VLOOKUP(A78,'Données projet'!$A$61:$I$81,9,0)</f>
        <v>5</v>
      </c>
      <c r="AH78" s="13">
        <f t="array" ref="AH78">INDEX(AG:AG,MIN(IF(ISNUMBER(AG78:AG274),ROW(AG78:AG274),"")))</f>
        <v>5</v>
      </c>
      <c r="AI78" s="14">
        <f>IF('Données projet'!$A$62&gt;35,AI77+AH78-AQ77,IF(A78&lt;'Données projet'!$A$62,$AF$205^A78,IF(A78='Données projet'!$A$62,'Données projet'!$B$62,AI77+AH78-AQ77)))</f>
        <v>197</v>
      </c>
      <c r="AJ78" s="14">
        <f>AI78*VLOOKUP('Données projet'!$B$10,Paramètres!$A$1:$I$89,3,0)*VLOOKUP('Données projet'!$B$10,Paramètres!$A$1:$I$89,5,0)</f>
        <v>199.75800000000004</v>
      </c>
      <c r="AK78" s="14">
        <f t="shared" si="89"/>
        <v>49.690979702964015</v>
      </c>
      <c r="AL78" s="22">
        <f t="shared" si="58"/>
        <v>434.45697298266236</v>
      </c>
      <c r="AM78" s="62">
        <f t="shared" si="59"/>
        <v>727.79030631599562</v>
      </c>
      <c r="AN78" s="62">
        <f ca="1">AVERAGE(OFFSET($AM$3,0,0,'Données projet'!$E$10+1,1))-AVERAGE(OFFSET($H$3,0,0,'Données projet'!$E$10+1,1))</f>
        <v>364.69354394930866</v>
      </c>
      <c r="AO78" s="62">
        <f t="shared" si="90"/>
        <v>159.6134369231965</v>
      </c>
      <c r="AP78" s="16">
        <f>IF(ISNA(VLOOKUP(A78,'Données projet'!$A$61:$I$81,3,0)),0,VLOOKUP(A78,'Données projet'!$A$61:$I$81,3,0))</f>
        <v>5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156</v>
      </c>
      <c r="BB78" s="13">
        <f>VLOOKUP(A78,'Données projet'!$A$87:$I$107,9,0)</f>
        <v>2.8</v>
      </c>
      <c r="BC78" s="13">
        <f t="array" ref="BC78">INDEX(BB:BB,MIN(IF(ISNUMBER(BB78:BB274),ROW(BB78:BB274),"")))</f>
        <v>2.8</v>
      </c>
      <c r="BD78" s="13">
        <f>IF('Données projet'!$A$88&gt;35,BD77+BC78-BL77,IF(A78&lt;'Données projet'!$A$88,$BA$205^A78,IF(A78='Données projet'!$A$88,'Données projet'!$B$88,BD77+BC78-BL77)))</f>
        <v>155.99999999999997</v>
      </c>
      <c r="BE78" s="14">
        <f>BD78*VLOOKUP('Données projet'!$B$11,Paramètres!$A$1:$I$89,3,0)*VLOOKUP('Données projet'!$B$11,Paramètres!$A$1:$I$89,5,0)</f>
        <v>136.2816</v>
      </c>
      <c r="BF78" s="14">
        <f t="shared" si="91"/>
        <v>35.443842312892279</v>
      </c>
      <c r="BG78" s="22">
        <f t="shared" si="61"/>
        <v>299.08847869495406</v>
      </c>
      <c r="BH78" s="62">
        <f t="shared" si="62"/>
        <v>592.42181202828738</v>
      </c>
      <c r="BI78" s="62">
        <f ca="1">AVERAGE(OFFSET($BH$3,0,0,'Données projet'!$E$11+1,1))-AVERAGE(OFFSET($H$3,0,0,'Données projet'!$E$11+1,1))</f>
        <v>241.00707378755914</v>
      </c>
      <c r="BJ78" s="62">
        <f t="shared" si="92"/>
        <v>239.93573789765657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167.94871794871796</v>
      </c>
      <c r="BW78" s="13">
        <f>VLOOKUP(A78,'Données projet'!$A$113:$I$133,9,0)</f>
        <v>3.3333333333333313</v>
      </c>
      <c r="BX78" s="13">
        <f t="array" ref="BX78">INDEX(BW:BW,MIN(IF(ISNUMBER(BW78:BW274),ROW(BW78:BW274),"")))</f>
        <v>3.3333333333333313</v>
      </c>
      <c r="BY78" s="13">
        <f>IF('Données projet'!$A$114&gt;35,BY77+BX78-CG77,IF(A78&lt;'Données projet'!$A$114,$BV$205^A78,IF(A78='Données projet'!$A$114,'Données projet'!$B$114,BY77+BX78-CG77)))</f>
        <v>167.94871794871804</v>
      </c>
      <c r="BZ78" s="14">
        <f>BY78*VLOOKUP('Données projet'!$B$12,Paramètres!$A$1:$I$89,3,0)*VLOOKUP('Données projet'!$B$12,Paramètres!$A$1:$I$89,5,0)</f>
        <v>112.66000000000007</v>
      </c>
      <c r="CA78" s="14">
        <f t="shared" si="93"/>
        <v>29.956827127251987</v>
      </c>
      <c r="CB78" s="22">
        <f t="shared" si="64"/>
        <v>248.39097391329733</v>
      </c>
      <c r="CC78" s="62">
        <f t="shared" si="65"/>
        <v>541.72430724663059</v>
      </c>
      <c r="CD78" s="62">
        <f ca="1">AVERAGE(OFFSET($CC$3,0,0,'Données projet'!$E$12+1,1))-AVERAGE(OFFSET($H$3,0,0,'Données projet'!$E$12+1,1))</f>
        <v>207.91006140109965</v>
      </c>
      <c r="CE78" s="62">
        <f t="shared" si="94"/>
        <v>164.93317437647255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167.94871794871796</v>
      </c>
      <c r="CR78" s="13">
        <f>VLOOKUP(A78,'Données projet'!$A$139:$I$159,9,0)</f>
        <v>3.3333333333333313</v>
      </c>
      <c r="CS78" s="13">
        <f t="array" ref="CS78">INDEX(CR:CR,MIN(IF(ISNUMBER(CR78:CR274),ROW(CR78:CR274),"")))</f>
        <v>3.3333333333333313</v>
      </c>
      <c r="CT78" s="13">
        <f>IF('Données projet'!$A$140&gt;35,CT77+CS78-DB77,IF(A78&lt;'Données projet'!$A$140,$CQ$205^A78,IF(A78='Données projet'!$A$140,'Données projet'!$B$140,CT77+CS78-DB77)))</f>
        <v>167.94871794871804</v>
      </c>
      <c r="CU78" s="18">
        <f>CT78*VLOOKUP('Données projet'!$B$13,Paramètres!$A$1:$I$89,3,0)*VLOOKUP('Données projet'!$B$13,Paramètres!$A$1:$I$89,5,0)</f>
        <v>144.10000000000011</v>
      </c>
      <c r="CV78" s="14">
        <f t="shared" si="95"/>
        <v>37.234674213533239</v>
      </c>
      <c r="CW78" s="22">
        <f t="shared" si="67"/>
        <v>315.82455758857049</v>
      </c>
      <c r="CX78" s="62">
        <f t="shared" si="68"/>
        <v>609.1578909219038</v>
      </c>
      <c r="CY78" s="62">
        <f ca="1">AVERAGE(OFFSET($CX$3,0,0,'Données projet'!$E$13+1,1))-AVERAGE(OFFSET($H$3,0,0,'Données projet'!$E$13+1,1))</f>
        <v>255.77222823147724</v>
      </c>
      <c r="CZ78" s="62">
        <f t="shared" si="96"/>
        <v>199.6931080052031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197</v>
      </c>
      <c r="DM78" s="13">
        <f>VLOOKUP(A78,'Données projet'!$A$165:$I$185,9,0)</f>
        <v>5</v>
      </c>
      <c r="DN78" s="13">
        <f t="array" ref="DN78">INDEX(DM:DM,MIN(IF(ISNUMBER(DM78:DM274),ROW(DM78:DM274),"")))</f>
        <v>5</v>
      </c>
      <c r="DO78" s="13">
        <f>IF('Données projet'!$A$166&gt;35,DO77+DN78-DW77,IF(A78&lt;'Données projet'!$A$166,$DL$205^A78,IF(A78='Données projet'!$A$166,'Données projet'!$B$166,DO77+DN78-DW77)))</f>
        <v>197</v>
      </c>
      <c r="DP78" s="18">
        <f>DO78*VLOOKUP('Données projet'!$B$14,Paramètres!$A$1:$I$89,3,0)*VLOOKUP('Données projet'!$B$14,Paramètres!$A$1:$I$89,5,0)</f>
        <v>190.5384</v>
      </c>
      <c r="DQ78" s="14">
        <f t="shared" si="97"/>
        <v>47.658965836673829</v>
      </c>
      <c r="DR78" s="22">
        <f t="shared" si="70"/>
        <v>414.86041216554025</v>
      </c>
      <c r="DS78" s="62">
        <f t="shared" si="71"/>
        <v>708.19374549887357</v>
      </c>
      <c r="DT78" s="62">
        <f ca="1">AVERAGE(OFFSET($DS$3,0,0,'Données projet'!$E$14+1,1))-AVERAGE(OFFSET($H$3,0,0,'Données projet'!$E$14+1,1))</f>
        <v>349.73011349954953</v>
      </c>
      <c r="DU78" s="62">
        <f t="shared" si="98"/>
        <v>154.08406475869634</v>
      </c>
      <c r="DV78" s="16">
        <f>IF(ISNA(VLOOKUP(A78,'Données projet'!$A$165:$I$185,3,0)),0,VLOOKUP(A78,'Données projet'!$A$165:$I$185,3,0))</f>
        <v>5</v>
      </c>
      <c r="DW78" s="16">
        <f>IF(ISNA(VLOOKUP(A78,'Données projet'!$A$165:$I$185,4,0)),0,VLOOKUP(A78,'Données projet'!$A$165:$I$185,4,0))</f>
        <v>28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-1.7053025658242404E-13</v>
      </c>
      <c r="O79" s="14">
        <f>N79*VLOOKUP('Données projet'!$B$9,Paramètres!$A$1:$I$89,3,0)*VLOOKUP('Données projet'!$B$9,Paramètres!$A$1:$I$89,5,0)</f>
        <v>-1.0197709343628959E-13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203.63995177374335</v>
      </c>
      <c r="T79" s="62">
        <f t="shared" si="88"/>
        <v>268.97461244918378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5.7016194734473808</v>
      </c>
      <c r="AA79" s="23">
        <f>EXP(-LN(2)/25)*AA78+(1-EXP(-LN(2)/25))/(LN(2)/25)*Calculateur!V79*Calculateur!X79*VLOOKUP('Données projet'!$B$9,Paramètres!$A$1:$I$89,3,0)*0.475*44/12</f>
        <v>3.5000766875056781</v>
      </c>
      <c r="AB79" s="23">
        <f>EXP(-LN(2)/2)*AB78+(1-EXP(-LN(2)/2))/(LN(2)/2)*V79*Y79*VLOOKUP('Données projet'!$B$9,Paramètres!$A$1:$I$89,3,0)*0.475*44/12</f>
        <v>3.8171721200942632E-7</v>
      </c>
      <c r="AC79" s="24">
        <f t="shared" si="57"/>
        <v>9.2016965426702715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173.6</v>
      </c>
      <c r="AJ79" s="14">
        <f>AI79*VLOOKUP('Données projet'!$B$10,Paramètres!$A$1:$I$89,3,0)*VLOOKUP('Données projet'!$B$10,Paramètres!$A$1:$I$89,5,0)</f>
        <v>176.03040000000001</v>
      </c>
      <c r="AK79" s="14">
        <f t="shared" si="89"/>
        <v>44.437880346232944</v>
      </c>
      <c r="AL79" s="22">
        <f t="shared" si="58"/>
        <v>383.98225493635573</v>
      </c>
      <c r="AM79" s="62">
        <f t="shared" si="59"/>
        <v>677.31558826968899</v>
      </c>
      <c r="AN79" s="62">
        <f ca="1">AVERAGE(OFFSET($AM$3,0,0,'Données projet'!$E$10+1,1))-AVERAGE(OFFSET($H$3,0,0,'Données projet'!$E$10+1,1))</f>
        <v>364.69354394930866</v>
      </c>
      <c r="AO79" s="62">
        <f t="shared" si="90"/>
        <v>159.6134369231965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2.4</v>
      </c>
      <c r="BD79" s="13">
        <f>IF('Données projet'!$A$88&gt;35,BD78+BC79-BL78,IF(A79&lt;'Données projet'!$A$88,$BA$205^A79,IF(A79='Données projet'!$A$88,'Données projet'!$B$88,BD78+BC79-BL78)))</f>
        <v>158.39999999999998</v>
      </c>
      <c r="BE79" s="14">
        <f>BD79*VLOOKUP('Données projet'!$B$11,Paramètres!$A$1:$I$89,3,0)*VLOOKUP('Données projet'!$B$11,Paramètres!$A$1:$I$89,5,0)</f>
        <v>138.37824000000001</v>
      </c>
      <c r="BF79" s="14">
        <f t="shared" si="91"/>
        <v>35.925231489823396</v>
      </c>
      <c r="BG79" s="22">
        <f t="shared" si="61"/>
        <v>303.57854617810909</v>
      </c>
      <c r="BH79" s="62">
        <f t="shared" si="62"/>
        <v>596.91187951144241</v>
      </c>
      <c r="BI79" s="62">
        <f ca="1">AVERAGE(OFFSET($BH$3,0,0,'Données projet'!$E$11+1,1))-AVERAGE(OFFSET($H$3,0,0,'Données projet'!$E$11+1,1))</f>
        <v>241.00707378755914</v>
      </c>
      <c r="BJ79" s="62">
        <f t="shared" si="92"/>
        <v>239.93573789765657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3.2051282051282044</v>
      </c>
      <c r="BY79" s="13">
        <f>IF('Données projet'!$A$114&gt;35,BY78+BX79-CG78,IF(A79&lt;'Données projet'!$A$114,$BV$205^A79,IF(A79='Données projet'!$A$114,'Données projet'!$B$114,BY78+BX79-CG78)))</f>
        <v>171.15384615384625</v>
      </c>
      <c r="BZ79" s="14">
        <f>BY79*VLOOKUP('Données projet'!$B$12,Paramètres!$A$1:$I$89,3,0)*VLOOKUP('Données projet'!$B$12,Paramètres!$A$1:$I$89,5,0)</f>
        <v>114.81000000000006</v>
      </c>
      <c r="CA79" s="14">
        <f t="shared" si="93"/>
        <v>30.46141986456006</v>
      </c>
      <c r="CB79" s="22">
        <f t="shared" si="64"/>
        <v>253.01438959744223</v>
      </c>
      <c r="CC79" s="62">
        <f t="shared" si="65"/>
        <v>546.34772293077549</v>
      </c>
      <c r="CD79" s="62">
        <f ca="1">AVERAGE(OFFSET($CC$3,0,0,'Données projet'!$E$12+1,1))-AVERAGE(OFFSET($H$3,0,0,'Données projet'!$E$12+1,1))</f>
        <v>207.91006140109965</v>
      </c>
      <c r="CE79" s="62">
        <f t="shared" si="94"/>
        <v>164.93317437647255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3.2051282051282044</v>
      </c>
      <c r="CT79" s="13">
        <f>IF('Données projet'!$A$140&gt;35,CT78+CS79-DB78,IF(A79&lt;'Données projet'!$A$140,$CQ$205^A79,IF(A79='Données projet'!$A$140,'Données projet'!$B$140,CT78+CS79-DB78)))</f>
        <v>171.15384615384625</v>
      </c>
      <c r="CU79" s="18">
        <f>CT79*VLOOKUP('Données projet'!$B$13,Paramètres!$A$1:$I$89,3,0)*VLOOKUP('Données projet'!$B$13,Paramètres!$A$1:$I$89,5,0)</f>
        <v>146.85000000000011</v>
      </c>
      <c r="CV79" s="14">
        <f t="shared" si="95"/>
        <v>37.86185499287182</v>
      </c>
      <c r="CW79" s="22">
        <f t="shared" si="67"/>
        <v>321.70648077925193</v>
      </c>
      <c r="CX79" s="62">
        <f t="shared" si="68"/>
        <v>615.03981411258519</v>
      </c>
      <c r="CY79" s="62">
        <f ca="1">AVERAGE(OFFSET($CX$3,0,0,'Données projet'!$E$13+1,1))-AVERAGE(OFFSET($H$3,0,0,'Données projet'!$E$13+1,1))</f>
        <v>255.77222823147724</v>
      </c>
      <c r="CZ79" s="62">
        <f t="shared" si="96"/>
        <v>199.6931080052031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4.5999999999999996</v>
      </c>
      <c r="DO79" s="13">
        <f>IF('Données projet'!$A$166&gt;35,DO78+DN79-DW78,IF(A79&lt;'Données projet'!$A$166,$DL$205^A79,IF(A79='Données projet'!$A$166,'Données projet'!$B$166,DO78+DN79-DW78)))</f>
        <v>173.6</v>
      </c>
      <c r="DP79" s="18">
        <f>DO79*VLOOKUP('Données projet'!$B$14,Paramètres!$A$1:$I$89,3,0)*VLOOKUP('Données projet'!$B$14,Paramètres!$A$1:$I$89,5,0)</f>
        <v>167.90591999999998</v>
      </c>
      <c r="DQ79" s="14">
        <f t="shared" si="97"/>
        <v>42.620681538886721</v>
      </c>
      <c r="DR79" s="22">
        <f t="shared" si="70"/>
        <v>366.66716434689437</v>
      </c>
      <c r="DS79" s="62">
        <f t="shared" si="71"/>
        <v>660.00049768022768</v>
      </c>
      <c r="DT79" s="62">
        <f ca="1">AVERAGE(OFFSET($DS$3,0,0,'Données projet'!$E$14+1,1))-AVERAGE(OFFSET($H$3,0,0,'Données projet'!$E$14+1,1))</f>
        <v>349.73011349954953</v>
      </c>
      <c r="DU79" s="62">
        <f t="shared" si="98"/>
        <v>154.08406475869634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-1.7053025658242404E-13</v>
      </c>
      <c r="O80" s="14">
        <f>N80*VLOOKUP('Données projet'!$B$9,Paramètres!$A$1:$I$89,3,0)*VLOOKUP('Données projet'!$B$9,Paramètres!$A$1:$I$89,5,0)</f>
        <v>-1.0197709343628959E-13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203.63995177374335</v>
      </c>
      <c r="T80" s="62">
        <f t="shared" si="88"/>
        <v>268.97461244918378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5.5898141932175678</v>
      </c>
      <c r="AA80" s="23">
        <f>EXP(-LN(2)/25)*AA79+(1-EXP(-LN(2)/25))/(LN(2)/25)*Calculateur!V80*Calculateur!X80*VLOOKUP('Données projet'!$B$9,Paramètres!$A$1:$I$89,3,0)*0.475*44/12</f>
        <v>3.4043669064248019</v>
      </c>
      <c r="AB80" s="23">
        <f>EXP(-LN(2)/2)*AB79+(1-EXP(-LN(2)/2))/(LN(2)/2)*V80*Y80*VLOOKUP('Données projet'!$B$9,Paramètres!$A$1:$I$89,3,0)*0.475*44/12</f>
        <v>2.6991482910748838E-7</v>
      </c>
      <c r="AC80" s="24">
        <f t="shared" si="57"/>
        <v>8.9941813695571984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178.2</v>
      </c>
      <c r="AJ80" s="14">
        <f>AI80*VLOOKUP('Données projet'!$B$10,Paramètres!$A$1:$I$89,3,0)*VLOOKUP('Données projet'!$B$10,Paramètres!$A$1:$I$89,5,0)</f>
        <v>180.69480000000001</v>
      </c>
      <c r="AK80" s="14">
        <f t="shared" si="89"/>
        <v>45.47673168866379</v>
      </c>
      <c r="AL80" s="22">
        <f t="shared" si="58"/>
        <v>393.91541769108943</v>
      </c>
      <c r="AM80" s="62">
        <f t="shared" si="59"/>
        <v>687.24875102442275</v>
      </c>
      <c r="AN80" s="62">
        <f ca="1">AVERAGE(OFFSET($AM$3,0,0,'Données projet'!$E$10+1,1))-AVERAGE(OFFSET($H$3,0,0,'Données projet'!$E$10+1,1))</f>
        <v>364.69354394930866</v>
      </c>
      <c r="AO80" s="62">
        <f t="shared" si="90"/>
        <v>159.6134369231965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2.4</v>
      </c>
      <c r="BD80" s="13">
        <f>IF('Données projet'!$A$88&gt;35,BD79+BC80-BL79,IF(A80&lt;'Données projet'!$A$88,$BA$205^A80,IF(A80='Données projet'!$A$88,'Données projet'!$B$88,BD79+BC80-BL79)))</f>
        <v>160.79999999999998</v>
      </c>
      <c r="BE80" s="14">
        <f>BD80*VLOOKUP('Données projet'!$B$11,Paramètres!$A$1:$I$89,3,0)*VLOOKUP('Données projet'!$B$11,Paramètres!$A$1:$I$89,5,0)</f>
        <v>140.47488000000001</v>
      </c>
      <c r="BF80" s="14">
        <f t="shared" si="91"/>
        <v>36.405772385199718</v>
      </c>
      <c r="BG80" s="22">
        <f t="shared" si="61"/>
        <v>308.06713623755621</v>
      </c>
      <c r="BH80" s="62">
        <f t="shared" si="62"/>
        <v>601.40046957088953</v>
      </c>
      <c r="BI80" s="62">
        <f ca="1">AVERAGE(OFFSET($BH$3,0,0,'Données projet'!$E$11+1,1))-AVERAGE(OFFSET($H$3,0,0,'Données projet'!$E$11+1,1))</f>
        <v>241.00707378755914</v>
      </c>
      <c r="BJ80" s="62">
        <f t="shared" si="92"/>
        <v>239.93573789765657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3.2051282051282044</v>
      </c>
      <c r="BY80" s="13">
        <f>IF('Données projet'!$A$114&gt;35,BY79+BX80-CG79,IF(A80&lt;'Données projet'!$A$114,$BV$205^A80,IF(A80='Données projet'!$A$114,'Données projet'!$B$114,BY79+BX80-CG79)))</f>
        <v>174.35897435897445</v>
      </c>
      <c r="BZ80" s="14">
        <f>BY80*VLOOKUP('Données projet'!$B$12,Paramètres!$A$1:$I$89,3,0)*VLOOKUP('Données projet'!$B$12,Paramètres!$A$1:$I$89,5,0)</f>
        <v>116.96000000000005</v>
      </c>
      <c r="CA80" s="14">
        <f t="shared" si="93"/>
        <v>30.964913833098269</v>
      </c>
      <c r="CB80" s="22">
        <f t="shared" si="64"/>
        <v>257.63589159264626</v>
      </c>
      <c r="CC80" s="62">
        <f t="shared" si="65"/>
        <v>550.96922492597957</v>
      </c>
      <c r="CD80" s="62">
        <f ca="1">AVERAGE(OFFSET($CC$3,0,0,'Données projet'!$E$12+1,1))-AVERAGE(OFFSET($H$3,0,0,'Données projet'!$E$12+1,1))</f>
        <v>207.91006140109965</v>
      </c>
      <c r="CE80" s="62">
        <f t="shared" si="94"/>
        <v>164.93317437647255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3.2051282051282044</v>
      </c>
      <c r="CT80" s="13">
        <f>IF('Données projet'!$A$140&gt;35,CT79+CS80-DB79,IF(A80&lt;'Données projet'!$A$140,$CQ$205^A80,IF(A80='Données projet'!$A$140,'Données projet'!$B$140,CT79+CS80-DB79)))</f>
        <v>174.35897435897445</v>
      </c>
      <c r="CU80" s="18">
        <f>CT80*VLOOKUP('Données projet'!$B$13,Paramètres!$A$1:$I$89,3,0)*VLOOKUP('Données projet'!$B$13,Paramètres!$A$1:$I$89,5,0)</f>
        <v>149.60000000000011</v>
      </c>
      <c r="CV80" s="14">
        <f t="shared" si="95"/>
        <v>38.487670063585554</v>
      </c>
      <c r="CW80" s="22">
        <f t="shared" si="67"/>
        <v>327.586025360745</v>
      </c>
      <c r="CX80" s="62">
        <f t="shared" si="68"/>
        <v>620.91935869407826</v>
      </c>
      <c r="CY80" s="62">
        <f ca="1">AVERAGE(OFFSET($CX$3,0,0,'Données projet'!$E$13+1,1))-AVERAGE(OFFSET($H$3,0,0,'Données projet'!$E$13+1,1))</f>
        <v>255.77222823147724</v>
      </c>
      <c r="CZ80" s="62">
        <f t="shared" si="96"/>
        <v>199.6931080052031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4.5999999999999996</v>
      </c>
      <c r="DO80" s="13">
        <f>IF('Données projet'!$A$166&gt;35,DO79+DN80-DW79,IF(A80&lt;'Données projet'!$A$166,$DL$205^A80,IF(A80='Données projet'!$A$166,'Données projet'!$B$166,DO79+DN80-DW79)))</f>
        <v>178.2</v>
      </c>
      <c r="DP80" s="18">
        <f>DO80*VLOOKUP('Données projet'!$B$14,Paramètres!$A$1:$I$89,3,0)*VLOOKUP('Données projet'!$B$14,Paramètres!$A$1:$I$89,5,0)</f>
        <v>172.35504</v>
      </c>
      <c r="DQ80" s="14">
        <f t="shared" si="97"/>
        <v>43.617051120131691</v>
      </c>
      <c r="DR80" s="22">
        <f t="shared" si="70"/>
        <v>376.15139203422933</v>
      </c>
      <c r="DS80" s="62">
        <f t="shared" si="71"/>
        <v>669.48472536756265</v>
      </c>
      <c r="DT80" s="62">
        <f ca="1">AVERAGE(OFFSET($DS$3,0,0,'Données projet'!$E$14+1,1))-AVERAGE(OFFSET($H$3,0,0,'Données projet'!$E$14+1,1))</f>
        <v>349.73011349954953</v>
      </c>
      <c r="DU80" s="62">
        <f t="shared" si="98"/>
        <v>154.08406475869634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-1.7053025658242404E-13</v>
      </c>
      <c r="O81" s="14">
        <f>N81*VLOOKUP('Données projet'!$B$9,Paramètres!$A$1:$I$89,3,0)*VLOOKUP('Données projet'!$B$9,Paramètres!$A$1:$I$89,5,0)</f>
        <v>-1.0197709343628959E-13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203.63995177374335</v>
      </c>
      <c r="T81" s="62">
        <f t="shared" si="88"/>
        <v>268.97461244918378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5.4802013463385739</v>
      </c>
      <c r="AA81" s="23">
        <f>EXP(-LN(2)/25)*AA80+(1-EXP(-LN(2)/25))/(LN(2)/25)*Calculateur!V81*Calculateur!X81*VLOOKUP('Données projet'!$B$9,Paramètres!$A$1:$I$89,3,0)*0.475*44/12</f>
        <v>3.311274314340741</v>
      </c>
      <c r="AB81" s="23">
        <f>EXP(-LN(2)/2)*AB80+(1-EXP(-LN(2)/2))/(LN(2)/2)*V81*Y81*VLOOKUP('Données projet'!$B$9,Paramètres!$A$1:$I$89,3,0)*0.475*44/12</f>
        <v>1.9085860600471316E-7</v>
      </c>
      <c r="AC81" s="24">
        <f t="shared" si="57"/>
        <v>8.7914758515379194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182.79999999999998</v>
      </c>
      <c r="AJ81" s="14">
        <f>AI81*VLOOKUP('Données projet'!$B$10,Paramètres!$A$1:$I$89,3,0)*VLOOKUP('Données projet'!$B$10,Paramètres!$A$1:$I$89,5,0)</f>
        <v>185.35919999999999</v>
      </c>
      <c r="AK81" s="14">
        <f t="shared" si="89"/>
        <v>46.512465899126433</v>
      </c>
      <c r="AL81" s="22">
        <f t="shared" si="58"/>
        <v>403.84315144097854</v>
      </c>
      <c r="AM81" s="62">
        <f t="shared" si="59"/>
        <v>697.1764847743118</v>
      </c>
      <c r="AN81" s="62">
        <f ca="1">AVERAGE(OFFSET($AM$3,0,0,'Données projet'!$E$10+1,1))-AVERAGE(OFFSET($H$3,0,0,'Données projet'!$E$10+1,1))</f>
        <v>364.69354394930866</v>
      </c>
      <c r="AO81" s="62">
        <f t="shared" si="90"/>
        <v>159.6134369231965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2.4</v>
      </c>
      <c r="BD81" s="13">
        <f>IF('Données projet'!$A$88&gt;35,BD80+BC81-BL80,IF(A81&lt;'Données projet'!$A$88,$BA$205^A81,IF(A81='Données projet'!$A$88,'Données projet'!$B$88,BD80+BC81-BL80)))</f>
        <v>163.19999999999999</v>
      </c>
      <c r="BE81" s="14">
        <f>BD81*VLOOKUP('Données projet'!$B$11,Paramètres!$A$1:$I$89,3,0)*VLOOKUP('Données projet'!$B$11,Paramètres!$A$1:$I$89,5,0)</f>
        <v>142.57151999999999</v>
      </c>
      <c r="BF81" s="14">
        <f t="shared" si="91"/>
        <v>36.885479122455578</v>
      </c>
      <c r="BG81" s="22">
        <f t="shared" si="61"/>
        <v>312.55427347161009</v>
      </c>
      <c r="BH81" s="62">
        <f t="shared" si="62"/>
        <v>605.8876068049434</v>
      </c>
      <c r="BI81" s="62">
        <f ca="1">AVERAGE(OFFSET($BH$3,0,0,'Données projet'!$E$11+1,1))-AVERAGE(OFFSET($H$3,0,0,'Données projet'!$E$11+1,1))</f>
        <v>241.00707378755914</v>
      </c>
      <c r="BJ81" s="62">
        <f t="shared" si="92"/>
        <v>239.93573789765657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3.2051282051282044</v>
      </c>
      <c r="BY81" s="13">
        <f>IF('Données projet'!$A$114&gt;35,BY80+BX81-CG80,IF(A81&lt;'Données projet'!$A$114,$BV$205^A81,IF(A81='Données projet'!$A$114,'Données projet'!$B$114,BY80+BX81-CG80)))</f>
        <v>177.56410256410265</v>
      </c>
      <c r="BZ81" s="14">
        <f>BY81*VLOOKUP('Données projet'!$B$12,Paramètres!$A$1:$I$89,3,0)*VLOOKUP('Données projet'!$B$12,Paramètres!$A$1:$I$89,5,0)</f>
        <v>119.11000000000007</v>
      </c>
      <c r="CA81" s="14">
        <f t="shared" si="93"/>
        <v>31.467331560315731</v>
      </c>
      <c r="CB81" s="22">
        <f t="shared" si="64"/>
        <v>262.25551913421668</v>
      </c>
      <c r="CC81" s="62">
        <f t="shared" si="65"/>
        <v>555.58885246754994</v>
      </c>
      <c r="CD81" s="62">
        <f ca="1">AVERAGE(OFFSET($CC$3,0,0,'Données projet'!$E$12+1,1))-AVERAGE(OFFSET($H$3,0,0,'Données projet'!$E$12+1,1))</f>
        <v>207.91006140109965</v>
      </c>
      <c r="CE81" s="62">
        <f t="shared" si="94"/>
        <v>164.93317437647255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3.2051282051282044</v>
      </c>
      <c r="CT81" s="13">
        <f>IF('Données projet'!$A$140&gt;35,CT80+CS81-DB80,IF(A81&lt;'Données projet'!$A$140,$CQ$205^A81,IF(A81='Données projet'!$A$140,'Données projet'!$B$140,CT80+CS81-DB80)))</f>
        <v>177.56410256410265</v>
      </c>
      <c r="CU81" s="18">
        <f>CT81*VLOOKUP('Données projet'!$B$13,Paramètres!$A$1:$I$89,3,0)*VLOOKUP('Données projet'!$B$13,Paramètres!$A$1:$I$89,5,0)</f>
        <v>152.35000000000008</v>
      </c>
      <c r="CV81" s="14">
        <f t="shared" si="95"/>
        <v>39.112147426043798</v>
      </c>
      <c r="CW81" s="22">
        <f t="shared" si="67"/>
        <v>333.46324010035977</v>
      </c>
      <c r="CX81" s="62">
        <f t="shared" si="68"/>
        <v>626.79657343369308</v>
      </c>
      <c r="CY81" s="62">
        <f ca="1">AVERAGE(OFFSET($CX$3,0,0,'Données projet'!$E$13+1,1))-AVERAGE(OFFSET($H$3,0,0,'Données projet'!$E$13+1,1))</f>
        <v>255.77222823147724</v>
      </c>
      <c r="CZ81" s="62">
        <f t="shared" si="96"/>
        <v>199.6931080052031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4.5999999999999996</v>
      </c>
      <c r="DO81" s="13">
        <f>IF('Données projet'!$A$166&gt;35,DO80+DN81-DW80,IF(A81&lt;'Données projet'!$A$166,$DL$205^A81,IF(A81='Données projet'!$A$166,'Données projet'!$B$166,DO80+DN81-DW80)))</f>
        <v>182.79999999999998</v>
      </c>
      <c r="DP81" s="18">
        <f>DO81*VLOOKUP('Données projet'!$B$14,Paramètres!$A$1:$I$89,3,0)*VLOOKUP('Données projet'!$B$14,Paramètres!$A$1:$I$89,5,0)</f>
        <v>176.80415999999997</v>
      </c>
      <c r="DQ81" s="14">
        <f t="shared" si="97"/>
        <v>44.610431038325757</v>
      </c>
      <c r="DR81" s="22">
        <f t="shared" si="70"/>
        <v>385.630412725084</v>
      </c>
      <c r="DS81" s="62">
        <f t="shared" si="71"/>
        <v>678.96374605841731</v>
      </c>
      <c r="DT81" s="62">
        <f ca="1">AVERAGE(OFFSET($DS$3,0,0,'Données projet'!$E$14+1,1))-AVERAGE(OFFSET($H$3,0,0,'Données projet'!$E$14+1,1))</f>
        <v>349.73011349954953</v>
      </c>
      <c r="DU81" s="62">
        <f t="shared" si="98"/>
        <v>154.08406475869634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-1.7053025658242404E-13</v>
      </c>
      <c r="O82" s="14">
        <f>N82*VLOOKUP('Données projet'!$B$9,Paramètres!$A$1:$I$89,3,0)*VLOOKUP('Données projet'!$B$9,Paramètres!$A$1:$I$89,5,0)</f>
        <v>-1.0197709343628959E-13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203.63995177374335</v>
      </c>
      <c r="T82" s="62">
        <f t="shared" si="88"/>
        <v>268.97461244918378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5.3727379405296425</v>
      </c>
      <c r="AA82" s="23">
        <f>EXP(-LN(2)/25)*AA81+(1-EXP(-LN(2)/25))/(LN(2)/25)*Calculateur!V82*Calculateur!X82*VLOOKUP('Données projet'!$B$9,Paramètres!$A$1:$I$89,3,0)*0.475*44/12</f>
        <v>3.2207273440827455</v>
      </c>
      <c r="AB82" s="23">
        <f>EXP(-LN(2)/2)*AB81+(1-EXP(-LN(2)/2))/(LN(2)/2)*V82*Y82*VLOOKUP('Données projet'!$B$9,Paramètres!$A$1:$I$89,3,0)*0.475*44/12</f>
        <v>1.3495741455374419E-7</v>
      </c>
      <c r="AC82" s="24">
        <f t="shared" si="57"/>
        <v>8.593465419569803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187.39999999999998</v>
      </c>
      <c r="AJ82" s="14">
        <f>AI82*VLOOKUP('Données projet'!$B$10,Paramètres!$A$1:$I$89,3,0)*VLOOKUP('Données projet'!$B$10,Paramètres!$A$1:$I$89,5,0)</f>
        <v>190.02359999999999</v>
      </c>
      <c r="AK82" s="14">
        <f t="shared" si="89"/>
        <v>47.545170438433438</v>
      </c>
      <c r="AL82" s="22">
        <f t="shared" si="58"/>
        <v>413.76560851360483</v>
      </c>
      <c r="AM82" s="62">
        <f t="shared" si="59"/>
        <v>707.09894184693815</v>
      </c>
      <c r="AN82" s="62">
        <f ca="1">AVERAGE(OFFSET($AM$3,0,0,'Données projet'!$E$10+1,1))-AVERAGE(OFFSET($H$3,0,0,'Données projet'!$E$10+1,1))</f>
        <v>364.69354394930866</v>
      </c>
      <c r="AO82" s="62">
        <f t="shared" si="90"/>
        <v>159.6134369231965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2.4</v>
      </c>
      <c r="BD82" s="13">
        <f>IF('Données projet'!$A$88&gt;35,BD81+BC82-BL81,IF(A82&lt;'Données projet'!$A$88,$BA$205^A82,IF(A82='Données projet'!$A$88,'Données projet'!$B$88,BD81+BC82-BL81)))</f>
        <v>165.6</v>
      </c>
      <c r="BE82" s="14">
        <f>BD82*VLOOKUP('Données projet'!$B$11,Paramètres!$A$1:$I$89,3,0)*VLOOKUP('Données projet'!$B$11,Paramètres!$A$1:$I$89,5,0)</f>
        <v>144.66816</v>
      </c>
      <c r="BF82" s="14">
        <f t="shared" si="91"/>
        <v>37.364365385783159</v>
      </c>
      <c r="BG82" s="22">
        <f t="shared" si="61"/>
        <v>317.03998171357233</v>
      </c>
      <c r="BH82" s="62">
        <f t="shared" si="62"/>
        <v>610.37331504690565</v>
      </c>
      <c r="BI82" s="62">
        <f ca="1">AVERAGE(OFFSET($BH$3,0,0,'Données projet'!$E$11+1,1))-AVERAGE(OFFSET($H$3,0,0,'Données projet'!$E$11+1,1))</f>
        <v>241.00707378755914</v>
      </c>
      <c r="BJ82" s="62">
        <f t="shared" si="92"/>
        <v>239.93573789765657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3.2051282051282044</v>
      </c>
      <c r="BY82" s="13">
        <f>IF('Données projet'!$A$114&gt;35,BY81+BX82-CG81,IF(A82&lt;'Données projet'!$A$114,$BV$205^A82,IF(A82='Données projet'!$A$114,'Données projet'!$B$114,BY81+BX82-CG81)))</f>
        <v>180.76923076923086</v>
      </c>
      <c r="BZ82" s="14">
        <f>BY82*VLOOKUP('Données projet'!$B$12,Paramètres!$A$1:$I$89,3,0)*VLOOKUP('Données projet'!$B$12,Paramètres!$A$1:$I$89,5,0)</f>
        <v>121.26000000000006</v>
      </c>
      <c r="CA82" s="14">
        <f t="shared" si="93"/>
        <v>31.968694713827716</v>
      </c>
      <c r="CB82" s="22">
        <f t="shared" si="64"/>
        <v>266.87330995991675</v>
      </c>
      <c r="CC82" s="62">
        <f t="shared" si="65"/>
        <v>560.20664329325007</v>
      </c>
      <c r="CD82" s="62">
        <f ca="1">AVERAGE(OFFSET($CC$3,0,0,'Données projet'!$E$12+1,1))-AVERAGE(OFFSET($H$3,0,0,'Données projet'!$E$12+1,1))</f>
        <v>207.91006140109965</v>
      </c>
      <c r="CE82" s="62">
        <f t="shared" si="94"/>
        <v>164.93317437647255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3.2051282051282044</v>
      </c>
      <c r="CT82" s="13">
        <f>IF('Données projet'!$A$140&gt;35,CT81+CS82-DB81,IF(A82&lt;'Données projet'!$A$140,$CQ$205^A82,IF(A82='Données projet'!$A$140,'Données projet'!$B$140,CT81+CS82-DB81)))</f>
        <v>180.76923076923086</v>
      </c>
      <c r="CU82" s="18">
        <f>CT82*VLOOKUP('Données projet'!$B$13,Paramètres!$A$1:$I$89,3,0)*VLOOKUP('Données projet'!$B$13,Paramètres!$A$1:$I$89,5,0)</f>
        <v>155.10000000000008</v>
      </c>
      <c r="CV82" s="14">
        <f t="shared" si="95"/>
        <v>39.735314011890537</v>
      </c>
      <c r="CW82" s="22">
        <f t="shared" si="67"/>
        <v>339.33817190404278</v>
      </c>
      <c r="CX82" s="62">
        <f t="shared" si="68"/>
        <v>632.6715052373761</v>
      </c>
      <c r="CY82" s="62">
        <f ca="1">AVERAGE(OFFSET($CX$3,0,0,'Données projet'!$E$13+1,1))-AVERAGE(OFFSET($H$3,0,0,'Données projet'!$E$13+1,1))</f>
        <v>255.77222823147724</v>
      </c>
      <c r="CZ82" s="62">
        <f t="shared" si="96"/>
        <v>199.6931080052031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4.5999999999999996</v>
      </c>
      <c r="DO82" s="13">
        <f>IF('Données projet'!$A$166&gt;35,DO81+DN82-DW81,IF(A82&lt;'Données projet'!$A$166,$DL$205^A82,IF(A82='Données projet'!$A$166,'Données projet'!$B$166,DO81+DN82-DW81)))</f>
        <v>187.39999999999998</v>
      </c>
      <c r="DP82" s="18">
        <f>DO82*VLOOKUP('Données projet'!$B$14,Paramètres!$A$1:$I$89,3,0)*VLOOKUP('Données projet'!$B$14,Paramètres!$A$1:$I$89,5,0)</f>
        <v>181.25327999999999</v>
      </c>
      <c r="DQ82" s="14">
        <f t="shared" si="97"/>
        <v>45.600905177745403</v>
      </c>
      <c r="DR82" s="22">
        <f t="shared" si="70"/>
        <v>395.10437251790654</v>
      </c>
      <c r="DS82" s="62">
        <f t="shared" si="71"/>
        <v>688.4377058512398</v>
      </c>
      <c r="DT82" s="62">
        <f ca="1">AVERAGE(OFFSET($DS$3,0,0,'Données projet'!$E$14+1,1))-AVERAGE(OFFSET($H$3,0,0,'Données projet'!$E$14+1,1))</f>
        <v>349.73011349954953</v>
      </c>
      <c r="DU82" s="62">
        <f t="shared" si="98"/>
        <v>154.08406475869634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-1.7053025658242404E-13</v>
      </c>
      <c r="O83" s="14">
        <f>N83*VLOOKUP('Données projet'!$B$9,Paramètres!$A$1:$I$89,3,0)*VLOOKUP('Données projet'!$B$9,Paramètres!$A$1:$I$89,5,0)</f>
        <v>-1.0197709343628959E-13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203.63995177374335</v>
      </c>
      <c r="T83" s="62">
        <f t="shared" si="88"/>
        <v>268.97461244918378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5.2673818265624188</v>
      </c>
      <c r="AA83" s="23">
        <f>EXP(-LN(2)/25)*AA82+(1-EXP(-LN(2)/25))/(LN(2)/25)*Calculateur!V83*Calculateur!X83*VLOOKUP('Données projet'!$B$9,Paramètres!$A$1:$I$89,3,0)*0.475*44/12</f>
        <v>3.1326563854881129</v>
      </c>
      <c r="AB83" s="23">
        <f>EXP(-LN(2)/2)*AB82+(1-EXP(-LN(2)/2))/(LN(2)/2)*V83*Y83*VLOOKUP('Données projet'!$B$9,Paramètres!$A$1:$I$89,3,0)*0.475*44/12</f>
        <v>9.5429303002356579E-8</v>
      </c>
      <c r="AC83" s="24">
        <f t="shared" si="57"/>
        <v>8.4000383074798357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191.99999999999997</v>
      </c>
      <c r="AJ83" s="14">
        <f>AI83*VLOOKUP('Données projet'!$B$10,Paramètres!$A$1:$I$89,3,0)*VLOOKUP('Données projet'!$B$10,Paramètres!$A$1:$I$89,5,0)</f>
        <v>194.68799999999999</v>
      </c>
      <c r="AK83" s="14">
        <f t="shared" si="89"/>
        <v>48.574928228914978</v>
      </c>
      <c r="AL83" s="22">
        <f t="shared" si="58"/>
        <v>423.68293333202695</v>
      </c>
      <c r="AM83" s="62">
        <f t="shared" si="59"/>
        <v>717.01626666536026</v>
      </c>
      <c r="AN83" s="62">
        <f ca="1">AVERAGE(OFFSET($AM$3,0,0,'Données projet'!$E$10+1,1))-AVERAGE(OFFSET($H$3,0,0,'Données projet'!$E$10+1,1))</f>
        <v>364.69354394930866</v>
      </c>
      <c r="AO83" s="62">
        <f t="shared" si="90"/>
        <v>159.6134369231965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168</v>
      </c>
      <c r="BB83" s="13">
        <f>VLOOKUP(A83,'Données projet'!$A$87:$I$107,9,0)</f>
        <v>2.4</v>
      </c>
      <c r="BC83" s="13">
        <f t="array" ref="BC83">INDEX(BB:BB,MIN(IF(ISNUMBER(BB83:BB279),ROW(BB83:BB279),"")))</f>
        <v>2.4</v>
      </c>
      <c r="BD83" s="13">
        <f>IF('Données projet'!$A$88&gt;35,BD82+BC83-BL82,IF(A83&lt;'Données projet'!$A$88,$BA$205^A83,IF(A83='Données projet'!$A$88,'Données projet'!$B$88,BD82+BC83-BL82)))</f>
        <v>168</v>
      </c>
      <c r="BE83" s="14">
        <f>BD83*VLOOKUP('Données projet'!$B$11,Paramètres!$A$1:$I$89,3,0)*VLOOKUP('Données projet'!$B$11,Paramètres!$A$1:$I$89,5,0)</f>
        <v>146.76480000000004</v>
      </c>
      <c r="BF83" s="14">
        <f t="shared" si="91"/>
        <v>37.842444439956665</v>
      </c>
      <c r="BG83" s="22">
        <f t="shared" si="61"/>
        <v>321.52428406625791</v>
      </c>
      <c r="BH83" s="62">
        <f t="shared" si="62"/>
        <v>614.85761739959116</v>
      </c>
      <c r="BI83" s="62">
        <f ca="1">AVERAGE(OFFSET($BH$3,0,0,'Données projet'!$E$11+1,1))-AVERAGE(OFFSET($H$3,0,0,'Données projet'!$E$11+1,1))</f>
        <v>241.00707378755914</v>
      </c>
      <c r="BJ83" s="62">
        <f t="shared" si="92"/>
        <v>239.93573789765657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16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183.97435897435898</v>
      </c>
      <c r="BW83" s="13">
        <f>VLOOKUP(A83,'Données projet'!$A$113:$I$133,9,0)</f>
        <v>3.2051282051282044</v>
      </c>
      <c r="BX83" s="13">
        <f t="array" ref="BX83">INDEX(BW:BW,MIN(IF(ISNUMBER(BW83:BW279),ROW(BW83:BW279),"")))</f>
        <v>3.2051282051282044</v>
      </c>
      <c r="BY83" s="13">
        <f>IF('Données projet'!$A$114&gt;35,BY82+BX83-CG82,IF(A83&lt;'Données projet'!$A$114,$BV$205^A83,IF(A83='Données projet'!$A$114,'Données projet'!$B$114,BY82+BX83-CG82)))</f>
        <v>183.97435897435906</v>
      </c>
      <c r="BZ83" s="14">
        <f>BY83*VLOOKUP('Données projet'!$B$12,Paramètres!$A$1:$I$89,3,0)*VLOOKUP('Données projet'!$B$12,Paramètres!$A$1:$I$89,5,0)</f>
        <v>123.41000000000005</v>
      </c>
      <c r="CA83" s="14">
        <f t="shared" si="93"/>
        <v>32.469024148887371</v>
      </c>
      <c r="CB83" s="22">
        <f t="shared" si="64"/>
        <v>271.48930039264559</v>
      </c>
      <c r="CC83" s="62">
        <f t="shared" si="65"/>
        <v>564.8226337259789</v>
      </c>
      <c r="CD83" s="62">
        <f ca="1">AVERAGE(OFFSET($CC$3,0,0,'Données projet'!$E$12+1,1))-AVERAGE(OFFSET($H$3,0,0,'Données projet'!$E$12+1,1))</f>
        <v>207.91006140109965</v>
      </c>
      <c r="CE83" s="62">
        <f t="shared" si="94"/>
        <v>164.93317437647255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18.589743589743588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183.97435897435898</v>
      </c>
      <c r="CR83" s="13">
        <f>VLOOKUP(A83,'Données projet'!$A$139:$I$159,9,0)</f>
        <v>3.2051282051282044</v>
      </c>
      <c r="CS83" s="13">
        <f t="array" ref="CS83">INDEX(CR:CR,MIN(IF(ISNUMBER(CR83:CR279),ROW(CR83:CR279),"")))</f>
        <v>3.2051282051282044</v>
      </c>
      <c r="CT83" s="13">
        <f>IF('Données projet'!$A$140&gt;35,CT82+CS83-DB82,IF(A83&lt;'Données projet'!$A$140,$CQ$205^A83,IF(A83='Données projet'!$A$140,'Données projet'!$B$140,CT82+CS83-DB82)))</f>
        <v>183.97435897435906</v>
      </c>
      <c r="CU83" s="18">
        <f>CT83*VLOOKUP('Données projet'!$B$13,Paramètres!$A$1:$I$89,3,0)*VLOOKUP('Données projet'!$B$13,Paramètres!$A$1:$I$89,5,0)</f>
        <v>157.85000000000008</v>
      </c>
      <c r="CV83" s="14">
        <f t="shared" si="95"/>
        <v>40.357195743048159</v>
      </c>
      <c r="CW83" s="22">
        <f t="shared" si="67"/>
        <v>345.21086591914235</v>
      </c>
      <c r="CX83" s="62">
        <f t="shared" si="68"/>
        <v>638.54419925247566</v>
      </c>
      <c r="CY83" s="62">
        <f ca="1">AVERAGE(OFFSET($CX$3,0,0,'Données projet'!$E$13+1,1))-AVERAGE(OFFSET($H$3,0,0,'Données projet'!$E$13+1,1))</f>
        <v>255.77222823147724</v>
      </c>
      <c r="CZ83" s="62">
        <f t="shared" si="96"/>
        <v>199.6931080052031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18.589743589743588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192</v>
      </c>
      <c r="DM83" s="13">
        <f>VLOOKUP(A83,'Données projet'!$A$165:$I$185,9,0)</f>
        <v>4.5999999999999996</v>
      </c>
      <c r="DN83" s="13">
        <f t="array" ref="DN83">INDEX(DM:DM,MIN(IF(ISNUMBER(DM83:DM279),ROW(DM83:DM279),"")))</f>
        <v>4.5999999999999996</v>
      </c>
      <c r="DO83" s="13">
        <f>IF('Données projet'!$A$166&gt;35,DO82+DN83-DW82,IF(A83&lt;'Données projet'!$A$166,$DL$205^A83,IF(A83='Données projet'!$A$166,'Données projet'!$B$166,DO82+DN83-DW82)))</f>
        <v>191.99999999999997</v>
      </c>
      <c r="DP83" s="18">
        <f>DO83*VLOOKUP('Données projet'!$B$14,Paramètres!$A$1:$I$89,3,0)*VLOOKUP('Données projet'!$B$14,Paramètres!$A$1:$I$89,5,0)</f>
        <v>185.70239999999998</v>
      </c>
      <c r="DQ83" s="14">
        <f t="shared" si="97"/>
        <v>46.588553069776829</v>
      </c>
      <c r="DR83" s="22">
        <f t="shared" si="70"/>
        <v>404.57340992986127</v>
      </c>
      <c r="DS83" s="62">
        <f t="shared" si="71"/>
        <v>697.90674326319458</v>
      </c>
      <c r="DT83" s="62">
        <f ca="1">AVERAGE(OFFSET($DS$3,0,0,'Données projet'!$E$14+1,1))-AVERAGE(OFFSET($H$3,0,0,'Données projet'!$E$14+1,1))</f>
        <v>349.73011349954953</v>
      </c>
      <c r="DU83" s="62">
        <f t="shared" si="98"/>
        <v>154.08406475869634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-1.7053025658242404E-13</v>
      </c>
      <c r="O84" s="14">
        <f>N84*VLOOKUP('Données projet'!$B$9,Paramètres!$A$1:$I$89,3,0)*VLOOKUP('Données projet'!$B$9,Paramètres!$A$1:$I$89,5,0)</f>
        <v>-1.0197709343628959E-13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203.63995177374335</v>
      </c>
      <c r="T84" s="62">
        <f t="shared" si="88"/>
        <v>268.97461244918378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5.1640916817292082</v>
      </c>
      <c r="AA84" s="23">
        <f>EXP(-LN(2)/25)*AA83+(1-EXP(-LN(2)/25))/(LN(2)/25)*Calculateur!V84*Calculateur!X84*VLOOKUP('Données projet'!$B$9,Paramètres!$A$1:$I$89,3,0)*0.475*44/12</f>
        <v>3.0469937318877007</v>
      </c>
      <c r="AB84" s="23">
        <f>EXP(-LN(2)/2)*AB83+(1-EXP(-LN(2)/2))/(LN(2)/2)*V84*Y84*VLOOKUP('Données projet'!$B$9,Paramètres!$A$1:$I$89,3,0)*0.475*44/12</f>
        <v>6.7478707276872096E-8</v>
      </c>
      <c r="AC84" s="24">
        <f t="shared" si="57"/>
        <v>8.2110854810956155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196.39999999999998</v>
      </c>
      <c r="AJ84" s="14">
        <f>AI84*VLOOKUP('Données projet'!$B$10,Paramètres!$A$1:$I$89,3,0)*VLOOKUP('Données projet'!$B$10,Paramètres!$A$1:$I$89,5,0)</f>
        <v>199.14959999999999</v>
      </c>
      <c r="AK84" s="14">
        <f t="shared" si="89"/>
        <v>49.557229221549441</v>
      </c>
      <c r="AL84" s="22">
        <f t="shared" si="58"/>
        <v>433.16439422753189</v>
      </c>
      <c r="AM84" s="62">
        <f t="shared" si="59"/>
        <v>726.4977275608652</v>
      </c>
      <c r="AN84" s="62">
        <f ca="1">AVERAGE(OFFSET($AM$3,0,0,'Données projet'!$E$10+1,1))-AVERAGE(OFFSET($H$3,0,0,'Données projet'!$E$10+1,1))</f>
        <v>364.69354394930866</v>
      </c>
      <c r="AO84" s="62">
        <f t="shared" si="90"/>
        <v>159.6134369231965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2.6</v>
      </c>
      <c r="BD84" s="13">
        <f>IF('Données projet'!$A$88&gt;35,BD83+BC84-BL83,IF(A84&lt;'Données projet'!$A$88,$BA$205^A84,IF(A84='Données projet'!$A$88,'Données projet'!$B$88,BD83+BC84-BL83)))</f>
        <v>154.6</v>
      </c>
      <c r="BE84" s="14">
        <f>BD84*VLOOKUP('Données projet'!$B$11,Paramètres!$A$1:$I$89,3,0)*VLOOKUP('Données projet'!$B$11,Paramètres!$A$1:$I$89,5,0)</f>
        <v>135.05856000000003</v>
      </c>
      <c r="BF84" s="14">
        <f t="shared" si="91"/>
        <v>35.16263443880888</v>
      </c>
      <c r="BG84" s="22">
        <f t="shared" si="61"/>
        <v>296.46858031425882</v>
      </c>
      <c r="BH84" s="62">
        <f t="shared" si="62"/>
        <v>589.80191364759207</v>
      </c>
      <c r="BI84" s="62">
        <f ca="1">AVERAGE(OFFSET($BH$3,0,0,'Données projet'!$E$11+1,1))-AVERAGE(OFFSET($H$3,0,0,'Données projet'!$E$11+1,1))</f>
        <v>241.00707378755914</v>
      </c>
      <c r="BJ84" s="62">
        <f t="shared" si="92"/>
        <v>239.93573789765657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2.9487179487179445</v>
      </c>
      <c r="BY84" s="13">
        <f>IF('Données projet'!$A$114&gt;35,BY83+BX84-CG83,IF(A84&lt;'Données projet'!$A$114,$BV$205^A84,IF(A84='Données projet'!$A$114,'Données projet'!$B$114,BY83+BX84-CG83)))</f>
        <v>168.33333333333343</v>
      </c>
      <c r="BZ84" s="14">
        <f>BY84*VLOOKUP('Données projet'!$B$12,Paramètres!$A$1:$I$89,3,0)*VLOOKUP('Données projet'!$B$12,Paramètres!$A$1:$I$89,5,0)</f>
        <v>112.91800000000006</v>
      </c>
      <c r="CA84" s="14">
        <f t="shared" si="93"/>
        <v>30.017437037525255</v>
      </c>
      <c r="CB84" s="22">
        <f t="shared" si="64"/>
        <v>248.94588617368993</v>
      </c>
      <c r="CC84" s="62">
        <f t="shared" si="65"/>
        <v>542.2792195070233</v>
      </c>
      <c r="CD84" s="62">
        <f ca="1">AVERAGE(OFFSET($CC$3,0,0,'Données projet'!$E$12+1,1))-AVERAGE(OFFSET($H$3,0,0,'Données projet'!$E$12+1,1))</f>
        <v>207.91006140109965</v>
      </c>
      <c r="CE84" s="62">
        <f t="shared" si="94"/>
        <v>164.93317437647255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2.9487179487179445</v>
      </c>
      <c r="CT84" s="13">
        <f>IF('Données projet'!$A$140&gt;35,CT83+CS84-DB83,IF(A84&lt;'Données projet'!$A$140,$CQ$205^A84,IF(A84='Données projet'!$A$140,'Données projet'!$B$140,CT83+CS84-DB83)))</f>
        <v>168.33333333333343</v>
      </c>
      <c r="CU84" s="18">
        <f>CT84*VLOOKUP('Données projet'!$B$13,Paramètres!$A$1:$I$89,3,0)*VLOOKUP('Données projet'!$B$13,Paramètres!$A$1:$I$89,5,0)</f>
        <v>144.43000000000012</v>
      </c>
      <c r="CV84" s="14">
        <f t="shared" si="95"/>
        <v>37.310008969565651</v>
      </c>
      <c r="CW84" s="22">
        <f t="shared" si="67"/>
        <v>316.53051562199369</v>
      </c>
      <c r="CX84" s="62">
        <f t="shared" si="68"/>
        <v>609.86384895532706</v>
      </c>
      <c r="CY84" s="62">
        <f ca="1">AVERAGE(OFFSET($CX$3,0,0,'Données projet'!$E$13+1,1))-AVERAGE(OFFSET($H$3,0,0,'Données projet'!$E$13+1,1))</f>
        <v>255.77222823147724</v>
      </c>
      <c r="CZ84" s="62">
        <f t="shared" si="96"/>
        <v>199.6931080052031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4.4000000000000004</v>
      </c>
      <c r="DO84" s="13">
        <f>IF('Données projet'!$A$166&gt;35,DO83+DN84-DW83,IF(A84&lt;'Données projet'!$A$166,$DL$205^A84,IF(A84='Données projet'!$A$166,'Données projet'!$B$166,DO83+DN84-DW83)))</f>
        <v>196.39999999999998</v>
      </c>
      <c r="DP84" s="18">
        <f>DO84*VLOOKUP('Données projet'!$B$14,Paramètres!$A$1:$I$89,3,0)*VLOOKUP('Données projet'!$B$14,Paramètres!$A$1:$I$89,5,0)</f>
        <v>189.95808</v>
      </c>
      <c r="DQ84" s="14">
        <f t="shared" si="97"/>
        <v>47.530684815400313</v>
      </c>
      <c r="DR84" s="22">
        <f t="shared" si="70"/>
        <v>413.62626538682224</v>
      </c>
      <c r="DS84" s="62">
        <f t="shared" si="71"/>
        <v>706.95959872015555</v>
      </c>
      <c r="DT84" s="62">
        <f ca="1">AVERAGE(OFFSET($DS$3,0,0,'Données projet'!$E$14+1,1))-AVERAGE(OFFSET($H$3,0,0,'Données projet'!$E$14+1,1))</f>
        <v>349.73011349954953</v>
      </c>
      <c r="DU84" s="62">
        <f t="shared" si="98"/>
        <v>154.08406475869634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-1.7053025658242404E-13</v>
      </c>
      <c r="O85" s="14">
        <f>N85*VLOOKUP('Données projet'!$B$9,Paramètres!$A$1:$I$89,3,0)*VLOOKUP('Données projet'!$B$9,Paramètres!$A$1:$I$89,5,0)</f>
        <v>-1.0197709343628959E-13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203.63995177374335</v>
      </c>
      <c r="T85" s="62">
        <f t="shared" si="88"/>
        <v>268.97461244918378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5.0628269936354089</v>
      </c>
      <c r="AA85" s="23">
        <f>EXP(-LN(2)/25)*AA84+(1-EXP(-LN(2)/25))/(LN(2)/25)*Calculateur!V85*Calculateur!X85*VLOOKUP('Données projet'!$B$9,Paramètres!$A$1:$I$89,3,0)*0.475*44/12</f>
        <v>2.963673528054795</v>
      </c>
      <c r="AB85" s="23">
        <f>EXP(-LN(2)/2)*AB84+(1-EXP(-LN(2)/2))/(LN(2)/2)*V85*Y85*VLOOKUP('Données projet'!$B$9,Paramètres!$A$1:$I$89,3,0)*0.475*44/12</f>
        <v>4.771465150117829E-8</v>
      </c>
      <c r="AC85" s="24">
        <f t="shared" si="57"/>
        <v>8.0265005694048561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200.79999999999998</v>
      </c>
      <c r="AJ85" s="14">
        <f>AI85*VLOOKUP('Données projet'!$B$10,Paramètres!$A$1:$I$89,3,0)*VLOOKUP('Données projet'!$B$10,Paramètres!$A$1:$I$89,5,0)</f>
        <v>203.61119999999997</v>
      </c>
      <c r="AK85" s="14">
        <f t="shared" si="89"/>
        <v>50.536971740137822</v>
      </c>
      <c r="AL85" s="22">
        <f t="shared" si="58"/>
        <v>442.64139911407329</v>
      </c>
      <c r="AM85" s="62">
        <f t="shared" si="59"/>
        <v>735.97473244740661</v>
      </c>
      <c r="AN85" s="62">
        <f ca="1">AVERAGE(OFFSET($AM$3,0,0,'Données projet'!$E$10+1,1))-AVERAGE(OFFSET($H$3,0,0,'Données projet'!$E$10+1,1))</f>
        <v>364.69354394930866</v>
      </c>
      <c r="AO85" s="62">
        <f t="shared" si="90"/>
        <v>159.6134369231965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2.6</v>
      </c>
      <c r="BD85" s="13">
        <f>IF('Données projet'!$A$88&gt;35,BD84+BC85-BL84,IF(A85&lt;'Données projet'!$A$88,$BA$205^A85,IF(A85='Données projet'!$A$88,'Données projet'!$B$88,BD84+BC85-BL84)))</f>
        <v>157.19999999999999</v>
      </c>
      <c r="BE85" s="14">
        <f>BD85*VLOOKUP('Données projet'!$B$11,Paramètres!$A$1:$I$89,3,0)*VLOOKUP('Données projet'!$B$11,Paramètres!$A$1:$I$89,5,0)</f>
        <v>137.32991999999999</v>
      </c>
      <c r="BF85" s="14">
        <f t="shared" si="91"/>
        <v>35.684643836992151</v>
      </c>
      <c r="BG85" s="22">
        <f t="shared" si="61"/>
        <v>301.33369868276128</v>
      </c>
      <c r="BH85" s="62">
        <f t="shared" si="62"/>
        <v>594.66703201609459</v>
      </c>
      <c r="BI85" s="62">
        <f ca="1">AVERAGE(OFFSET($BH$3,0,0,'Données projet'!$E$11+1,1))-AVERAGE(OFFSET($H$3,0,0,'Données projet'!$E$11+1,1))</f>
        <v>241.00707378755914</v>
      </c>
      <c r="BJ85" s="62">
        <f t="shared" si="92"/>
        <v>239.93573789765657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2.9487179487179445</v>
      </c>
      <c r="BY85" s="13">
        <f>IF('Données projet'!$A$114&gt;35,BY84+BX85-CG84,IF(A85&lt;'Données projet'!$A$114,$BV$205^A85,IF(A85='Données projet'!$A$114,'Données projet'!$B$114,BY84+BX85-CG84)))</f>
        <v>171.28205128205138</v>
      </c>
      <c r="BZ85" s="14">
        <f>BY85*VLOOKUP('Données projet'!$B$12,Paramètres!$A$1:$I$89,3,0)*VLOOKUP('Données projet'!$B$12,Paramètres!$A$1:$I$89,5,0)</f>
        <v>114.89600000000007</v>
      </c>
      <c r="CA85" s="14">
        <f t="shared" si="93"/>
        <v>30.481580566818689</v>
      </c>
      <c r="CB85" s="22">
        <f t="shared" si="64"/>
        <v>253.19928615387599</v>
      </c>
      <c r="CC85" s="62">
        <f t="shared" si="65"/>
        <v>546.53261948720933</v>
      </c>
      <c r="CD85" s="62">
        <f ca="1">AVERAGE(OFFSET($CC$3,0,0,'Données projet'!$E$12+1,1))-AVERAGE(OFFSET($H$3,0,0,'Données projet'!$E$12+1,1))</f>
        <v>207.91006140109965</v>
      </c>
      <c r="CE85" s="62">
        <f t="shared" si="94"/>
        <v>164.93317437647255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2.9487179487179445</v>
      </c>
      <c r="CT85" s="13">
        <f>IF('Données projet'!$A$140&gt;35,CT84+CS85-DB84,IF(A85&lt;'Données projet'!$A$140,$CQ$205^A85,IF(A85='Données projet'!$A$140,'Données projet'!$B$140,CT84+CS85-DB84)))</f>
        <v>171.28205128205138</v>
      </c>
      <c r="CU85" s="18">
        <f>CT85*VLOOKUP('Données projet'!$B$13,Paramètres!$A$1:$I$89,3,0)*VLOOKUP('Données projet'!$B$13,Paramètres!$A$1:$I$89,5,0)</f>
        <v>146.96000000000012</v>
      </c>
      <c r="CV85" s="14">
        <f t="shared" si="95"/>
        <v>37.886913627330252</v>
      </c>
      <c r="CW85" s="22">
        <f t="shared" si="67"/>
        <v>321.94170790093375</v>
      </c>
      <c r="CX85" s="62">
        <f t="shared" si="68"/>
        <v>615.27504123426706</v>
      </c>
      <c r="CY85" s="62">
        <f ca="1">AVERAGE(OFFSET($CX$3,0,0,'Données projet'!$E$13+1,1))-AVERAGE(OFFSET($H$3,0,0,'Données projet'!$E$13+1,1))</f>
        <v>255.77222823147724</v>
      </c>
      <c r="CZ85" s="62">
        <f t="shared" si="96"/>
        <v>199.6931080052031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4.4000000000000004</v>
      </c>
      <c r="DO85" s="13">
        <f>IF('Données projet'!$A$166&gt;35,DO84+DN85-DW84,IF(A85&lt;'Données projet'!$A$166,$DL$205^A85,IF(A85='Données projet'!$A$166,'Données projet'!$B$166,DO84+DN85-DW84)))</f>
        <v>200.79999999999998</v>
      </c>
      <c r="DP85" s="18">
        <f>DO85*VLOOKUP('Données projet'!$B$14,Paramètres!$A$1:$I$89,3,0)*VLOOKUP('Données projet'!$B$14,Paramètres!$A$1:$I$89,5,0)</f>
        <v>194.21376000000001</v>
      </c>
      <c r="DQ85" s="14">
        <f t="shared" si="97"/>
        <v>48.470362710689521</v>
      </c>
      <c r="DR85" s="22">
        <f t="shared" si="70"/>
        <v>422.67484705445094</v>
      </c>
      <c r="DS85" s="62">
        <f t="shared" si="71"/>
        <v>716.00818038778425</v>
      </c>
      <c r="DT85" s="62">
        <f ca="1">AVERAGE(OFFSET($DS$3,0,0,'Données projet'!$E$14+1,1))-AVERAGE(OFFSET($H$3,0,0,'Données projet'!$E$14+1,1))</f>
        <v>349.73011349954953</v>
      </c>
      <c r="DU85" s="62">
        <f t="shared" si="98"/>
        <v>154.08406475869634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-1.7053025658242404E-13</v>
      </c>
      <c r="O86" s="14">
        <f>N86*VLOOKUP('Données projet'!$B$9,Paramètres!$A$1:$I$89,3,0)*VLOOKUP('Données projet'!$B$9,Paramètres!$A$1:$I$89,5,0)</f>
        <v>-1.0197709343628959E-13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203.63995177374335</v>
      </c>
      <c r="T86" s="62">
        <f t="shared" si="88"/>
        <v>268.97461244918378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4.9635480443097677</v>
      </c>
      <c r="AA86" s="23">
        <f>EXP(-LN(2)/25)*AA85+(1-EXP(-LN(2)/25))/(LN(2)/25)*Calculateur!V86*Calculateur!X86*VLOOKUP('Données projet'!$B$9,Paramètres!$A$1:$I$89,3,0)*0.475*44/12</f>
        <v>2.8826317195773195</v>
      </c>
      <c r="AB86" s="23">
        <f>EXP(-LN(2)/2)*AB85+(1-EXP(-LN(2)/2))/(LN(2)/2)*V86*Y86*VLOOKUP('Données projet'!$B$9,Paramètres!$A$1:$I$89,3,0)*0.475*44/12</f>
        <v>3.3739353638436048E-8</v>
      </c>
      <c r="AC86" s="24">
        <f t="shared" si="57"/>
        <v>7.8461797976264407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205.2</v>
      </c>
      <c r="AJ86" s="14">
        <f>AI86*VLOOKUP('Données projet'!$B$10,Paramètres!$A$1:$I$89,3,0)*VLOOKUP('Données projet'!$B$10,Paramètres!$A$1:$I$89,5,0)</f>
        <v>208.0728</v>
      </c>
      <c r="AK86" s="14">
        <f t="shared" si="89"/>
        <v>51.514218302854317</v>
      </c>
      <c r="AL86" s="22">
        <f t="shared" si="58"/>
        <v>452.11405687747123</v>
      </c>
      <c r="AM86" s="62">
        <f t="shared" si="59"/>
        <v>745.44739021080454</v>
      </c>
      <c r="AN86" s="62">
        <f ca="1">AVERAGE(OFFSET($AM$3,0,0,'Données projet'!$E$10+1,1))-AVERAGE(OFFSET($H$3,0,0,'Données projet'!$E$10+1,1))</f>
        <v>364.69354394930866</v>
      </c>
      <c r="AO86" s="62">
        <f t="shared" si="90"/>
        <v>159.6134369231965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2.6</v>
      </c>
      <c r="BD86" s="13">
        <f>IF('Données projet'!$A$88&gt;35,BD85+BC86-BL85,IF(A86&lt;'Données projet'!$A$88,$BA$205^A86,IF(A86='Données projet'!$A$88,'Données projet'!$B$88,BD85+BC86-BL85)))</f>
        <v>159.79999999999998</v>
      </c>
      <c r="BE86" s="14">
        <f>BD86*VLOOKUP('Données projet'!$B$11,Paramètres!$A$1:$I$89,3,0)*VLOOKUP('Données projet'!$B$11,Paramètres!$A$1:$I$89,5,0)</f>
        <v>139.60128</v>
      </c>
      <c r="BF86" s="14">
        <f t="shared" si="91"/>
        <v>36.205649185823056</v>
      </c>
      <c r="BG86" s="22">
        <f t="shared" si="61"/>
        <v>306.19706833197517</v>
      </c>
      <c r="BH86" s="62">
        <f t="shared" si="62"/>
        <v>599.53040166530855</v>
      </c>
      <c r="BI86" s="62">
        <f ca="1">AVERAGE(OFFSET($BH$3,0,0,'Données projet'!$E$11+1,1))-AVERAGE(OFFSET($H$3,0,0,'Données projet'!$E$11+1,1))</f>
        <v>241.00707378755914</v>
      </c>
      <c r="BJ86" s="62">
        <f t="shared" si="92"/>
        <v>239.93573789765657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2.9487179487179445</v>
      </c>
      <c r="BY86" s="13">
        <f>IF('Données projet'!$A$114&gt;35,BY85+BX86-CG85,IF(A86&lt;'Données projet'!$A$114,$BV$205^A86,IF(A86='Données projet'!$A$114,'Données projet'!$B$114,BY85+BX86-CG85)))</f>
        <v>174.23076923076934</v>
      </c>
      <c r="BZ86" s="14">
        <f>BY86*VLOOKUP('Données projet'!$B$12,Paramètres!$A$1:$I$89,3,0)*VLOOKUP('Données projet'!$B$12,Paramètres!$A$1:$I$89,5,0)</f>
        <v>116.87400000000008</v>
      </c>
      <c r="CA86" s="14">
        <f t="shared" si="93"/>
        <v>30.94479488526294</v>
      </c>
      <c r="CB86" s="22">
        <f t="shared" si="64"/>
        <v>257.45106775849973</v>
      </c>
      <c r="CC86" s="62">
        <f t="shared" si="65"/>
        <v>550.78440109183305</v>
      </c>
      <c r="CD86" s="62">
        <f ca="1">AVERAGE(OFFSET($CC$3,0,0,'Données projet'!$E$12+1,1))-AVERAGE(OFFSET($H$3,0,0,'Données projet'!$E$12+1,1))</f>
        <v>207.91006140109965</v>
      </c>
      <c r="CE86" s="62">
        <f t="shared" si="94"/>
        <v>164.93317437647255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2.9487179487179445</v>
      </c>
      <c r="CT86" s="13">
        <f>IF('Données projet'!$A$140&gt;35,CT85+CS86-DB85,IF(A86&lt;'Données projet'!$A$140,$CQ$205^A86,IF(A86='Données projet'!$A$140,'Données projet'!$B$140,CT85+CS86-DB85)))</f>
        <v>174.23076923076934</v>
      </c>
      <c r="CU86" s="18">
        <f>CT86*VLOOKUP('Données projet'!$B$13,Paramètres!$A$1:$I$89,3,0)*VLOOKUP('Données projet'!$B$13,Paramètres!$A$1:$I$89,5,0)</f>
        <v>149.49000000000012</v>
      </c>
      <c r="CV86" s="14">
        <f t="shared" si="95"/>
        <v>38.462663327558857</v>
      </c>
      <c r="CW86" s="22">
        <f t="shared" si="67"/>
        <v>327.35088862883191</v>
      </c>
      <c r="CX86" s="62">
        <f t="shared" si="68"/>
        <v>620.68422196216522</v>
      </c>
      <c r="CY86" s="62">
        <f ca="1">AVERAGE(OFFSET($CX$3,0,0,'Données projet'!$E$13+1,1))-AVERAGE(OFFSET($H$3,0,0,'Données projet'!$E$13+1,1))</f>
        <v>255.77222823147724</v>
      </c>
      <c r="CZ86" s="62">
        <f t="shared" si="96"/>
        <v>199.6931080052031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4.4000000000000004</v>
      </c>
      <c r="DO86" s="13">
        <f>IF('Données projet'!$A$166&gt;35,DO85+DN86-DW85,IF(A86&lt;'Données projet'!$A$166,$DL$205^A86,IF(A86='Données projet'!$A$166,'Données projet'!$B$166,DO85+DN86-DW85)))</f>
        <v>205.2</v>
      </c>
      <c r="DP86" s="18">
        <f>DO86*VLOOKUP('Données projet'!$B$14,Paramètres!$A$1:$I$89,3,0)*VLOOKUP('Données projet'!$B$14,Paramètres!$A$1:$I$89,5,0)</f>
        <v>198.46943999999999</v>
      </c>
      <c r="DQ86" s="14">
        <f t="shared" si="97"/>
        <v>49.407646717262175</v>
      </c>
      <c r="DR86" s="22">
        <f t="shared" si="70"/>
        <v>431.71925936589827</v>
      </c>
      <c r="DS86" s="62">
        <f t="shared" si="71"/>
        <v>725.05259269923158</v>
      </c>
      <c r="DT86" s="62">
        <f ca="1">AVERAGE(OFFSET($DS$3,0,0,'Données projet'!$E$14+1,1))-AVERAGE(OFFSET($H$3,0,0,'Données projet'!$E$14+1,1))</f>
        <v>349.73011349954953</v>
      </c>
      <c r="DU86" s="62">
        <f t="shared" si="98"/>
        <v>154.08406475869634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-1.7053025658242404E-13</v>
      </c>
      <c r="O87" s="14">
        <f>N87*VLOOKUP('Données projet'!$B$9,Paramètres!$A$1:$I$89,3,0)*VLOOKUP('Données projet'!$B$9,Paramètres!$A$1:$I$89,5,0)</f>
        <v>-1.0197709343628959E-13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203.63995177374335</v>
      </c>
      <c r="T87" s="62">
        <f t="shared" si="88"/>
        <v>268.97461244918378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4.8662158946262224</v>
      </c>
      <c r="AA87" s="23">
        <f>EXP(-LN(2)/25)*AA86+(1-EXP(-LN(2)/25))/(LN(2)/25)*Calculateur!V87*Calculateur!X87*VLOOKUP('Données projet'!$B$9,Paramètres!$A$1:$I$89,3,0)*0.475*44/12</f>
        <v>2.8038060036144641</v>
      </c>
      <c r="AB87" s="23">
        <f>EXP(-LN(2)/2)*AB86+(1-EXP(-LN(2)/2))/(LN(2)/2)*V87*Y87*VLOOKUP('Données projet'!$B$9,Paramètres!$A$1:$I$89,3,0)*0.475*44/12</f>
        <v>2.3857325750589145E-8</v>
      </c>
      <c r="AC87" s="24">
        <f t="shared" si="57"/>
        <v>7.6700219220980124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209.6</v>
      </c>
      <c r="AJ87" s="14">
        <f>AI87*VLOOKUP('Données projet'!$B$10,Paramètres!$A$1:$I$89,3,0)*VLOOKUP('Données projet'!$B$10,Paramètres!$A$1:$I$89,5,0)</f>
        <v>212.53440000000003</v>
      </c>
      <c r="AK87" s="14">
        <f t="shared" si="89"/>
        <v>52.489028593627587</v>
      </c>
      <c r="AL87" s="22">
        <f t="shared" si="58"/>
        <v>461.58247146723471</v>
      </c>
      <c r="AM87" s="62">
        <f t="shared" si="59"/>
        <v>754.91580480056803</v>
      </c>
      <c r="AN87" s="62">
        <f ca="1">AVERAGE(OFFSET($AM$3,0,0,'Données projet'!$E$10+1,1))-AVERAGE(OFFSET($H$3,0,0,'Données projet'!$E$10+1,1))</f>
        <v>364.69354394930866</v>
      </c>
      <c r="AO87" s="62">
        <f t="shared" si="90"/>
        <v>159.6134369231965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2.6</v>
      </c>
      <c r="BD87" s="13">
        <f>IF('Données projet'!$A$88&gt;35,BD86+BC87-BL86,IF(A87&lt;'Données projet'!$A$88,$BA$205^A87,IF(A87='Données projet'!$A$88,'Données projet'!$B$88,BD86+BC87-BL86)))</f>
        <v>162.39999999999998</v>
      </c>
      <c r="BE87" s="14">
        <f>BD87*VLOOKUP('Données projet'!$B$11,Paramètres!$A$1:$I$89,3,0)*VLOOKUP('Données projet'!$B$11,Paramètres!$A$1:$I$89,5,0)</f>
        <v>141.87264000000002</v>
      </c>
      <c r="BF87" s="14">
        <f t="shared" si="91"/>
        <v>36.725668707420816</v>
      </c>
      <c r="BG87" s="22">
        <f t="shared" si="61"/>
        <v>311.05872099875796</v>
      </c>
      <c r="BH87" s="62">
        <f t="shared" si="62"/>
        <v>604.39205433209122</v>
      </c>
      <c r="BI87" s="62">
        <f ca="1">AVERAGE(OFFSET($BH$3,0,0,'Données projet'!$E$11+1,1))-AVERAGE(OFFSET($H$3,0,0,'Données projet'!$E$11+1,1))</f>
        <v>241.00707378755914</v>
      </c>
      <c r="BJ87" s="62">
        <f t="shared" si="92"/>
        <v>239.93573789765657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2.9487179487179445</v>
      </c>
      <c r="BY87" s="13">
        <f>IF('Données projet'!$A$114&gt;35,BY86+BX87-CG86,IF(A87&lt;'Données projet'!$A$114,$BV$205^A87,IF(A87='Données projet'!$A$114,'Données projet'!$B$114,BY86+BX87-CG86)))</f>
        <v>177.1794871794873</v>
      </c>
      <c r="BZ87" s="14">
        <f>BY87*VLOOKUP('Données projet'!$B$12,Paramètres!$A$1:$I$89,3,0)*VLOOKUP('Données projet'!$B$12,Paramètres!$A$1:$I$89,5,0)</f>
        <v>118.85200000000007</v>
      </c>
      <c r="CA87" s="14">
        <f t="shared" si="93"/>
        <v>31.407097533947248</v>
      </c>
      <c r="CB87" s="22">
        <f t="shared" si="64"/>
        <v>261.70126153829159</v>
      </c>
      <c r="CC87" s="62">
        <f t="shared" si="65"/>
        <v>555.0345948716249</v>
      </c>
      <c r="CD87" s="62">
        <f ca="1">AVERAGE(OFFSET($CC$3,0,0,'Données projet'!$E$12+1,1))-AVERAGE(OFFSET($H$3,0,0,'Données projet'!$E$12+1,1))</f>
        <v>207.91006140109965</v>
      </c>
      <c r="CE87" s="62">
        <f t="shared" si="94"/>
        <v>164.93317437647255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2.9487179487179445</v>
      </c>
      <c r="CT87" s="13">
        <f>IF('Données projet'!$A$140&gt;35,CT86+CS87-DB86,IF(A87&lt;'Données projet'!$A$140,$CQ$205^A87,IF(A87='Données projet'!$A$140,'Données projet'!$B$140,CT86+CS87-DB86)))</f>
        <v>177.1794871794873</v>
      </c>
      <c r="CU87" s="18">
        <f>CT87*VLOOKUP('Données projet'!$B$13,Paramètres!$A$1:$I$89,3,0)*VLOOKUP('Données projet'!$B$13,Paramètres!$A$1:$I$89,5,0)</f>
        <v>152.02000000000012</v>
      </c>
      <c r="CV87" s="14">
        <f t="shared" si="95"/>
        <v>39.037279872852309</v>
      </c>
      <c r="CW87" s="22">
        <f t="shared" si="67"/>
        <v>332.75809577855131</v>
      </c>
      <c r="CX87" s="62">
        <f t="shared" si="68"/>
        <v>626.09142911188462</v>
      </c>
      <c r="CY87" s="62">
        <f ca="1">AVERAGE(OFFSET($CX$3,0,0,'Données projet'!$E$13+1,1))-AVERAGE(OFFSET($H$3,0,0,'Données projet'!$E$13+1,1))</f>
        <v>255.77222823147724</v>
      </c>
      <c r="CZ87" s="62">
        <f t="shared" si="96"/>
        <v>199.6931080052031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4.4000000000000004</v>
      </c>
      <c r="DO87" s="13">
        <f>IF('Données projet'!$A$166&gt;35,DO86+DN87-DW86,IF(A87&lt;'Données projet'!$A$166,$DL$205^A87,IF(A87='Données projet'!$A$166,'Données projet'!$B$166,DO86+DN87-DW86)))</f>
        <v>209.6</v>
      </c>
      <c r="DP87" s="18">
        <f>DO87*VLOOKUP('Données projet'!$B$14,Paramètres!$A$1:$I$89,3,0)*VLOOKUP('Données projet'!$B$14,Paramètres!$A$1:$I$89,5,0)</f>
        <v>202.72512</v>
      </c>
      <c r="DQ87" s="14">
        <f t="shared" si="97"/>
        <v>50.342594078391187</v>
      </c>
      <c r="DR87" s="22">
        <f t="shared" si="70"/>
        <v>440.75960201986459</v>
      </c>
      <c r="DS87" s="62">
        <f t="shared" si="71"/>
        <v>734.09293535319784</v>
      </c>
      <c r="DT87" s="62">
        <f ca="1">AVERAGE(OFFSET($DS$3,0,0,'Données projet'!$E$14+1,1))-AVERAGE(OFFSET($H$3,0,0,'Données projet'!$E$14+1,1))</f>
        <v>349.73011349954953</v>
      </c>
      <c r="DU87" s="62">
        <f t="shared" si="98"/>
        <v>154.08406475869634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-1.7053025658242404E-13</v>
      </c>
      <c r="O88" s="14">
        <f>N88*VLOOKUP('Données projet'!$B$9,Paramètres!$A$1:$I$89,3,0)*VLOOKUP('Données projet'!$B$9,Paramètres!$A$1:$I$89,5,0)</f>
        <v>-1.0197709343628959E-13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203.63995177374335</v>
      </c>
      <c r="T88" s="62">
        <f t="shared" si="88"/>
        <v>268.97461244918378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4.7707923690312226</v>
      </c>
      <c r="AA88" s="23">
        <f>EXP(-LN(2)/25)*AA87+(1-EXP(-LN(2)/25))/(LN(2)/25)*Calculateur!V88*Calculateur!X88*VLOOKUP('Données projet'!$B$9,Paramètres!$A$1:$I$89,3,0)*0.475*44/12</f>
        <v>2.7271357809998769</v>
      </c>
      <c r="AB88" s="23">
        <f>EXP(-LN(2)/2)*AB87+(1-EXP(-LN(2)/2))/(LN(2)/2)*V88*Y88*VLOOKUP('Données projet'!$B$9,Paramètres!$A$1:$I$89,3,0)*0.475*44/12</f>
        <v>1.6869676819218024E-8</v>
      </c>
      <c r="AC88" s="24">
        <f t="shared" si="57"/>
        <v>7.4979281669007767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214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214</v>
      </c>
      <c r="AJ88" s="14">
        <f>AI88*VLOOKUP('Données projet'!$B$10,Paramètres!$A$1:$I$89,3,0)*VLOOKUP('Données projet'!$B$10,Paramètres!$A$1:$I$89,5,0)</f>
        <v>216.99600000000001</v>
      </c>
      <c r="AK88" s="14">
        <f t="shared" si="89"/>
        <v>53.461459647386917</v>
      </c>
      <c r="AL88" s="22">
        <f t="shared" si="58"/>
        <v>471.04674221919896</v>
      </c>
      <c r="AM88" s="62">
        <f t="shared" si="59"/>
        <v>764.38007555253228</v>
      </c>
      <c r="AN88" s="62">
        <f ca="1">AVERAGE(OFFSET($AM$3,0,0,'Données projet'!$E$10+1,1))-AVERAGE(OFFSET($H$3,0,0,'Données projet'!$E$10+1,1))</f>
        <v>364.69354394930866</v>
      </c>
      <c r="AO88" s="62">
        <f t="shared" si="90"/>
        <v>159.6134369231965</v>
      </c>
      <c r="AP88" s="16">
        <f>IF(ISNA(VLOOKUP(A88,'Données projet'!$A$61:$I$81,3,0)),0,VLOOKUP(A88,'Données projet'!$A$61:$I$81,3,0))</f>
        <v>6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165</v>
      </c>
      <c r="BB88" s="13">
        <f>VLOOKUP(A88,'Données projet'!$A$87:$I$107,9,0)</f>
        <v>2.6</v>
      </c>
      <c r="BC88" s="13">
        <f t="array" ref="BC88">INDEX(BB:BB,MIN(IF(ISNUMBER(BB88:BB284),ROW(BB88:BB284),"")))</f>
        <v>2.6</v>
      </c>
      <c r="BD88" s="13">
        <f>IF('Données projet'!$A$88&gt;35,BD87+BC88-BL87,IF(A88&lt;'Données projet'!$A$88,$BA$205^A88,IF(A88='Données projet'!$A$88,'Données projet'!$B$88,BD87+BC88-BL87)))</f>
        <v>164.99999999999997</v>
      </c>
      <c r="BE88" s="14">
        <f>BD88*VLOOKUP('Données projet'!$B$11,Paramètres!$A$1:$I$89,3,0)*VLOOKUP('Données projet'!$B$11,Paramètres!$A$1:$I$89,5,0)</f>
        <v>144.14400000000001</v>
      </c>
      <c r="BF88" s="14">
        <f t="shared" si="91"/>
        <v>37.244720006976252</v>
      </c>
      <c r="BG88" s="22">
        <f t="shared" si="61"/>
        <v>315.91868734548365</v>
      </c>
      <c r="BH88" s="62">
        <f t="shared" si="62"/>
        <v>609.25202067881696</v>
      </c>
      <c r="BI88" s="62">
        <f ca="1">AVERAGE(OFFSET($BH$3,0,0,'Données projet'!$E$11+1,1))-AVERAGE(OFFSET($H$3,0,0,'Données projet'!$E$11+1,1))</f>
        <v>241.00707378755914</v>
      </c>
      <c r="BJ88" s="62">
        <f t="shared" si="92"/>
        <v>239.93573789765657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180.12820512820511</v>
      </c>
      <c r="BW88" s="13">
        <f>VLOOKUP(A88,'Données projet'!$A$113:$I$133,9,0)</f>
        <v>2.9487179487179445</v>
      </c>
      <c r="BX88" s="13">
        <f t="array" ref="BX88">INDEX(BW:BW,MIN(IF(ISNUMBER(BW88:BW284),ROW(BW88:BW284),"")))</f>
        <v>2.9487179487179445</v>
      </c>
      <c r="BY88" s="13">
        <f>IF('Données projet'!$A$114&gt;35,BY87+BX88-CG87,IF(A88&lt;'Données projet'!$A$114,$BV$205^A88,IF(A88='Données projet'!$A$114,'Données projet'!$B$114,BY87+BX88-CG87)))</f>
        <v>180.12820512820525</v>
      </c>
      <c r="BZ88" s="14">
        <f>BY88*VLOOKUP('Données projet'!$B$12,Paramètres!$A$1:$I$89,3,0)*VLOOKUP('Données projet'!$B$12,Paramètres!$A$1:$I$89,5,0)</f>
        <v>120.8300000000001</v>
      </c>
      <c r="CA88" s="14">
        <f t="shared" si="93"/>
        <v>31.868505436636539</v>
      </c>
      <c r="CB88" s="22">
        <f t="shared" si="64"/>
        <v>265.94989696880884</v>
      </c>
      <c r="CC88" s="62">
        <f t="shared" si="65"/>
        <v>559.2832303021421</v>
      </c>
      <c r="CD88" s="62">
        <f ca="1">AVERAGE(OFFSET($CC$3,0,0,'Données projet'!$E$12+1,1))-AVERAGE(OFFSET($H$3,0,0,'Données projet'!$E$12+1,1))</f>
        <v>207.91006140109965</v>
      </c>
      <c r="CE88" s="62">
        <f t="shared" si="94"/>
        <v>164.93317437647255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180.12820512820511</v>
      </c>
      <c r="CR88" s="13">
        <f>VLOOKUP(A88,'Données projet'!$A$139:$I$159,9,0)</f>
        <v>2.9487179487179445</v>
      </c>
      <c r="CS88" s="13">
        <f t="array" ref="CS88">INDEX(CR:CR,MIN(IF(ISNUMBER(CR88:CR284),ROW(CR88:CR284),"")))</f>
        <v>2.9487179487179445</v>
      </c>
      <c r="CT88" s="13">
        <f>IF('Données projet'!$A$140&gt;35,CT87+CS88-DB87,IF(A88&lt;'Données projet'!$A$140,$CQ$205^A88,IF(A88='Données projet'!$A$140,'Données projet'!$B$140,CT87+CS88-DB87)))</f>
        <v>180.12820512820525</v>
      </c>
      <c r="CU88" s="18">
        <f>CT88*VLOOKUP('Données projet'!$B$13,Paramètres!$A$1:$I$89,3,0)*VLOOKUP('Données projet'!$B$13,Paramètres!$A$1:$I$89,5,0)</f>
        <v>154.55000000000013</v>
      </c>
      <c r="CV88" s="14">
        <f t="shared" si="95"/>
        <v>39.61078429851144</v>
      </c>
      <c r="CW88" s="22">
        <f t="shared" si="67"/>
        <v>338.16336598657432</v>
      </c>
      <c r="CX88" s="62">
        <f t="shared" si="68"/>
        <v>631.49669931990763</v>
      </c>
      <c r="CY88" s="62">
        <f ca="1">AVERAGE(OFFSET($CX$3,0,0,'Données projet'!$E$13+1,1))-AVERAGE(OFFSET($H$3,0,0,'Données projet'!$E$13+1,1))</f>
        <v>255.77222823147724</v>
      </c>
      <c r="CZ88" s="62">
        <f t="shared" si="96"/>
        <v>199.6931080052031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214</v>
      </c>
      <c r="DM88" s="13">
        <f>VLOOKUP(A88,'Données projet'!$A$165:$I$185,9,0)</f>
        <v>4.4000000000000004</v>
      </c>
      <c r="DN88" s="13">
        <f t="array" ref="DN88">INDEX(DM:DM,MIN(IF(ISNUMBER(DM88:DM284),ROW(DM88:DM284),"")))</f>
        <v>4.4000000000000004</v>
      </c>
      <c r="DO88" s="13">
        <f>IF('Données projet'!$A$166&gt;35,DO87+DN88-DW87,IF(A88&lt;'Données projet'!$A$166,$DL$205^A88,IF(A88='Données projet'!$A$166,'Données projet'!$B$166,DO87+DN88-DW87)))</f>
        <v>214</v>
      </c>
      <c r="DP88" s="18">
        <f>DO88*VLOOKUP('Données projet'!$B$14,Paramètres!$A$1:$I$89,3,0)*VLOOKUP('Données projet'!$B$14,Paramètres!$A$1:$I$89,5,0)</f>
        <v>206.98080000000002</v>
      </c>
      <c r="DQ88" s="14">
        <f t="shared" si="97"/>
        <v>51.275259496675787</v>
      </c>
      <c r="DR88" s="22">
        <f t="shared" si="70"/>
        <v>449.79597029004367</v>
      </c>
      <c r="DS88" s="62">
        <f t="shared" si="71"/>
        <v>743.12930362337693</v>
      </c>
      <c r="DT88" s="62">
        <f ca="1">AVERAGE(OFFSET($DS$3,0,0,'Données projet'!$E$14+1,1))-AVERAGE(OFFSET($H$3,0,0,'Données projet'!$E$14+1,1))</f>
        <v>349.73011349954953</v>
      </c>
      <c r="DU88" s="62">
        <f t="shared" si="98"/>
        <v>154.08406475869634</v>
      </c>
      <c r="DV88" s="16">
        <f>IF(ISNA(VLOOKUP(A88,'Données projet'!$A$165:$I$185,3,0)),0,VLOOKUP(A88,'Données projet'!$A$165:$I$185,3,0))</f>
        <v>6</v>
      </c>
      <c r="DW88" s="16">
        <f>IF(ISNA(VLOOKUP(A88,'Données projet'!$A$165:$I$185,4,0)),0,VLOOKUP(A88,'Données projet'!$A$165:$I$185,4,0))</f>
        <v>28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-1.7053025658242404E-13</v>
      </c>
      <c r="O89" s="14">
        <f>N89*VLOOKUP('Données projet'!$B$9,Paramètres!$A$1:$I$89,3,0)*VLOOKUP('Données projet'!$B$9,Paramètres!$A$1:$I$89,5,0)</f>
        <v>-1.0197709343628959E-13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203.63995177374335</v>
      </c>
      <c r="T89" s="62">
        <f t="shared" si="88"/>
        <v>268.97461244918378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4.6772400405705374</v>
      </c>
      <c r="AA89" s="23">
        <f>EXP(-LN(2)/25)*AA88+(1-EXP(-LN(2)/25))/(LN(2)/25)*Calculateur!V89*Calculateur!X89*VLOOKUP('Données projet'!$B$9,Paramètres!$A$1:$I$89,3,0)*0.475*44/12</f>
        <v>2.6525621096545975</v>
      </c>
      <c r="AB89" s="23">
        <f>EXP(-LN(2)/2)*AB88+(1-EXP(-LN(2)/2))/(LN(2)/2)*V89*Y89*VLOOKUP('Données projet'!$B$9,Paramètres!$A$1:$I$89,3,0)*0.475*44/12</f>
        <v>1.1928662875294572E-8</v>
      </c>
      <c r="AC89" s="24">
        <f t="shared" si="57"/>
        <v>7.329802162153797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190.2</v>
      </c>
      <c r="AJ89" s="14">
        <f>AI89*VLOOKUP('Données projet'!$B$10,Paramètres!$A$1:$I$89,3,0)*VLOOKUP('Données projet'!$B$10,Paramètres!$A$1:$I$89,5,0)</f>
        <v>192.86279999999999</v>
      </c>
      <c r="AK89" s="14">
        <f t="shared" si="89"/>
        <v>48.172325347436733</v>
      </c>
      <c r="AL89" s="22">
        <f t="shared" si="58"/>
        <v>419.80284331345229</v>
      </c>
      <c r="AM89" s="62">
        <f t="shared" si="59"/>
        <v>713.13617664678554</v>
      </c>
      <c r="AN89" s="62">
        <f ca="1">AVERAGE(OFFSET($AM$3,0,0,'Données projet'!$E$10+1,1))-AVERAGE(OFFSET($H$3,0,0,'Données projet'!$E$10+1,1))</f>
        <v>364.69354394930866</v>
      </c>
      <c r="AO89" s="62">
        <f t="shared" si="90"/>
        <v>159.6134369231965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2.4</v>
      </c>
      <c r="BD89" s="13">
        <f>IF('Données projet'!$A$88&gt;35,BD88+BC89-BL88,IF(A89&lt;'Données projet'!$A$88,$BA$205^A89,IF(A89='Données projet'!$A$88,'Données projet'!$B$88,BD88+BC89-BL88)))</f>
        <v>167.39999999999998</v>
      </c>
      <c r="BE89" s="14">
        <f>BD89*VLOOKUP('Données projet'!$B$11,Paramètres!$A$1:$I$89,3,0)*VLOOKUP('Données projet'!$B$11,Paramètres!$A$1:$I$89,5,0)</f>
        <v>146.24064000000001</v>
      </c>
      <c r="BF89" s="14">
        <f t="shared" si="91"/>
        <v>37.722999642090628</v>
      </c>
      <c r="BG89" s="22">
        <f t="shared" si="61"/>
        <v>320.40333904330788</v>
      </c>
      <c r="BH89" s="62">
        <f t="shared" si="62"/>
        <v>613.7366723766412</v>
      </c>
      <c r="BI89" s="62">
        <f ca="1">AVERAGE(OFFSET($BH$3,0,0,'Données projet'!$E$11+1,1))-AVERAGE(OFFSET($H$3,0,0,'Données projet'!$E$11+1,1))</f>
        <v>241.00707378755914</v>
      </c>
      <c r="BJ89" s="62">
        <f t="shared" si="92"/>
        <v>239.93573789765657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2.8205128205128234</v>
      </c>
      <c r="BY89" s="13">
        <f>IF('Données projet'!$A$114&gt;35,BY88+BX89-CG88,IF(A89&lt;'Données projet'!$A$114,$BV$205^A89,IF(A89='Données projet'!$A$114,'Données projet'!$B$114,BY88+BX89-CG88)))</f>
        <v>182.94871794871807</v>
      </c>
      <c r="BZ89" s="14">
        <f>BY89*VLOOKUP('Données projet'!$B$12,Paramètres!$A$1:$I$89,3,0)*VLOOKUP('Données projet'!$B$12,Paramètres!$A$1:$I$89,5,0)</f>
        <v>122.72200000000009</v>
      </c>
      <c r="CA89" s="14">
        <f t="shared" si="93"/>
        <v>32.309029959383942</v>
      </c>
      <c r="CB89" s="22">
        <f t="shared" si="64"/>
        <v>270.01237717926045</v>
      </c>
      <c r="CC89" s="62">
        <f t="shared" si="65"/>
        <v>563.34571051259377</v>
      </c>
      <c r="CD89" s="62">
        <f ca="1">AVERAGE(OFFSET($CC$3,0,0,'Données projet'!$E$12+1,1))-AVERAGE(OFFSET($H$3,0,0,'Données projet'!$E$12+1,1))</f>
        <v>207.91006140109965</v>
      </c>
      <c r="CE89" s="62">
        <f t="shared" si="94"/>
        <v>164.93317437647255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2.8205128205128234</v>
      </c>
      <c r="CT89" s="13">
        <f>IF('Données projet'!$A$140&gt;35,CT88+CS89-DB88,IF(A89&lt;'Données projet'!$A$140,$CQ$205^A89,IF(A89='Données projet'!$A$140,'Données projet'!$B$140,CT88+CS89-DB88)))</f>
        <v>182.94871794871807</v>
      </c>
      <c r="CU89" s="18">
        <f>CT89*VLOOKUP('Données projet'!$B$13,Paramètres!$A$1:$I$89,3,0)*VLOOKUP('Données projet'!$B$13,Paramètres!$A$1:$I$89,5,0)</f>
        <v>156.97000000000011</v>
      </c>
      <c r="CV89" s="14">
        <f t="shared" si="95"/>
        <v>40.158331841443605</v>
      </c>
      <c r="CW89" s="22">
        <f t="shared" si="67"/>
        <v>343.33184462384776</v>
      </c>
      <c r="CX89" s="62">
        <f t="shared" si="68"/>
        <v>636.66517795718107</v>
      </c>
      <c r="CY89" s="62">
        <f ca="1">AVERAGE(OFFSET($CX$3,0,0,'Données projet'!$E$13+1,1))-AVERAGE(OFFSET($H$3,0,0,'Données projet'!$E$13+1,1))</f>
        <v>255.77222823147724</v>
      </c>
      <c r="CZ89" s="62">
        <f t="shared" si="96"/>
        <v>199.6931080052031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4.2</v>
      </c>
      <c r="DO89" s="13">
        <f>IF('Données projet'!$A$166&gt;35,DO88+DN89-DW88,IF(A89&lt;'Données projet'!$A$166,$DL$205^A89,IF(A89='Données projet'!$A$166,'Données projet'!$B$166,DO88+DN89-DW88)))</f>
        <v>190.2</v>
      </c>
      <c r="DP89" s="18">
        <f>DO89*VLOOKUP('Données projet'!$B$14,Paramètres!$A$1:$I$89,3,0)*VLOOKUP('Données projet'!$B$14,Paramètres!$A$1:$I$89,5,0)</f>
        <v>183.96143999999998</v>
      </c>
      <c r="DQ89" s="14">
        <f t="shared" si="97"/>
        <v>46.202413833061925</v>
      </c>
      <c r="DR89" s="22">
        <f t="shared" si="70"/>
        <v>400.86871209258283</v>
      </c>
      <c r="DS89" s="62">
        <f t="shared" si="71"/>
        <v>694.20204542591614</v>
      </c>
      <c r="DT89" s="62">
        <f ca="1">AVERAGE(OFFSET($DS$3,0,0,'Données projet'!$E$14+1,1))-AVERAGE(OFFSET($H$3,0,0,'Données projet'!$E$14+1,1))</f>
        <v>349.73011349954953</v>
      </c>
      <c r="DU89" s="62">
        <f t="shared" si="98"/>
        <v>154.08406475869634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-1.7053025658242404E-13</v>
      </c>
      <c r="O90" s="14">
        <f>N90*VLOOKUP('Données projet'!$B$9,Paramètres!$A$1:$I$89,3,0)*VLOOKUP('Données projet'!$B$9,Paramètres!$A$1:$I$89,5,0)</f>
        <v>-1.0197709343628959E-13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203.63995177374335</v>
      </c>
      <c r="T90" s="62">
        <f t="shared" si="88"/>
        <v>268.97461244918378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4.5855222162096796</v>
      </c>
      <c r="AA90" s="23">
        <f>EXP(-LN(2)/25)*AA89+(1-EXP(-LN(2)/25))/(LN(2)/25)*Calculateur!V90*Calculateur!X90*VLOOKUP('Données projet'!$B$9,Paramètres!$A$1:$I$89,3,0)*0.475*44/12</f>
        <v>2.5800276592739135</v>
      </c>
      <c r="AB90" s="23">
        <f>EXP(-LN(2)/2)*AB89+(1-EXP(-LN(2)/2))/(LN(2)/2)*V90*Y90*VLOOKUP('Données projet'!$B$9,Paramètres!$A$1:$I$89,3,0)*0.475*44/12</f>
        <v>8.4348384096090119E-9</v>
      </c>
      <c r="AC90" s="24">
        <f t="shared" si="57"/>
        <v>7.1655498839184322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194.39999999999998</v>
      </c>
      <c r="AJ90" s="14">
        <f>AI90*VLOOKUP('Données projet'!$B$10,Paramètres!$A$1:$I$89,3,0)*VLOOKUP('Données projet'!$B$10,Paramètres!$A$1:$I$89,5,0)</f>
        <v>197.12159999999997</v>
      </c>
      <c r="AK90" s="14">
        <f t="shared" si="89"/>
        <v>49.111049803800405</v>
      </c>
      <c r="AL90" s="22">
        <f t="shared" si="58"/>
        <v>428.85519840828562</v>
      </c>
      <c r="AM90" s="62">
        <f t="shared" si="59"/>
        <v>722.18853174161893</v>
      </c>
      <c r="AN90" s="62">
        <f ca="1">AVERAGE(OFFSET($AM$3,0,0,'Données projet'!$E$10+1,1))-AVERAGE(OFFSET($H$3,0,0,'Données projet'!$E$10+1,1))</f>
        <v>364.69354394930866</v>
      </c>
      <c r="AO90" s="62">
        <f t="shared" si="90"/>
        <v>159.6134369231965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2.4</v>
      </c>
      <c r="BD90" s="13">
        <f>IF('Données projet'!$A$88&gt;35,BD89+BC90-BL89,IF(A90&lt;'Données projet'!$A$88,$BA$205^A90,IF(A90='Données projet'!$A$88,'Données projet'!$B$88,BD89+BC90-BL89)))</f>
        <v>169.79999999999998</v>
      </c>
      <c r="BE90" s="14">
        <f>BD90*VLOOKUP('Données projet'!$B$11,Paramètres!$A$1:$I$89,3,0)*VLOOKUP('Données projet'!$B$11,Paramètres!$A$1:$I$89,5,0)</f>
        <v>148.33727999999999</v>
      </c>
      <c r="BF90" s="14">
        <f t="shared" si="91"/>
        <v>38.200481752654802</v>
      </c>
      <c r="BG90" s="22">
        <f t="shared" si="61"/>
        <v>324.88660171920714</v>
      </c>
      <c r="BH90" s="62">
        <f t="shared" si="62"/>
        <v>618.21993505254045</v>
      </c>
      <c r="BI90" s="62">
        <f ca="1">AVERAGE(OFFSET($BH$3,0,0,'Données projet'!$E$11+1,1))-AVERAGE(OFFSET($H$3,0,0,'Données projet'!$E$11+1,1))</f>
        <v>241.00707378755914</v>
      </c>
      <c r="BJ90" s="62">
        <f t="shared" si="92"/>
        <v>239.93573789765657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2.8205128205128234</v>
      </c>
      <c r="BY90" s="13">
        <f>IF('Données projet'!$A$114&gt;35,BY89+BX90-CG89,IF(A90&lt;'Données projet'!$A$114,$BV$205^A90,IF(A90='Données projet'!$A$114,'Données projet'!$B$114,BY89+BX90-CG89)))</f>
        <v>185.76923076923089</v>
      </c>
      <c r="BZ90" s="14">
        <f>BY90*VLOOKUP('Données projet'!$B$12,Paramètres!$A$1:$I$89,3,0)*VLOOKUP('Données projet'!$B$12,Paramètres!$A$1:$I$89,5,0)</f>
        <v>124.61400000000008</v>
      </c>
      <c r="CA90" s="14">
        <f t="shared" si="93"/>
        <v>32.74876462171833</v>
      </c>
      <c r="CB90" s="22">
        <f t="shared" si="64"/>
        <v>274.07348171615951</v>
      </c>
      <c r="CC90" s="62">
        <f t="shared" si="65"/>
        <v>567.40681504949282</v>
      </c>
      <c r="CD90" s="62">
        <f ca="1">AVERAGE(OFFSET($CC$3,0,0,'Données projet'!$E$12+1,1))-AVERAGE(OFFSET($H$3,0,0,'Données projet'!$E$12+1,1))</f>
        <v>207.91006140109965</v>
      </c>
      <c r="CE90" s="62">
        <f t="shared" si="94"/>
        <v>164.93317437647255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2.8205128205128234</v>
      </c>
      <c r="CT90" s="13">
        <f>IF('Données projet'!$A$140&gt;35,CT89+CS90-DB89,IF(A90&lt;'Données projet'!$A$140,$CQ$205^A90,IF(A90='Données projet'!$A$140,'Données projet'!$B$140,CT89+CS90-DB89)))</f>
        <v>185.76923076923089</v>
      </c>
      <c r="CU90" s="18">
        <f>CT90*VLOOKUP('Données projet'!$B$13,Paramètres!$A$1:$I$89,3,0)*VLOOKUP('Données projet'!$B$13,Paramètres!$A$1:$I$89,5,0)</f>
        <v>159.3900000000001</v>
      </c>
      <c r="CV90" s="14">
        <f t="shared" si="95"/>
        <v>40.704897631701314</v>
      </c>
      <c r="CW90" s="22">
        <f t="shared" si="67"/>
        <v>348.49861337521332</v>
      </c>
      <c r="CX90" s="62">
        <f t="shared" si="68"/>
        <v>641.83194670854664</v>
      </c>
      <c r="CY90" s="62">
        <f ca="1">AVERAGE(OFFSET($CX$3,0,0,'Données projet'!$E$13+1,1))-AVERAGE(OFFSET($H$3,0,0,'Données projet'!$E$13+1,1))</f>
        <v>255.77222823147724</v>
      </c>
      <c r="CZ90" s="62">
        <f t="shared" si="96"/>
        <v>199.6931080052031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4.2</v>
      </c>
      <c r="DO90" s="13">
        <f>IF('Données projet'!$A$166&gt;35,DO89+DN90-DW89,IF(A90&lt;'Données projet'!$A$166,$DL$205^A90,IF(A90='Données projet'!$A$166,'Données projet'!$B$166,DO89+DN90-DW89)))</f>
        <v>194.39999999999998</v>
      </c>
      <c r="DP90" s="18">
        <f>DO90*VLOOKUP('Données projet'!$B$14,Paramètres!$A$1:$I$89,3,0)*VLOOKUP('Données projet'!$B$14,Paramètres!$A$1:$I$89,5,0)</f>
        <v>188.02367999999998</v>
      </c>
      <c r="DQ90" s="14">
        <f t="shared" si="97"/>
        <v>47.102751018267753</v>
      </c>
      <c r="DR90" s="22">
        <f t="shared" si="70"/>
        <v>409.51186735681631</v>
      </c>
      <c r="DS90" s="62">
        <f t="shared" si="71"/>
        <v>702.84520069014957</v>
      </c>
      <c r="DT90" s="62">
        <f ca="1">AVERAGE(OFFSET($DS$3,0,0,'Données projet'!$E$14+1,1))-AVERAGE(OFFSET($H$3,0,0,'Données projet'!$E$14+1,1))</f>
        <v>349.73011349954953</v>
      </c>
      <c r="DU90" s="62">
        <f t="shared" si="98"/>
        <v>154.08406475869634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-1.7053025658242404E-13</v>
      </c>
      <c r="O91" s="14">
        <f>N91*VLOOKUP('Données projet'!$B$9,Paramètres!$A$1:$I$89,3,0)*VLOOKUP('Données projet'!$B$9,Paramètres!$A$1:$I$89,5,0)</f>
        <v>-1.0197709343628959E-13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203.63995177374335</v>
      </c>
      <c r="T91" s="62">
        <f t="shared" si="88"/>
        <v>268.97461244918378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4.4956029224421892</v>
      </c>
      <c r="AA91" s="23">
        <f>EXP(-LN(2)/25)*AA90+(1-EXP(-LN(2)/25))/(LN(2)/25)*Calculateur!V91*Calculateur!X91*VLOOKUP('Données projet'!$B$9,Paramètres!$A$1:$I$89,3,0)*0.475*44/12</f>
        <v>2.5094766672533106</v>
      </c>
      <c r="AB91" s="23">
        <f>EXP(-LN(2)/2)*AB90+(1-EXP(-LN(2)/2))/(LN(2)/2)*V91*Y91*VLOOKUP('Données projet'!$B$9,Paramètres!$A$1:$I$89,3,0)*0.475*44/12</f>
        <v>5.9643314376472862E-9</v>
      </c>
      <c r="AC91" s="24">
        <f t="shared" si="57"/>
        <v>7.0050795956598311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198.59999999999997</v>
      </c>
      <c r="AJ91" s="14">
        <f>AI91*VLOOKUP('Données projet'!$B$10,Paramètres!$A$1:$I$89,3,0)*VLOOKUP('Données projet'!$B$10,Paramètres!$A$1:$I$89,5,0)</f>
        <v>201.38039999999998</v>
      </c>
      <c r="AK91" s="14">
        <f t="shared" si="89"/>
        <v>50.047416314000145</v>
      </c>
      <c r="AL91" s="22">
        <f t="shared" si="58"/>
        <v>437.9034467468835</v>
      </c>
      <c r="AM91" s="62">
        <f t="shared" si="59"/>
        <v>731.23678008021682</v>
      </c>
      <c r="AN91" s="62">
        <f ca="1">AVERAGE(OFFSET($AM$3,0,0,'Données projet'!$E$10+1,1))-AVERAGE(OFFSET($H$3,0,0,'Données projet'!$E$10+1,1))</f>
        <v>364.69354394930866</v>
      </c>
      <c r="AO91" s="62">
        <f t="shared" si="90"/>
        <v>159.6134369231965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2.4</v>
      </c>
      <c r="BD91" s="13">
        <f>IF('Données projet'!$A$88&gt;35,BD90+BC91-BL90,IF(A91&lt;'Données projet'!$A$88,$BA$205^A91,IF(A91='Données projet'!$A$88,'Données projet'!$B$88,BD90+BC91-BL90)))</f>
        <v>172.2</v>
      </c>
      <c r="BE91" s="14">
        <f>BD91*VLOOKUP('Données projet'!$B$11,Paramètres!$A$1:$I$89,3,0)*VLOOKUP('Données projet'!$B$11,Paramètres!$A$1:$I$89,5,0)</f>
        <v>150.43392</v>
      </c>
      <c r="BF91" s="14">
        <f t="shared" si="91"/>
        <v>38.677178913707927</v>
      </c>
      <c r="BG91" s="22">
        <f t="shared" si="61"/>
        <v>329.36849727470798</v>
      </c>
      <c r="BH91" s="62">
        <f t="shared" si="62"/>
        <v>622.70183060804129</v>
      </c>
      <c r="BI91" s="62">
        <f ca="1">AVERAGE(OFFSET($BH$3,0,0,'Données projet'!$E$11+1,1))-AVERAGE(OFFSET($H$3,0,0,'Données projet'!$E$11+1,1))</f>
        <v>241.00707378755914</v>
      </c>
      <c r="BJ91" s="62">
        <f t="shared" si="92"/>
        <v>239.93573789765657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2.8205128205128234</v>
      </c>
      <c r="BY91" s="13">
        <f>IF('Données projet'!$A$114&gt;35,BY90+BX91-CG90,IF(A91&lt;'Données projet'!$A$114,$BV$205^A91,IF(A91='Données projet'!$A$114,'Données projet'!$B$114,BY90+BX91-CG90)))</f>
        <v>188.5897435897437</v>
      </c>
      <c r="BZ91" s="14">
        <f>BY91*VLOOKUP('Données projet'!$B$12,Paramètres!$A$1:$I$89,3,0)*VLOOKUP('Données projet'!$B$12,Paramètres!$A$1:$I$89,5,0)</f>
        <v>126.50600000000007</v>
      </c>
      <c r="CA91" s="14">
        <f t="shared" si="93"/>
        <v>33.187722801121495</v>
      </c>
      <c r="CB91" s="22">
        <f t="shared" si="64"/>
        <v>278.13323387862005</v>
      </c>
      <c r="CC91" s="62">
        <f t="shared" si="65"/>
        <v>571.46656721195336</v>
      </c>
      <c r="CD91" s="62">
        <f ca="1">AVERAGE(OFFSET($CC$3,0,0,'Données projet'!$E$12+1,1))-AVERAGE(OFFSET($H$3,0,0,'Données projet'!$E$12+1,1))</f>
        <v>207.91006140109965</v>
      </c>
      <c r="CE91" s="62">
        <f t="shared" si="94"/>
        <v>164.93317437647255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2.8205128205128234</v>
      </c>
      <c r="CT91" s="13">
        <f>IF('Données projet'!$A$140&gt;35,CT90+CS91-DB90,IF(A91&lt;'Données projet'!$A$140,$CQ$205^A91,IF(A91='Données projet'!$A$140,'Données projet'!$B$140,CT90+CS91-DB90)))</f>
        <v>188.5897435897437</v>
      </c>
      <c r="CU91" s="18">
        <f>CT91*VLOOKUP('Données projet'!$B$13,Paramètres!$A$1:$I$89,3,0)*VLOOKUP('Données projet'!$B$13,Paramètres!$A$1:$I$89,5,0)</f>
        <v>161.81000000000012</v>
      </c>
      <c r="CV91" s="14">
        <f t="shared" si="95"/>
        <v>41.25049829675222</v>
      </c>
      <c r="CW91" s="22">
        <f t="shared" si="67"/>
        <v>353.663701200177</v>
      </c>
      <c r="CX91" s="62">
        <f t="shared" si="68"/>
        <v>646.99703453351026</v>
      </c>
      <c r="CY91" s="62">
        <f ca="1">AVERAGE(OFFSET($CX$3,0,0,'Données projet'!$E$13+1,1))-AVERAGE(OFFSET($H$3,0,0,'Données projet'!$E$13+1,1))</f>
        <v>255.77222823147724</v>
      </c>
      <c r="CZ91" s="62">
        <f t="shared" si="96"/>
        <v>199.6931080052031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4.2</v>
      </c>
      <c r="DO91" s="13">
        <f>IF('Données projet'!$A$166&gt;35,DO90+DN91-DW90,IF(A91&lt;'Données projet'!$A$166,$DL$205^A91,IF(A91='Données projet'!$A$166,'Données projet'!$B$166,DO90+DN91-DW90)))</f>
        <v>198.59999999999997</v>
      </c>
      <c r="DP91" s="18">
        <f>DO91*VLOOKUP('Données projet'!$B$14,Paramètres!$A$1:$I$89,3,0)*VLOOKUP('Données projet'!$B$14,Paramètres!$A$1:$I$89,5,0)</f>
        <v>192.08591999999996</v>
      </c>
      <c r="DQ91" s="14">
        <f t="shared" si="97"/>
        <v>48.000826680832176</v>
      </c>
      <c r="DR91" s="22">
        <f t="shared" si="70"/>
        <v>418.15108380244925</v>
      </c>
      <c r="DS91" s="62">
        <f t="shared" si="71"/>
        <v>711.48441713578256</v>
      </c>
      <c r="DT91" s="62">
        <f ca="1">AVERAGE(OFFSET($DS$3,0,0,'Données projet'!$E$14+1,1))-AVERAGE(OFFSET($H$3,0,0,'Données projet'!$E$14+1,1))</f>
        <v>349.73011349954953</v>
      </c>
      <c r="DU91" s="62">
        <f t="shared" si="98"/>
        <v>154.08406475869634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-1.7053025658242404E-13</v>
      </c>
      <c r="O92" s="14">
        <f>N92*VLOOKUP('Données projet'!$B$9,Paramètres!$A$1:$I$89,3,0)*VLOOKUP('Données projet'!$B$9,Paramètres!$A$1:$I$89,5,0)</f>
        <v>-1.0197709343628959E-13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203.63995177374335</v>
      </c>
      <c r="T92" s="62">
        <f t="shared" si="88"/>
        <v>268.97461244918378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4.4074468911801254</v>
      </c>
      <c r="AA92" s="23">
        <f>EXP(-LN(2)/25)*AA91+(1-EXP(-LN(2)/25))/(LN(2)/25)*Calculateur!V92*Calculateur!X92*VLOOKUP('Données projet'!$B$9,Paramètres!$A$1:$I$89,3,0)*0.475*44/12</f>
        <v>2.4408548958196263</v>
      </c>
      <c r="AB92" s="23">
        <f>EXP(-LN(2)/2)*AB91+(1-EXP(-LN(2)/2))/(LN(2)/2)*V92*Y92*VLOOKUP('Données projet'!$B$9,Paramètres!$A$1:$I$89,3,0)*0.475*44/12</f>
        <v>4.217419204804506E-9</v>
      </c>
      <c r="AC92" s="24">
        <f t="shared" si="57"/>
        <v>6.8483017912171711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202.79999999999995</v>
      </c>
      <c r="AJ92" s="14">
        <f>AI92*VLOOKUP('Données projet'!$B$10,Paramètres!$A$1:$I$89,3,0)*VLOOKUP('Données projet'!$B$10,Paramètres!$A$1:$I$89,5,0)</f>
        <v>205.63919999999996</v>
      </c>
      <c r="AK92" s="14">
        <f t="shared" si="89"/>
        <v>50.981480488268119</v>
      </c>
      <c r="AL92" s="22">
        <f t="shared" si="58"/>
        <v>446.94768518373354</v>
      </c>
      <c r="AM92" s="62">
        <f t="shared" si="59"/>
        <v>740.28101851706685</v>
      </c>
      <c r="AN92" s="62">
        <f ca="1">AVERAGE(OFFSET($AM$3,0,0,'Données projet'!$E$10+1,1))-AVERAGE(OFFSET($H$3,0,0,'Données projet'!$E$10+1,1))</f>
        <v>364.69354394930866</v>
      </c>
      <c r="AO92" s="62">
        <f t="shared" si="90"/>
        <v>159.6134369231965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2.4</v>
      </c>
      <c r="BD92" s="13">
        <f>IF('Données projet'!$A$88&gt;35,BD91+BC92-BL91,IF(A92&lt;'Données projet'!$A$88,$BA$205^A92,IF(A92='Données projet'!$A$88,'Données projet'!$B$88,BD91+BC92-BL91)))</f>
        <v>174.6</v>
      </c>
      <c r="BE92" s="14">
        <f>BD92*VLOOKUP('Données projet'!$B$11,Paramètres!$A$1:$I$89,3,0)*VLOOKUP('Données projet'!$B$11,Paramètres!$A$1:$I$89,5,0)</f>
        <v>152.53056000000001</v>
      </c>
      <c r="BF92" s="14">
        <f t="shared" si="91"/>
        <v>39.153103329629708</v>
      </c>
      <c r="BG92" s="22">
        <f t="shared" si="61"/>
        <v>333.84904696577172</v>
      </c>
      <c r="BH92" s="62">
        <f t="shared" si="62"/>
        <v>627.18238029910503</v>
      </c>
      <c r="BI92" s="62">
        <f ca="1">AVERAGE(OFFSET($BH$3,0,0,'Données projet'!$E$11+1,1))-AVERAGE(OFFSET($H$3,0,0,'Données projet'!$E$11+1,1))</f>
        <v>241.00707378755914</v>
      </c>
      <c r="BJ92" s="62">
        <f t="shared" si="92"/>
        <v>239.93573789765657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2.8205128205128234</v>
      </c>
      <c r="BY92" s="13">
        <f>IF('Données projet'!$A$114&gt;35,BY91+BX92-CG91,IF(A92&lt;'Données projet'!$A$114,$BV$205^A92,IF(A92='Données projet'!$A$114,'Données projet'!$B$114,BY91+BX92-CG91)))</f>
        <v>191.41025641025652</v>
      </c>
      <c r="BZ92" s="14">
        <f>BY92*VLOOKUP('Données projet'!$B$12,Paramètres!$A$1:$I$89,3,0)*VLOOKUP('Données projet'!$B$12,Paramètres!$A$1:$I$89,5,0)</f>
        <v>128.39800000000008</v>
      </c>
      <c r="CA92" s="14">
        <f t="shared" si="93"/>
        <v>33.625917451966011</v>
      </c>
      <c r="CB92" s="22">
        <f t="shared" si="64"/>
        <v>282.19165622884094</v>
      </c>
      <c r="CC92" s="62">
        <f t="shared" si="65"/>
        <v>575.52498956217426</v>
      </c>
      <c r="CD92" s="62">
        <f ca="1">AVERAGE(OFFSET($CC$3,0,0,'Données projet'!$E$12+1,1))-AVERAGE(OFFSET($H$3,0,0,'Données projet'!$E$12+1,1))</f>
        <v>207.91006140109965</v>
      </c>
      <c r="CE92" s="62">
        <f t="shared" si="94"/>
        <v>164.93317437647255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2.8205128205128234</v>
      </c>
      <c r="CT92" s="13">
        <f>IF('Données projet'!$A$140&gt;35,CT91+CS92-DB91,IF(A92&lt;'Données projet'!$A$140,$CQ$205^A92,IF(A92='Données projet'!$A$140,'Données projet'!$B$140,CT91+CS92-DB91)))</f>
        <v>191.41025641025652</v>
      </c>
      <c r="CU92" s="18">
        <f>CT92*VLOOKUP('Données projet'!$B$13,Paramètres!$A$1:$I$89,3,0)*VLOOKUP('Données projet'!$B$13,Paramètres!$A$1:$I$89,5,0)</f>
        <v>164.2300000000001</v>
      </c>
      <c r="CV92" s="14">
        <f t="shared" si="95"/>
        <v>41.795149938162687</v>
      </c>
      <c r="CW92" s="22">
        <f t="shared" si="67"/>
        <v>358.82713614230016</v>
      </c>
      <c r="CX92" s="62">
        <f t="shared" si="68"/>
        <v>652.16046947563348</v>
      </c>
      <c r="CY92" s="62">
        <f ca="1">AVERAGE(OFFSET($CX$3,0,0,'Données projet'!$E$13+1,1))-AVERAGE(OFFSET($H$3,0,0,'Données projet'!$E$13+1,1))</f>
        <v>255.77222823147724</v>
      </c>
      <c r="CZ92" s="62">
        <f t="shared" si="96"/>
        <v>199.6931080052031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4.2</v>
      </c>
      <c r="DO92" s="13">
        <f>IF('Données projet'!$A$166&gt;35,DO91+DN92-DW91,IF(A92&lt;'Données projet'!$A$166,$DL$205^A92,IF(A92='Données projet'!$A$166,'Données projet'!$B$166,DO91+DN92-DW91)))</f>
        <v>202.79999999999995</v>
      </c>
      <c r="DP92" s="18">
        <f>DO92*VLOOKUP('Données projet'!$B$14,Paramètres!$A$1:$I$89,3,0)*VLOOKUP('Données projet'!$B$14,Paramètres!$A$1:$I$89,5,0)</f>
        <v>196.14815999999996</v>
      </c>
      <c r="DQ92" s="14">
        <f t="shared" si="97"/>
        <v>48.896694156917398</v>
      </c>
      <c r="DR92" s="22">
        <f t="shared" si="70"/>
        <v>426.78645432329768</v>
      </c>
      <c r="DS92" s="62">
        <f t="shared" si="71"/>
        <v>720.11978765663093</v>
      </c>
      <c r="DT92" s="62">
        <f ca="1">AVERAGE(OFFSET($DS$3,0,0,'Données projet'!$E$14+1,1))-AVERAGE(OFFSET($H$3,0,0,'Données projet'!$E$14+1,1))</f>
        <v>349.73011349954953</v>
      </c>
      <c r="DU92" s="62">
        <f t="shared" si="98"/>
        <v>154.08406475869634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-1.7053025658242404E-13</v>
      </c>
      <c r="O93" s="14">
        <f>N93*VLOOKUP('Données projet'!$B$9,Paramètres!$A$1:$I$89,3,0)*VLOOKUP('Données projet'!$B$9,Paramètres!$A$1:$I$89,5,0)</f>
        <v>-1.0197709343628959E-13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203.63995177374335</v>
      </c>
      <c r="T93" s="62">
        <f t="shared" si="88"/>
        <v>268.97461244918378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4.3210195459212413</v>
      </c>
      <c r="AA93" s="23">
        <f>EXP(-LN(2)/25)*AA92+(1-EXP(-LN(2)/25))/(LN(2)/25)*Calculateur!V93*Calculateur!X93*VLOOKUP('Données projet'!$B$9,Paramètres!$A$1:$I$89,3,0)*0.475*44/12</f>
        <v>2.3741095903344585</v>
      </c>
      <c r="AB93" s="23">
        <f>EXP(-LN(2)/2)*AB92+(1-EXP(-LN(2)/2))/(LN(2)/2)*V93*Y93*VLOOKUP('Données projet'!$B$9,Paramètres!$A$1:$I$89,3,0)*0.475*44/12</f>
        <v>2.9821657188236431E-9</v>
      </c>
      <c r="AC93" s="24">
        <f t="shared" si="57"/>
        <v>6.6951291392378653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206.99999999999994</v>
      </c>
      <c r="AJ93" s="14">
        <f>AI93*VLOOKUP('Données projet'!$B$10,Paramètres!$A$1:$I$89,3,0)*VLOOKUP('Données projet'!$B$10,Paramètres!$A$1:$I$89,5,0)</f>
        <v>209.89799999999994</v>
      </c>
      <c r="AK93" s="14">
        <f t="shared" si="89"/>
        <v>51.913295501810218</v>
      </c>
      <c r="AL93" s="22">
        <f t="shared" si="58"/>
        <v>455.98800633231934</v>
      </c>
      <c r="AM93" s="62">
        <f t="shared" si="59"/>
        <v>749.32133966565266</v>
      </c>
      <c r="AN93" s="62">
        <f ca="1">AVERAGE(OFFSET($AM$3,0,0,'Données projet'!$E$10+1,1))-AVERAGE(OFFSET($H$3,0,0,'Données projet'!$E$10+1,1))</f>
        <v>364.69354394930866</v>
      </c>
      <c r="AO93" s="62">
        <f t="shared" si="90"/>
        <v>159.6134369231965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177</v>
      </c>
      <c r="BB93" s="13">
        <f>VLOOKUP(A93,'Données projet'!$A$87:$I$107,9,0)</f>
        <v>2.4</v>
      </c>
      <c r="BC93" s="13">
        <f t="array" ref="BC93">INDEX(BB:BB,MIN(IF(ISNUMBER(BB93:BB289),ROW(BB93:BB289),"")))</f>
        <v>2.4</v>
      </c>
      <c r="BD93" s="13">
        <f>IF('Données projet'!$A$88&gt;35,BD92+BC93-BL92,IF(A93&lt;'Données projet'!$A$88,$BA$205^A93,IF(A93='Données projet'!$A$88,'Données projet'!$B$88,BD92+BC93-BL92)))</f>
        <v>177</v>
      </c>
      <c r="BE93" s="14">
        <f>BD93*VLOOKUP('Données projet'!$B$11,Paramètres!$A$1:$I$89,3,0)*VLOOKUP('Données projet'!$B$11,Paramètres!$A$1:$I$89,5,0)</f>
        <v>154.62720000000002</v>
      </c>
      <c r="BF93" s="14">
        <f t="shared" si="91"/>
        <v>39.62826685000794</v>
      </c>
      <c r="BG93" s="22">
        <f t="shared" si="61"/>
        <v>338.3282714304305</v>
      </c>
      <c r="BH93" s="62">
        <f t="shared" si="62"/>
        <v>631.66160476376376</v>
      </c>
      <c r="BI93" s="62">
        <f ca="1">AVERAGE(OFFSET($BH$3,0,0,'Données projet'!$E$11+1,1))-AVERAGE(OFFSET($H$3,0,0,'Données projet'!$E$11+1,1))</f>
        <v>241.00707378755914</v>
      </c>
      <c r="BJ93" s="62">
        <f t="shared" si="92"/>
        <v>239.93573789765657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16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194.23076923076923</v>
      </c>
      <c r="BW93" s="13">
        <f>VLOOKUP(A93,'Données projet'!$A$113:$I$133,9,0)</f>
        <v>2.8205128205128234</v>
      </c>
      <c r="BX93" s="13">
        <f t="array" ref="BX93">INDEX(BW:BW,MIN(IF(ISNUMBER(BW93:BW289),ROW(BW93:BW289),"")))</f>
        <v>2.8205128205128234</v>
      </c>
      <c r="BY93" s="13">
        <f>IF('Données projet'!$A$114&gt;35,BY92+BX93-CG92,IF(A93&lt;'Données projet'!$A$114,$BV$205^A93,IF(A93='Données projet'!$A$114,'Données projet'!$B$114,BY92+BX93-CG92)))</f>
        <v>194.23076923076934</v>
      </c>
      <c r="BZ93" s="14">
        <f>BY93*VLOOKUP('Données projet'!$B$12,Paramètres!$A$1:$I$89,3,0)*VLOOKUP('Données projet'!$B$12,Paramètres!$A$1:$I$89,5,0)</f>
        <v>130.29000000000008</v>
      </c>
      <c r="CA93" s="14">
        <f t="shared" si="93"/>
        <v>34.063361124931106</v>
      </c>
      <c r="CB93" s="22">
        <f t="shared" si="64"/>
        <v>286.24877062592179</v>
      </c>
      <c r="CC93" s="62">
        <f t="shared" si="65"/>
        <v>579.58210395925516</v>
      </c>
      <c r="CD93" s="62">
        <f ca="1">AVERAGE(OFFSET($CC$3,0,0,'Données projet'!$E$12+1,1))-AVERAGE(OFFSET($H$3,0,0,'Données projet'!$E$12+1,1))</f>
        <v>207.91006140109965</v>
      </c>
      <c r="CE93" s="62">
        <f t="shared" si="94"/>
        <v>164.93317437647255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17.307692307692307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194.23076923076923</v>
      </c>
      <c r="CR93" s="13">
        <f>VLOOKUP(A93,'Données projet'!$A$139:$I$159,9,0)</f>
        <v>2.8205128205128234</v>
      </c>
      <c r="CS93" s="13">
        <f t="array" ref="CS93">INDEX(CR:CR,MIN(IF(ISNUMBER(CR93:CR289),ROW(CR93:CR289),"")))</f>
        <v>2.8205128205128234</v>
      </c>
      <c r="CT93" s="13">
        <f>IF('Données projet'!$A$140&gt;35,CT92+CS93-DB92,IF(A93&lt;'Données projet'!$A$140,$CQ$205^A93,IF(A93='Données projet'!$A$140,'Données projet'!$B$140,CT92+CS93-DB92)))</f>
        <v>194.23076923076934</v>
      </c>
      <c r="CU93" s="18">
        <f>CT93*VLOOKUP('Données projet'!$B$13,Paramètres!$A$1:$I$89,3,0)*VLOOKUP('Données projet'!$B$13,Paramètres!$A$1:$I$89,5,0)</f>
        <v>166.65000000000012</v>
      </c>
      <c r="CV93" s="14">
        <f t="shared" si="95"/>
        <v>42.338868155730843</v>
      </c>
      <c r="CW93" s="22">
        <f t="shared" si="67"/>
        <v>363.98894537123141</v>
      </c>
      <c r="CX93" s="62">
        <f t="shared" si="68"/>
        <v>657.32227870456472</v>
      </c>
      <c r="CY93" s="62">
        <f ca="1">AVERAGE(OFFSET($CX$3,0,0,'Données projet'!$E$13+1,1))-AVERAGE(OFFSET($H$3,0,0,'Données projet'!$E$13+1,1))</f>
        <v>255.77222823147724</v>
      </c>
      <c r="CZ93" s="62">
        <f t="shared" si="96"/>
        <v>199.6931080052031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17.307692307692307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207</v>
      </c>
      <c r="DM93" s="13">
        <f>VLOOKUP(A93,'Données projet'!$A$165:$I$185,9,0)</f>
        <v>4.2</v>
      </c>
      <c r="DN93" s="13">
        <f t="array" ref="DN93">INDEX(DM:DM,MIN(IF(ISNUMBER(DM93:DM289),ROW(DM93:DM289),"")))</f>
        <v>4.2</v>
      </c>
      <c r="DO93" s="13">
        <f>IF('Données projet'!$A$166&gt;35,DO92+DN93-DW92,IF(A93&lt;'Données projet'!$A$166,$DL$205^A93,IF(A93='Données projet'!$A$166,'Données projet'!$B$166,DO92+DN93-DW92)))</f>
        <v>206.99999999999994</v>
      </c>
      <c r="DP93" s="18">
        <f>DO93*VLOOKUP('Données projet'!$B$14,Paramètres!$A$1:$I$89,3,0)*VLOOKUP('Données projet'!$B$14,Paramètres!$A$1:$I$89,5,0)</f>
        <v>200.21039999999996</v>
      </c>
      <c r="DQ93" s="14">
        <f t="shared" si="97"/>
        <v>49.790404447235048</v>
      </c>
      <c r="DR93" s="22">
        <f t="shared" si="70"/>
        <v>435.41806774560092</v>
      </c>
      <c r="DS93" s="62">
        <f t="shared" si="71"/>
        <v>728.75140107893424</v>
      </c>
      <c r="DT93" s="62">
        <f ca="1">AVERAGE(OFFSET($DS$3,0,0,'Données projet'!$E$14+1,1))-AVERAGE(OFFSET($H$3,0,0,'Données projet'!$E$14+1,1))</f>
        <v>349.73011349954953</v>
      </c>
      <c r="DU93" s="62">
        <f t="shared" si="98"/>
        <v>154.08406475869634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-1.7053025658242404E-13</v>
      </c>
      <c r="O94" s="14">
        <f>N94*VLOOKUP('Données projet'!$B$9,Paramètres!$A$1:$I$89,3,0)*VLOOKUP('Données projet'!$B$9,Paramètres!$A$1:$I$89,5,0)</f>
        <v>-1.0197709343628959E-13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203.63995177374335</v>
      </c>
      <c r="T94" s="62">
        <f t="shared" si="88"/>
        <v>268.97461244918378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4.236286988187409</v>
      </c>
      <c r="AA94" s="23">
        <f>EXP(-LN(2)/25)*AA93+(1-EXP(-LN(2)/25))/(LN(2)/25)*Calculateur!V94*Calculateur!X94*VLOOKUP('Données projet'!$B$9,Paramètres!$A$1:$I$89,3,0)*0.475*44/12</f>
        <v>2.3091894387377656</v>
      </c>
      <c r="AB94" s="23">
        <f>EXP(-LN(2)/2)*AB93+(1-EXP(-LN(2)/2))/(LN(2)/2)*V94*Y94*VLOOKUP('Données projet'!$B$9,Paramètres!$A$1:$I$89,3,0)*0.475*44/12</f>
        <v>2.108709602402253E-9</v>
      </c>
      <c r="AC94" s="24">
        <f t="shared" si="57"/>
        <v>6.5454764290338847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3.7</v>
      </c>
      <c r="AI94" s="14">
        <f>IF('Données projet'!$A$62&gt;35,AI93+AH94-AQ93,IF(A94&lt;'Données projet'!$A$62,$AF$205^A94,IF(A94='Données projet'!$A$62,'Données projet'!$B$62,AI93+AH94-AQ93)))</f>
        <v>210.69999999999993</v>
      </c>
      <c r="AJ94" s="14">
        <f>AI94*VLOOKUP('Données projet'!$B$10,Paramètres!$A$1:$I$89,3,0)*VLOOKUP('Données projet'!$B$10,Paramètres!$A$1:$I$89,5,0)</f>
        <v>213.64979999999994</v>
      </c>
      <c r="AK94" s="14">
        <f t="shared" si="89"/>
        <v>52.732357238333059</v>
      </c>
      <c r="AL94" s="22">
        <f t="shared" si="58"/>
        <v>463.94892385676326</v>
      </c>
      <c r="AM94" s="62">
        <f t="shared" si="59"/>
        <v>757.28225719009652</v>
      </c>
      <c r="AN94" s="62">
        <f ca="1">AVERAGE(OFFSET($AM$3,0,0,'Données projet'!$E$10+1,1))-AVERAGE(OFFSET($H$3,0,0,'Données projet'!$E$10+1,1))</f>
        <v>364.69354394930866</v>
      </c>
      <c r="AO94" s="62">
        <f t="shared" si="90"/>
        <v>159.6134369231965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2.6</v>
      </c>
      <c r="BD94" s="13">
        <f>IF('Données projet'!$A$88&gt;35,BD93+BC94-BL93,IF(A94&lt;'Données projet'!$A$88,$BA$205^A94,IF(A94='Données projet'!$A$88,'Données projet'!$B$88,BD93+BC94-BL93)))</f>
        <v>163.6</v>
      </c>
      <c r="BE94" s="14">
        <f>BD94*VLOOKUP('Données projet'!$B$11,Paramètres!$A$1:$I$89,3,0)*VLOOKUP('Données projet'!$B$11,Paramètres!$A$1:$I$89,5,0)</f>
        <v>142.92096000000001</v>
      </c>
      <c r="BF94" s="14">
        <f t="shared" si="91"/>
        <v>36.965350113713654</v>
      </c>
      <c r="BG94" s="22">
        <f t="shared" si="61"/>
        <v>313.30199011471797</v>
      </c>
      <c r="BH94" s="62">
        <f t="shared" si="62"/>
        <v>606.63532344805128</v>
      </c>
      <c r="BI94" s="62">
        <f ca="1">AVERAGE(OFFSET($BH$3,0,0,'Données projet'!$E$11+1,1))-AVERAGE(OFFSET($H$3,0,0,'Données projet'!$E$11+1,1))</f>
        <v>241.00707378755914</v>
      </c>
      <c r="BJ94" s="62">
        <f t="shared" si="92"/>
        <v>239.93573789765657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2.6923076923076961</v>
      </c>
      <c r="BY94" s="13">
        <f>IF('Données projet'!$A$114&gt;35,BY93+BX94-CG93,IF(A94&lt;'Données projet'!$A$114,$BV$205^A94,IF(A94='Données projet'!$A$114,'Données projet'!$B$114,BY93+BX94-CG93)))</f>
        <v>179.61538461538476</v>
      </c>
      <c r="BZ94" s="14">
        <f>BY94*VLOOKUP('Données projet'!$B$12,Paramètres!$A$1:$I$89,3,0)*VLOOKUP('Données projet'!$B$12,Paramètres!$A$1:$I$89,5,0)</f>
        <v>120.48600000000009</v>
      </c>
      <c r="CA94" s="14">
        <f t="shared" si="93"/>
        <v>31.788324135192319</v>
      </c>
      <c r="CB94" s="22">
        <f t="shared" si="64"/>
        <v>265.21111453546013</v>
      </c>
      <c r="CC94" s="62">
        <f t="shared" si="65"/>
        <v>558.54444786879344</v>
      </c>
      <c r="CD94" s="62">
        <f ca="1">AVERAGE(OFFSET($CC$3,0,0,'Données projet'!$E$12+1,1))-AVERAGE(OFFSET($H$3,0,0,'Données projet'!$E$12+1,1))</f>
        <v>207.91006140109965</v>
      </c>
      <c r="CE94" s="62">
        <f t="shared" si="94"/>
        <v>164.93317437647255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2.6923076923076961</v>
      </c>
      <c r="CT94" s="13">
        <f>IF('Données projet'!$A$140&gt;35,CT93+CS94-DB93,IF(A94&lt;'Données projet'!$A$140,$CQ$205^A94,IF(A94='Données projet'!$A$140,'Données projet'!$B$140,CT93+CS94-DB93)))</f>
        <v>179.61538461538476</v>
      </c>
      <c r="CU94" s="18">
        <f>CT94*VLOOKUP('Données projet'!$B$13,Paramètres!$A$1:$I$89,3,0)*VLOOKUP('Données projet'!$B$13,Paramètres!$A$1:$I$89,5,0)</f>
        <v>154.11000000000013</v>
      </c>
      <c r="CV94" s="14">
        <f t="shared" si="95"/>
        <v>39.511123389009555</v>
      </c>
      <c r="CW94" s="22">
        <f t="shared" si="67"/>
        <v>337.2234565691918</v>
      </c>
      <c r="CX94" s="62">
        <f t="shared" si="68"/>
        <v>630.55678990252511</v>
      </c>
      <c r="CY94" s="62">
        <f ca="1">AVERAGE(OFFSET($CX$3,0,0,'Données projet'!$E$13+1,1))-AVERAGE(OFFSET($H$3,0,0,'Données projet'!$E$13+1,1))</f>
        <v>255.77222823147724</v>
      </c>
      <c r="CZ94" s="62">
        <f t="shared" si="96"/>
        <v>199.6931080052031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3.7</v>
      </c>
      <c r="DO94" s="13">
        <f>IF('Données projet'!$A$166&gt;35,DO93+DN94-DW93,IF(A94&lt;'Données projet'!$A$166,$DL$205^A94,IF(A94='Données projet'!$A$166,'Données projet'!$B$166,DO93+DN94-DW93)))</f>
        <v>210.69999999999993</v>
      </c>
      <c r="DP94" s="18">
        <f>DO94*VLOOKUP('Données projet'!$B$14,Paramètres!$A$1:$I$89,3,0)*VLOOKUP('Données projet'!$B$14,Paramètres!$A$1:$I$89,5,0)</f>
        <v>203.78903999999994</v>
      </c>
      <c r="DQ94" s="14">
        <f t="shared" si="97"/>
        <v>50.575972281727609</v>
      </c>
      <c r="DR94" s="22">
        <f t="shared" si="70"/>
        <v>443.01906305734218</v>
      </c>
      <c r="DS94" s="62">
        <f t="shared" si="71"/>
        <v>736.35239639067549</v>
      </c>
      <c r="DT94" s="62">
        <f ca="1">AVERAGE(OFFSET($DS$3,0,0,'Données projet'!$E$14+1,1))-AVERAGE(OFFSET($H$3,0,0,'Données projet'!$E$14+1,1))</f>
        <v>349.73011349954953</v>
      </c>
      <c r="DU94" s="62">
        <f t="shared" si="98"/>
        <v>154.08406475869634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-1.7053025658242404E-13</v>
      </c>
      <c r="O95" s="14">
        <f>N95*VLOOKUP('Données projet'!$B$9,Paramètres!$A$1:$I$89,3,0)*VLOOKUP('Données projet'!$B$9,Paramètres!$A$1:$I$89,5,0)</f>
        <v>-1.0197709343628959E-13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203.63995177374335</v>
      </c>
      <c r="T95" s="62">
        <f t="shared" si="88"/>
        <v>268.97461244918378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4.1532159842289795</v>
      </c>
      <c r="AA95" s="23">
        <f>EXP(-LN(2)/25)*AA94+(1-EXP(-LN(2)/25))/(LN(2)/25)*Calculateur!V95*Calculateur!X95*VLOOKUP('Données projet'!$B$9,Paramètres!$A$1:$I$89,3,0)*0.475*44/12</f>
        <v>2.2460445321004867</v>
      </c>
      <c r="AB95" s="23">
        <f>EXP(-LN(2)/2)*AB94+(1-EXP(-LN(2)/2))/(LN(2)/2)*V95*Y95*VLOOKUP('Données projet'!$B$9,Paramètres!$A$1:$I$89,3,0)*0.475*44/12</f>
        <v>1.4910828594118215E-9</v>
      </c>
      <c r="AC95" s="24">
        <f t="shared" si="57"/>
        <v>6.3992605178205491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3.7</v>
      </c>
      <c r="AI95" s="14">
        <f>IF('Données projet'!$A$62&gt;35,AI94+AH95-AQ94,IF(A95&lt;'Données projet'!$A$62,$AF$205^A95,IF(A95='Données projet'!$A$62,'Données projet'!$B$62,AI94+AH95-AQ94)))</f>
        <v>214.39999999999992</v>
      </c>
      <c r="AJ95" s="14">
        <f>AI95*VLOOKUP('Données projet'!$B$10,Paramètres!$A$1:$I$89,3,0)*VLOOKUP('Données projet'!$B$10,Paramètres!$A$1:$I$89,5,0)</f>
        <v>217.40159999999995</v>
      </c>
      <c r="AK95" s="14">
        <f t="shared" si="89"/>
        <v>53.549746395925119</v>
      </c>
      <c r="AL95" s="22">
        <f t="shared" si="58"/>
        <v>471.90692830623613</v>
      </c>
      <c r="AM95" s="62">
        <f t="shared" si="59"/>
        <v>765.24026163956944</v>
      </c>
      <c r="AN95" s="62">
        <f ca="1">AVERAGE(OFFSET($AM$3,0,0,'Données projet'!$E$10+1,1))-AVERAGE(OFFSET($H$3,0,0,'Données projet'!$E$10+1,1))</f>
        <v>364.69354394930866</v>
      </c>
      <c r="AO95" s="62">
        <f t="shared" si="90"/>
        <v>159.6134369231965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2.6</v>
      </c>
      <c r="BD95" s="13">
        <f>IF('Données projet'!$A$88&gt;35,BD94+BC95-BL94,IF(A95&lt;'Données projet'!$A$88,$BA$205^A95,IF(A95='Données projet'!$A$88,'Données projet'!$B$88,BD94+BC95-BL94)))</f>
        <v>166.2</v>
      </c>
      <c r="BE95" s="14">
        <f>BD95*VLOOKUP('Données projet'!$B$11,Paramètres!$A$1:$I$89,3,0)*VLOOKUP('Données projet'!$B$11,Paramètres!$A$1:$I$89,5,0)</f>
        <v>145.19232</v>
      </c>
      <c r="BF95" s="14">
        <f t="shared" si="91"/>
        <v>37.48396031597408</v>
      </c>
      <c r="BG95" s="22">
        <f t="shared" si="61"/>
        <v>318.16118821698814</v>
      </c>
      <c r="BH95" s="62">
        <f t="shared" si="62"/>
        <v>611.49452155032145</v>
      </c>
      <c r="BI95" s="62">
        <f ca="1">AVERAGE(OFFSET($BH$3,0,0,'Données projet'!$E$11+1,1))-AVERAGE(OFFSET($H$3,0,0,'Données projet'!$E$11+1,1))</f>
        <v>241.00707378755914</v>
      </c>
      <c r="BJ95" s="62">
        <f t="shared" si="92"/>
        <v>239.93573789765657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2.6923076923076961</v>
      </c>
      <c r="BY95" s="13">
        <f>IF('Données projet'!$A$114&gt;35,BY94+BX95-CG94,IF(A95&lt;'Données projet'!$A$114,$BV$205^A95,IF(A95='Données projet'!$A$114,'Données projet'!$B$114,BY94+BX95-CG94)))</f>
        <v>182.30769230769246</v>
      </c>
      <c r="BZ95" s="14">
        <f>BY95*VLOOKUP('Données projet'!$B$12,Paramètres!$A$1:$I$89,3,0)*VLOOKUP('Données projet'!$B$12,Paramètres!$A$1:$I$89,5,0)</f>
        <v>122.2920000000001</v>
      </c>
      <c r="CA95" s="14">
        <f t="shared" si="93"/>
        <v>32.208980596520234</v>
      </c>
      <c r="CB95" s="22">
        <f t="shared" si="64"/>
        <v>269.08920787227288</v>
      </c>
      <c r="CC95" s="62">
        <f t="shared" si="65"/>
        <v>562.42254120560619</v>
      </c>
      <c r="CD95" s="62">
        <f ca="1">AVERAGE(OFFSET($CC$3,0,0,'Données projet'!$E$12+1,1))-AVERAGE(OFFSET($H$3,0,0,'Données projet'!$E$12+1,1))</f>
        <v>207.91006140109965</v>
      </c>
      <c r="CE95" s="62">
        <f t="shared" si="94"/>
        <v>164.93317437647255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2.6923076923076961</v>
      </c>
      <c r="CT95" s="13">
        <f>IF('Données projet'!$A$140&gt;35,CT94+CS95-DB94,IF(A95&lt;'Données projet'!$A$140,$CQ$205^A95,IF(A95='Données projet'!$A$140,'Données projet'!$B$140,CT94+CS95-DB94)))</f>
        <v>182.30769230769246</v>
      </c>
      <c r="CU95" s="18">
        <f>CT95*VLOOKUP('Données projet'!$B$13,Paramètres!$A$1:$I$89,3,0)*VLOOKUP('Données projet'!$B$13,Paramètres!$A$1:$I$89,5,0)</f>
        <v>156.42000000000016</v>
      </c>
      <c r="CV95" s="14">
        <f t="shared" si="95"/>
        <v>40.033976033811641</v>
      </c>
      <c r="CW95" s="22">
        <f t="shared" si="67"/>
        <v>342.15734159222217</v>
      </c>
      <c r="CX95" s="62">
        <f t="shared" si="68"/>
        <v>635.49067492555548</v>
      </c>
      <c r="CY95" s="62">
        <f ca="1">AVERAGE(OFFSET($CX$3,0,0,'Données projet'!$E$13+1,1))-AVERAGE(OFFSET($H$3,0,0,'Données projet'!$E$13+1,1))</f>
        <v>255.77222823147724</v>
      </c>
      <c r="CZ95" s="62">
        <f t="shared" si="96"/>
        <v>199.6931080052031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3.7</v>
      </c>
      <c r="DO95" s="13">
        <f>IF('Données projet'!$A$166&gt;35,DO94+DN95-DW94,IF(A95&lt;'Données projet'!$A$166,$DL$205^A95,IF(A95='Données projet'!$A$166,'Données projet'!$B$166,DO94+DN95-DW94)))</f>
        <v>214.39999999999992</v>
      </c>
      <c r="DP95" s="18">
        <f>DO95*VLOOKUP('Données projet'!$B$14,Paramètres!$A$1:$I$89,3,0)*VLOOKUP('Données projet'!$B$14,Paramètres!$A$1:$I$89,5,0)</f>
        <v>207.36767999999992</v>
      </c>
      <c r="DQ95" s="14">
        <f t="shared" si="97"/>
        <v>51.359935934080831</v>
      </c>
      <c r="DR95" s="22">
        <f t="shared" si="70"/>
        <v>450.61726441852397</v>
      </c>
      <c r="DS95" s="62">
        <f t="shared" si="71"/>
        <v>743.95059775185723</v>
      </c>
      <c r="DT95" s="62">
        <f ca="1">AVERAGE(OFFSET($DS$3,0,0,'Données projet'!$E$14+1,1))-AVERAGE(OFFSET($H$3,0,0,'Données projet'!$E$14+1,1))</f>
        <v>349.73011349954953</v>
      </c>
      <c r="DU95" s="62">
        <f t="shared" si="98"/>
        <v>154.08406475869634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-1.7053025658242404E-13</v>
      </c>
      <c r="O96" s="14">
        <f>N96*VLOOKUP('Données projet'!$B$9,Paramètres!$A$1:$I$89,3,0)*VLOOKUP('Données projet'!$B$9,Paramètres!$A$1:$I$89,5,0)</f>
        <v>-1.0197709343628959E-13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203.63995177374335</v>
      </c>
      <c r="T96" s="62">
        <f t="shared" si="88"/>
        <v>268.97461244918378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4.0717739519898659</v>
      </c>
      <c r="AA96" s="23">
        <f>EXP(-LN(2)/25)*AA95+(1-EXP(-LN(2)/25))/(LN(2)/25)*Calculateur!V96*Calculateur!X96*VLOOKUP('Données projet'!$B$9,Paramètres!$A$1:$I$89,3,0)*0.475*44/12</f>
        <v>2.1846263262558505</v>
      </c>
      <c r="AB96" s="23">
        <f>EXP(-LN(2)/2)*AB95+(1-EXP(-LN(2)/2))/(LN(2)/2)*V96*Y96*VLOOKUP('Données projet'!$B$9,Paramètres!$A$1:$I$89,3,0)*0.475*44/12</f>
        <v>1.0543548012011265E-9</v>
      </c>
      <c r="AC96" s="24">
        <f t="shared" si="57"/>
        <v>6.2564002793000713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3.7</v>
      </c>
      <c r="AI96" s="14">
        <f>IF('Données projet'!$A$62&gt;35,AI95+AH96-AQ95,IF(A96&lt;'Données projet'!$A$62,$AF$205^A96,IF(A96='Données projet'!$A$62,'Données projet'!$B$62,AI95+AH96-AQ95)))</f>
        <v>218.09999999999991</v>
      </c>
      <c r="AJ96" s="14">
        <f>AI96*VLOOKUP('Données projet'!$B$10,Paramètres!$A$1:$I$89,3,0)*VLOOKUP('Données projet'!$B$10,Paramètres!$A$1:$I$89,5,0)</f>
        <v>221.15339999999995</v>
      </c>
      <c r="AK96" s="14">
        <f t="shared" si="89"/>
        <v>54.365495169756201</v>
      </c>
      <c r="AL96" s="22">
        <f t="shared" si="58"/>
        <v>479.86207575399197</v>
      </c>
      <c r="AM96" s="62">
        <f t="shared" si="59"/>
        <v>773.19540908732529</v>
      </c>
      <c r="AN96" s="62">
        <f ca="1">AVERAGE(OFFSET($AM$3,0,0,'Données projet'!$E$10+1,1))-AVERAGE(OFFSET($H$3,0,0,'Données projet'!$E$10+1,1))</f>
        <v>364.69354394930866</v>
      </c>
      <c r="AO96" s="62">
        <f t="shared" si="90"/>
        <v>159.6134369231965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2.6</v>
      </c>
      <c r="BD96" s="13">
        <f>IF('Données projet'!$A$88&gt;35,BD95+BC96-BL95,IF(A96&lt;'Données projet'!$A$88,$BA$205^A96,IF(A96='Données projet'!$A$88,'Données projet'!$B$88,BD95+BC96-BL95)))</f>
        <v>168.79999999999998</v>
      </c>
      <c r="BE96" s="14">
        <f>BD96*VLOOKUP('Données projet'!$B$11,Paramètres!$A$1:$I$89,3,0)*VLOOKUP('Données projet'!$B$11,Paramètres!$A$1:$I$89,5,0)</f>
        <v>147.46368000000001</v>
      </c>
      <c r="BF96" s="14">
        <f t="shared" si="91"/>
        <v>38.001626979480669</v>
      </c>
      <c r="BG96" s="22">
        <f t="shared" si="61"/>
        <v>323.01874298926219</v>
      </c>
      <c r="BH96" s="62">
        <f t="shared" si="62"/>
        <v>616.35207632259551</v>
      </c>
      <c r="BI96" s="62">
        <f ca="1">AVERAGE(OFFSET($BH$3,0,0,'Données projet'!$E$11+1,1))-AVERAGE(OFFSET($H$3,0,0,'Données projet'!$E$11+1,1))</f>
        <v>241.00707378755914</v>
      </c>
      <c r="BJ96" s="62">
        <f t="shared" si="92"/>
        <v>239.93573789765657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2.6923076923076961</v>
      </c>
      <c r="BY96" s="13">
        <f>IF('Données projet'!$A$114&gt;35,BY95+BX96-CG95,IF(A96&lt;'Données projet'!$A$114,$BV$205^A96,IF(A96='Données projet'!$A$114,'Données projet'!$B$114,BY95+BX96-CG95)))</f>
        <v>185.00000000000017</v>
      </c>
      <c r="BZ96" s="14">
        <f>BY96*VLOOKUP('Données projet'!$B$12,Paramètres!$A$1:$I$89,3,0)*VLOOKUP('Données projet'!$B$12,Paramètres!$A$1:$I$89,5,0)</f>
        <v>124.09800000000011</v>
      </c>
      <c r="CA96" s="14">
        <f t="shared" si="93"/>
        <v>32.62891454809418</v>
      </c>
      <c r="CB96" s="22">
        <f t="shared" si="64"/>
        <v>272.96604283793084</v>
      </c>
      <c r="CC96" s="62">
        <f t="shared" si="65"/>
        <v>566.29937617126416</v>
      </c>
      <c r="CD96" s="62">
        <f ca="1">AVERAGE(OFFSET($CC$3,0,0,'Données projet'!$E$12+1,1))-AVERAGE(OFFSET($H$3,0,0,'Données projet'!$E$12+1,1))</f>
        <v>207.91006140109965</v>
      </c>
      <c r="CE96" s="62">
        <f t="shared" si="94"/>
        <v>164.93317437647255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2.6923076923076961</v>
      </c>
      <c r="CT96" s="13">
        <f>IF('Données projet'!$A$140&gt;35,CT95+CS96-DB95,IF(A96&lt;'Données projet'!$A$140,$CQ$205^A96,IF(A96='Données projet'!$A$140,'Données projet'!$B$140,CT95+CS96-DB95)))</f>
        <v>185.00000000000017</v>
      </c>
      <c r="CU96" s="18">
        <f>CT96*VLOOKUP('Données projet'!$B$13,Paramètres!$A$1:$I$89,3,0)*VLOOKUP('Données projet'!$B$13,Paramètres!$A$1:$I$89,5,0)</f>
        <v>158.73000000000016</v>
      </c>
      <c r="CV96" s="14">
        <f t="shared" si="95"/>
        <v>40.555930639071995</v>
      </c>
      <c r="CW96" s="22">
        <f t="shared" si="67"/>
        <v>347.08966252971732</v>
      </c>
      <c r="CX96" s="62">
        <f t="shared" si="68"/>
        <v>640.42299586305057</v>
      </c>
      <c r="CY96" s="62">
        <f ca="1">AVERAGE(OFFSET($CX$3,0,0,'Données projet'!$E$13+1,1))-AVERAGE(OFFSET($H$3,0,0,'Données projet'!$E$13+1,1))</f>
        <v>255.77222823147724</v>
      </c>
      <c r="CZ96" s="62">
        <f t="shared" si="96"/>
        <v>199.6931080052031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3.7</v>
      </c>
      <c r="DO96" s="13">
        <f>IF('Données projet'!$A$166&gt;35,DO95+DN96-DW95,IF(A96&lt;'Données projet'!$A$166,$DL$205^A96,IF(A96='Données projet'!$A$166,'Données projet'!$B$166,DO95+DN96-DW95)))</f>
        <v>218.09999999999991</v>
      </c>
      <c r="DP96" s="18">
        <f>DO96*VLOOKUP('Données projet'!$B$14,Paramètres!$A$1:$I$89,3,0)*VLOOKUP('Données projet'!$B$14,Paramètres!$A$1:$I$89,5,0)</f>
        <v>210.94631999999993</v>
      </c>
      <c r="DQ96" s="14">
        <f t="shared" si="97"/>
        <v>52.142326282907113</v>
      </c>
      <c r="DR96" s="22">
        <f t="shared" si="70"/>
        <v>458.2127256093965</v>
      </c>
      <c r="DS96" s="62">
        <f t="shared" si="71"/>
        <v>751.54605894272981</v>
      </c>
      <c r="DT96" s="62">
        <f ca="1">AVERAGE(OFFSET($DS$3,0,0,'Données projet'!$E$14+1,1))-AVERAGE(OFFSET($H$3,0,0,'Données projet'!$E$14+1,1))</f>
        <v>349.73011349954953</v>
      </c>
      <c r="DU96" s="62">
        <f t="shared" si="98"/>
        <v>154.08406475869634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-1.7053025658242404E-13</v>
      </c>
      <c r="O97" s="14">
        <f>N97*VLOOKUP('Données projet'!$B$9,Paramètres!$A$1:$I$89,3,0)*VLOOKUP('Données projet'!$B$9,Paramètres!$A$1:$I$89,5,0)</f>
        <v>-1.0197709343628959E-13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203.63995177374335</v>
      </c>
      <c r="T97" s="62">
        <f t="shared" si="88"/>
        <v>268.97461244918378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3.9919289483282263</v>
      </c>
      <c r="AA97" s="23">
        <f>EXP(-LN(2)/25)*AA96+(1-EXP(-LN(2)/25))/(LN(2)/25)*Calculateur!V97*Calculateur!X97*VLOOKUP('Données projet'!$B$9,Paramètres!$A$1:$I$89,3,0)*0.475*44/12</f>
        <v>2.1248876044798788</v>
      </c>
      <c r="AB97" s="23">
        <f>EXP(-LN(2)/2)*AB96+(1-EXP(-LN(2)/2))/(LN(2)/2)*V97*Y97*VLOOKUP('Données projet'!$B$9,Paramètres!$A$1:$I$89,3,0)*0.475*44/12</f>
        <v>7.4554142970591077E-10</v>
      </c>
      <c r="AC97" s="24">
        <f t="shared" si="57"/>
        <v>6.1168165535536465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3.7</v>
      </c>
      <c r="AI97" s="14">
        <f>IF('Données projet'!$A$62&gt;35,AI96+AH97-AQ96,IF(A97&lt;'Données projet'!$A$62,$AF$205^A97,IF(A97='Données projet'!$A$62,'Données projet'!$B$62,AI96+AH97-AQ96)))</f>
        <v>221.7999999999999</v>
      </c>
      <c r="AJ97" s="14">
        <f>AI97*VLOOKUP('Données projet'!$B$10,Paramètres!$A$1:$I$89,3,0)*VLOOKUP('Données projet'!$B$10,Paramètres!$A$1:$I$89,5,0)</f>
        <v>224.90519999999989</v>
      </c>
      <c r="AK97" s="14">
        <f t="shared" si="89"/>
        <v>55.17963460003309</v>
      </c>
      <c r="AL97" s="22">
        <f t="shared" si="58"/>
        <v>487.81442026172414</v>
      </c>
      <c r="AM97" s="62">
        <f t="shared" si="59"/>
        <v>781.14775359505745</v>
      </c>
      <c r="AN97" s="62">
        <f ca="1">AVERAGE(OFFSET($AM$3,0,0,'Données projet'!$E$10+1,1))-AVERAGE(OFFSET($H$3,0,0,'Données projet'!$E$10+1,1))</f>
        <v>364.69354394930866</v>
      </c>
      <c r="AO97" s="62">
        <f t="shared" si="90"/>
        <v>159.6134369231965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2.6</v>
      </c>
      <c r="BD97" s="13">
        <f>IF('Données projet'!$A$88&gt;35,BD96+BC97-BL96,IF(A97&lt;'Données projet'!$A$88,$BA$205^A97,IF(A97='Données projet'!$A$88,'Données projet'!$B$88,BD96+BC97-BL96)))</f>
        <v>171.39999999999998</v>
      </c>
      <c r="BE97" s="14">
        <f>BD97*VLOOKUP('Données projet'!$B$11,Paramètres!$A$1:$I$89,3,0)*VLOOKUP('Données projet'!$B$11,Paramètres!$A$1:$I$89,5,0)</f>
        <v>149.73504</v>
      </c>
      <c r="BF97" s="14">
        <f t="shared" si="91"/>
        <v>38.518366315830406</v>
      </c>
      <c r="BG97" s="22">
        <f t="shared" si="61"/>
        <v>327.87468266673795</v>
      </c>
      <c r="BH97" s="62">
        <f t="shared" si="62"/>
        <v>621.20801600007121</v>
      </c>
      <c r="BI97" s="62">
        <f ca="1">AVERAGE(OFFSET($BH$3,0,0,'Données projet'!$E$11+1,1))-AVERAGE(OFFSET($H$3,0,0,'Données projet'!$E$11+1,1))</f>
        <v>241.00707378755914</v>
      </c>
      <c r="BJ97" s="62">
        <f t="shared" si="92"/>
        <v>239.93573789765657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2.6923076923076961</v>
      </c>
      <c r="BY97" s="13">
        <f>IF('Données projet'!$A$114&gt;35,BY96+BX97-CG96,IF(A97&lt;'Données projet'!$A$114,$BV$205^A97,IF(A97='Données projet'!$A$114,'Données projet'!$B$114,BY96+BX97-CG96)))</f>
        <v>187.69230769230788</v>
      </c>
      <c r="BZ97" s="14">
        <f>BY97*VLOOKUP('Données projet'!$B$12,Paramètres!$A$1:$I$89,3,0)*VLOOKUP('Données projet'!$B$12,Paramètres!$A$1:$I$89,5,0)</f>
        <v>125.90400000000012</v>
      </c>
      <c r="CA97" s="14">
        <f t="shared" si="93"/>
        <v>33.04813771941636</v>
      </c>
      <c r="CB97" s="22">
        <f t="shared" si="64"/>
        <v>276.84163986131705</v>
      </c>
      <c r="CC97" s="62">
        <f t="shared" si="65"/>
        <v>570.17497319465042</v>
      </c>
      <c r="CD97" s="62">
        <f ca="1">AVERAGE(OFFSET($CC$3,0,0,'Données projet'!$E$12+1,1))-AVERAGE(OFFSET($H$3,0,0,'Données projet'!$E$12+1,1))</f>
        <v>207.91006140109965</v>
      </c>
      <c r="CE97" s="62">
        <f t="shared" si="94"/>
        <v>164.93317437647255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2.6923076923076961</v>
      </c>
      <c r="CT97" s="13">
        <f>IF('Données projet'!$A$140&gt;35,CT96+CS97-DB96,IF(A97&lt;'Données projet'!$A$140,$CQ$205^A97,IF(A97='Données projet'!$A$140,'Données projet'!$B$140,CT96+CS97-DB96)))</f>
        <v>187.69230769230788</v>
      </c>
      <c r="CU97" s="18">
        <f>CT97*VLOOKUP('Données projet'!$B$13,Paramètres!$A$1:$I$89,3,0)*VLOOKUP('Données projet'!$B$13,Paramètres!$A$1:$I$89,5,0)</f>
        <v>161.04000000000016</v>
      </c>
      <c r="CV97" s="14">
        <f t="shared" si="95"/>
        <v>41.077001783911108</v>
      </c>
      <c r="CW97" s="22">
        <f t="shared" si="67"/>
        <v>352.02044477364547</v>
      </c>
      <c r="CX97" s="62">
        <f t="shared" si="68"/>
        <v>645.35377810697878</v>
      </c>
      <c r="CY97" s="62">
        <f ca="1">AVERAGE(OFFSET($CX$3,0,0,'Données projet'!$E$13+1,1))-AVERAGE(OFFSET($H$3,0,0,'Données projet'!$E$13+1,1))</f>
        <v>255.77222823147724</v>
      </c>
      <c r="CZ97" s="62">
        <f t="shared" si="96"/>
        <v>199.6931080052031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3.7</v>
      </c>
      <c r="DO97" s="13">
        <f>IF('Données projet'!$A$166&gt;35,DO96+DN97-DW96,IF(A97&lt;'Données projet'!$A$166,$DL$205^A97,IF(A97='Données projet'!$A$166,'Données projet'!$B$166,DO96+DN97-DW96)))</f>
        <v>221.7999999999999</v>
      </c>
      <c r="DP97" s="18">
        <f>DO97*VLOOKUP('Données projet'!$B$14,Paramètres!$A$1:$I$89,3,0)*VLOOKUP('Données projet'!$B$14,Paramètres!$A$1:$I$89,5,0)</f>
        <v>214.52495999999991</v>
      </c>
      <c r="DQ97" s="14">
        <f t="shared" si="97"/>
        <v>52.923173099085716</v>
      </c>
      <c r="DR97" s="22">
        <f t="shared" si="70"/>
        <v>465.80549848090749</v>
      </c>
      <c r="DS97" s="62">
        <f t="shared" si="71"/>
        <v>759.1388318142408</v>
      </c>
      <c r="DT97" s="62">
        <f ca="1">AVERAGE(OFFSET($DS$3,0,0,'Données projet'!$E$14+1,1))-AVERAGE(OFFSET($H$3,0,0,'Données projet'!$E$14+1,1))</f>
        <v>349.73011349954953</v>
      </c>
      <c r="DU97" s="62">
        <f t="shared" si="98"/>
        <v>154.08406475869634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-1.7053025658242404E-13</v>
      </c>
      <c r="O98" s="14">
        <f>N98*VLOOKUP('Données projet'!$B$9,Paramètres!$A$1:$I$89,3,0)*VLOOKUP('Données projet'!$B$9,Paramètres!$A$1:$I$89,5,0)</f>
        <v>-1.0197709343628959E-13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203.63995177374335</v>
      </c>
      <c r="T98" s="62">
        <f t="shared" si="88"/>
        <v>268.97461244918378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3.9136496564877481</v>
      </c>
      <c r="AA98" s="23">
        <f>EXP(-LN(2)/25)*AA97+(1-EXP(-LN(2)/25))/(LN(2)/25)*Calculateur!V98*Calculateur!X98*VLOOKUP('Données projet'!$B$9,Paramètres!$A$1:$I$89,3,0)*0.475*44/12</f>
        <v>2.0667824411923941</v>
      </c>
      <c r="AB98" s="23">
        <f>EXP(-LN(2)/2)*AB97+(1-EXP(-LN(2)/2))/(LN(2)/2)*V98*Y98*VLOOKUP('Données projet'!$B$9,Paramètres!$A$1:$I$89,3,0)*0.475*44/12</f>
        <v>5.2717740060056325E-10</v>
      </c>
      <c r="AC98" s="24">
        <f t="shared" si="57"/>
        <v>5.9804320982073191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3.7</v>
      </c>
      <c r="AI98" s="14">
        <f>IF('Données projet'!$A$62&gt;35,AI97+AH98-AQ97,IF(A98&lt;'Données projet'!$A$62,$AF$205^A98,IF(A98='Données projet'!$A$62,'Données projet'!$B$62,AI97+AH98-AQ97)))</f>
        <v>225.49999999999989</v>
      </c>
      <c r="AJ98" s="14">
        <f>AI98*VLOOKUP('Données projet'!$B$10,Paramètres!$A$1:$I$89,3,0)*VLOOKUP('Données projet'!$B$10,Paramètres!$A$1:$I$89,5,0)</f>
        <v>228.6569999999999</v>
      </c>
      <c r="AK98" s="14">
        <f t="shared" si="89"/>
        <v>55.992194631995119</v>
      </c>
      <c r="AL98" s="22">
        <f t="shared" si="58"/>
        <v>495.76401398405795</v>
      </c>
      <c r="AM98" s="62">
        <f t="shared" si="59"/>
        <v>789.09734731739127</v>
      </c>
      <c r="AN98" s="62">
        <f ca="1">AVERAGE(OFFSET($AM$3,0,0,'Données projet'!$E$10+1,1))-AVERAGE(OFFSET($H$3,0,0,'Données projet'!$E$10+1,1))</f>
        <v>364.69354394930866</v>
      </c>
      <c r="AO98" s="62">
        <f t="shared" si="90"/>
        <v>159.6134369231965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174</v>
      </c>
      <c r="BB98" s="13">
        <f>VLOOKUP(A98,'Données projet'!$A$87:$I$107,9,0)</f>
        <v>2.6</v>
      </c>
      <c r="BC98" s="13">
        <f t="array" ref="BC98">INDEX(BB:BB,MIN(IF(ISNUMBER(BB98:BB294),ROW(BB98:BB294),"")))</f>
        <v>2.6</v>
      </c>
      <c r="BD98" s="13">
        <f>IF('Données projet'!$A$88&gt;35,BD97+BC98-BL97,IF(A98&lt;'Données projet'!$A$88,$BA$205^A98,IF(A98='Données projet'!$A$88,'Données projet'!$B$88,BD97+BC98-BL97)))</f>
        <v>173.99999999999997</v>
      </c>
      <c r="BE98" s="14">
        <f>BD98*VLOOKUP('Données projet'!$B$11,Paramètres!$A$1:$I$89,3,0)*VLOOKUP('Données projet'!$B$11,Paramètres!$A$1:$I$89,5,0)</f>
        <v>152.00640000000001</v>
      </c>
      <c r="BF98" s="14">
        <f t="shared" si="91"/>
        <v>39.03419401656145</v>
      </c>
      <c r="BG98" s="22">
        <f t="shared" si="61"/>
        <v>332.72903457884451</v>
      </c>
      <c r="BH98" s="62">
        <f t="shared" si="62"/>
        <v>626.06236791217782</v>
      </c>
      <c r="BI98" s="62">
        <f ca="1">AVERAGE(OFFSET($BH$3,0,0,'Données projet'!$E$11+1,1))-AVERAGE(OFFSET($H$3,0,0,'Données projet'!$E$11+1,1))</f>
        <v>241.00707378755914</v>
      </c>
      <c r="BJ98" s="62">
        <f t="shared" si="92"/>
        <v>239.93573789765657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190.38461538461539</v>
      </c>
      <c r="BW98" s="13">
        <f>VLOOKUP(A98,'Données projet'!$A$113:$I$133,9,0)</f>
        <v>2.6923076923076961</v>
      </c>
      <c r="BX98" s="13">
        <f t="array" ref="BX98">INDEX(BW:BW,MIN(IF(ISNUMBER(BW98:BW294),ROW(BW98:BW294),"")))</f>
        <v>2.6923076923076961</v>
      </c>
      <c r="BY98" s="13">
        <f>IF('Données projet'!$A$114&gt;35,BY97+BX98-CG97,IF(A98&lt;'Données projet'!$A$114,$BV$205^A98,IF(A98='Données projet'!$A$114,'Données projet'!$B$114,BY97+BX98-CG97)))</f>
        <v>190.38461538461559</v>
      </c>
      <c r="BZ98" s="14">
        <f>BY98*VLOOKUP('Données projet'!$B$12,Paramètres!$A$1:$I$89,3,0)*VLOOKUP('Données projet'!$B$12,Paramètres!$A$1:$I$89,5,0)</f>
        <v>127.71000000000014</v>
      </c>
      <c r="CA98" s="14">
        <f t="shared" si="93"/>
        <v>33.466661484163012</v>
      </c>
      <c r="CB98" s="22">
        <f t="shared" si="64"/>
        <v>280.71601875158416</v>
      </c>
      <c r="CC98" s="62">
        <f t="shared" si="65"/>
        <v>574.04935208491747</v>
      </c>
      <c r="CD98" s="62">
        <f ca="1">AVERAGE(OFFSET($CC$3,0,0,'Données projet'!$E$12+1,1))-AVERAGE(OFFSET($H$3,0,0,'Données projet'!$E$12+1,1))</f>
        <v>207.91006140109965</v>
      </c>
      <c r="CE98" s="62">
        <f t="shared" si="94"/>
        <v>164.93317437647255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190.38461538461539</v>
      </c>
      <c r="CR98" s="13">
        <f>VLOOKUP(A98,'Données projet'!$A$139:$I$159,9,0)</f>
        <v>2.6923076923076961</v>
      </c>
      <c r="CS98" s="13">
        <f t="array" ref="CS98">INDEX(CR:CR,MIN(IF(ISNUMBER(CR98:CR294),ROW(CR98:CR294),"")))</f>
        <v>2.6923076923076961</v>
      </c>
      <c r="CT98" s="13">
        <f>IF('Données projet'!$A$140&gt;35,CT97+CS98-DB97,IF(A98&lt;'Données projet'!$A$140,$CQ$205^A98,IF(A98='Données projet'!$A$140,'Données projet'!$B$140,CT97+CS98-DB97)))</f>
        <v>190.38461538461559</v>
      </c>
      <c r="CU98" s="18">
        <f>CT98*VLOOKUP('Données projet'!$B$13,Paramètres!$A$1:$I$89,3,0)*VLOOKUP('Données projet'!$B$13,Paramètres!$A$1:$I$89,5,0)</f>
        <v>163.35000000000019</v>
      </c>
      <c r="CV98" s="14">
        <f t="shared" si="95"/>
        <v>41.597203605177675</v>
      </c>
      <c r="CW98" s="22">
        <f t="shared" si="67"/>
        <v>356.94971294568472</v>
      </c>
      <c r="CX98" s="62">
        <f t="shared" si="68"/>
        <v>650.28304627901798</v>
      </c>
      <c r="CY98" s="62">
        <f ca="1">AVERAGE(OFFSET($CX$3,0,0,'Données projet'!$E$13+1,1))-AVERAGE(OFFSET($H$3,0,0,'Données projet'!$E$13+1,1))</f>
        <v>255.77222823147724</v>
      </c>
      <c r="CZ98" s="62">
        <f t="shared" si="96"/>
        <v>199.6931080052031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3.7</v>
      </c>
      <c r="DO98" s="13">
        <f>IF('Données projet'!$A$166&gt;35,DO97+DN98-DW97,IF(A98&lt;'Données projet'!$A$166,$DL$205^A98,IF(A98='Données projet'!$A$166,'Données projet'!$B$166,DO97+DN98-DW97)))</f>
        <v>225.49999999999989</v>
      </c>
      <c r="DP98" s="18">
        <f>DO98*VLOOKUP('Données projet'!$B$14,Paramètres!$A$1:$I$89,3,0)*VLOOKUP('Données projet'!$B$14,Paramètres!$A$1:$I$89,5,0)</f>
        <v>218.10359999999989</v>
      </c>
      <c r="DQ98" s="14">
        <f t="shared" si="97"/>
        <v>53.702505103304937</v>
      </c>
      <c r="DR98" s="22">
        <f t="shared" si="70"/>
        <v>473.39563305492248</v>
      </c>
      <c r="DS98" s="62">
        <f t="shared" si="71"/>
        <v>766.7289663882558</v>
      </c>
      <c r="DT98" s="62">
        <f ca="1">AVERAGE(OFFSET($DS$3,0,0,'Données projet'!$E$14+1,1))-AVERAGE(OFFSET($H$3,0,0,'Données projet'!$E$14+1,1))</f>
        <v>349.73011349954953</v>
      </c>
      <c r="DU98" s="62">
        <f t="shared" si="98"/>
        <v>154.08406475869634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-1.7053025658242404E-13</v>
      </c>
      <c r="O99" s="14">
        <f>N99*VLOOKUP('Données projet'!$B$9,Paramètres!$A$1:$I$89,3,0)*VLOOKUP('Données projet'!$B$9,Paramètres!$A$1:$I$89,5,0)</f>
        <v>-1.0197709343628959E-13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203.63995177374335</v>
      </c>
      <c r="T99" s="62">
        <f t="shared" si="88"/>
        <v>268.97461244918378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3.8369053738146084</v>
      </c>
      <c r="AA99" s="23">
        <f>EXP(-LN(2)/25)*AA98+(1-EXP(-LN(2)/25))/(LN(2)/25)*Calculateur!V99*Calculateur!X99*VLOOKUP('Données projet'!$B$9,Paramètres!$A$1:$I$89,3,0)*0.475*44/12</f>
        <v>2.0102661666506232</v>
      </c>
      <c r="AB99" s="23">
        <f>EXP(-LN(2)/2)*AB98+(1-EXP(-LN(2)/2))/(LN(2)/2)*V99*Y99*VLOOKUP('Données projet'!$B$9,Paramètres!$A$1:$I$89,3,0)*0.475*44/12</f>
        <v>3.7277071485295539E-10</v>
      </c>
      <c r="AC99" s="24">
        <f t="shared" si="57"/>
        <v>5.8471715408380023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3.7</v>
      </c>
      <c r="AI99" s="14">
        <f>IF('Données projet'!$A$62&gt;35,AI98+AH99-AQ98,IF(A99&lt;'Données projet'!$A$62,$AF$205^A99,IF(A99='Données projet'!$A$62,'Données projet'!$B$62,AI98+AH99-AQ98)))</f>
        <v>229.19999999999987</v>
      </c>
      <c r="AJ99" s="14">
        <f>AI99*VLOOKUP('Données projet'!$B$10,Paramètres!$A$1:$I$89,3,0)*VLOOKUP('Données projet'!$B$10,Paramètres!$A$1:$I$89,5,0)</f>
        <v>232.4087999999999</v>
      </c>
      <c r="AK99" s="14">
        <f t="shared" si="89"/>
        <v>56.803204171860791</v>
      </c>
      <c r="AL99" s="22">
        <f t="shared" si="58"/>
        <v>503.71090726599067</v>
      </c>
      <c r="AM99" s="62">
        <f t="shared" si="59"/>
        <v>797.04424059932398</v>
      </c>
      <c r="AN99" s="62">
        <f ca="1">AVERAGE(OFFSET($AM$3,0,0,'Données projet'!$E$10+1,1))-AVERAGE(OFFSET($H$3,0,0,'Données projet'!$E$10+1,1))</f>
        <v>364.69354394930866</v>
      </c>
      <c r="AO99" s="62">
        <f t="shared" si="90"/>
        <v>159.6134369231965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2.4</v>
      </c>
      <c r="BD99" s="13">
        <f>IF('Données projet'!$A$88&gt;35,BD98+BC99-BL98,IF(A99&lt;'Données projet'!$A$88,$BA$205^A99,IF(A99='Données projet'!$A$88,'Données projet'!$B$88,BD98+BC99-BL98)))</f>
        <v>176.39999999999998</v>
      </c>
      <c r="BE99" s="14">
        <f>BD99*VLOOKUP('Données projet'!$B$11,Paramètres!$A$1:$I$89,3,0)*VLOOKUP('Données projet'!$B$11,Paramètres!$A$1:$I$89,5,0)</f>
        <v>154.10303999999999</v>
      </c>
      <c r="BF99" s="14">
        <f t="shared" si="91"/>
        <v>39.509546668758176</v>
      </c>
      <c r="BG99" s="22">
        <f t="shared" si="61"/>
        <v>337.20858844808714</v>
      </c>
      <c r="BH99" s="62">
        <f t="shared" si="62"/>
        <v>630.54192178142046</v>
      </c>
      <c r="BI99" s="62">
        <f ca="1">AVERAGE(OFFSET($BH$3,0,0,'Données projet'!$E$11+1,1))-AVERAGE(OFFSET($H$3,0,0,'Données projet'!$E$11+1,1))</f>
        <v>241.00707378755914</v>
      </c>
      <c r="BJ99" s="62">
        <f t="shared" si="92"/>
        <v>239.93573789765657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2.5641025641025634</v>
      </c>
      <c r="BY99" s="13">
        <f>IF('Données projet'!$A$114&gt;35,BY98+BX99-CG98,IF(A99&lt;'Données projet'!$A$114,$BV$205^A99,IF(A99='Données projet'!$A$114,'Données projet'!$B$114,BY98+BX99-CG98)))</f>
        <v>192.94871794871815</v>
      </c>
      <c r="BZ99" s="14">
        <f>BY99*VLOOKUP('Données projet'!$B$12,Paramètres!$A$1:$I$89,3,0)*VLOOKUP('Données projet'!$B$12,Paramètres!$A$1:$I$89,5,0)</f>
        <v>129.43000000000012</v>
      </c>
      <c r="CA99" s="14">
        <f t="shared" si="93"/>
        <v>33.864615402560055</v>
      </c>
      <c r="CB99" s="22">
        <f t="shared" si="64"/>
        <v>284.40478849279231</v>
      </c>
      <c r="CC99" s="62">
        <f t="shared" si="65"/>
        <v>577.73812182612562</v>
      </c>
      <c r="CD99" s="62">
        <f ca="1">AVERAGE(OFFSET($CC$3,0,0,'Données projet'!$E$12+1,1))-AVERAGE(OFFSET($H$3,0,0,'Données projet'!$E$12+1,1))</f>
        <v>207.91006140109965</v>
      </c>
      <c r="CE99" s="62">
        <f t="shared" si="94"/>
        <v>164.93317437647255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2.5641025641025634</v>
      </c>
      <c r="CT99" s="13">
        <f>IF('Données projet'!$A$140&gt;35,CT98+CS99-DB98,IF(A99&lt;'Données projet'!$A$140,$CQ$205^A99,IF(A99='Données projet'!$A$140,'Données projet'!$B$140,CT98+CS99-DB98)))</f>
        <v>192.94871794871815</v>
      </c>
      <c r="CU99" s="18">
        <f>CT99*VLOOKUP('Données projet'!$B$13,Paramètres!$A$1:$I$89,3,0)*VLOOKUP('Données projet'!$B$13,Paramètres!$A$1:$I$89,5,0)</f>
        <v>165.55000000000018</v>
      </c>
      <c r="CV99" s="14">
        <f t="shared" si="95"/>
        <v>42.091838248578682</v>
      </c>
      <c r="CW99" s="22">
        <f t="shared" si="67"/>
        <v>361.64286828294149</v>
      </c>
      <c r="CX99" s="62">
        <f t="shared" si="68"/>
        <v>654.97620161627481</v>
      </c>
      <c r="CY99" s="62">
        <f ca="1">AVERAGE(OFFSET($CX$3,0,0,'Données projet'!$E$13+1,1))-AVERAGE(OFFSET($H$3,0,0,'Données projet'!$E$13+1,1))</f>
        <v>255.77222823147724</v>
      </c>
      <c r="CZ99" s="62">
        <f t="shared" si="96"/>
        <v>199.6931080052031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3.7</v>
      </c>
      <c r="DO99" s="13">
        <f>IF('Données projet'!$A$166&gt;35,DO98+DN99-DW98,IF(A99&lt;'Données projet'!$A$166,$DL$205^A99,IF(A99='Données projet'!$A$166,'Données projet'!$B$166,DO98+DN99-DW98)))</f>
        <v>229.19999999999987</v>
      </c>
      <c r="DP99" s="18">
        <f>DO99*VLOOKUP('Données projet'!$B$14,Paramètres!$A$1:$I$89,3,0)*VLOOKUP('Données projet'!$B$14,Paramètres!$A$1:$I$89,5,0)</f>
        <v>221.68223999999989</v>
      </c>
      <c r="DQ99" s="14">
        <f t="shared" si="97"/>
        <v>54.480350019720802</v>
      </c>
      <c r="DR99" s="22">
        <f t="shared" si="70"/>
        <v>480.98317761768021</v>
      </c>
      <c r="DS99" s="62">
        <f t="shared" si="71"/>
        <v>774.31651095101347</v>
      </c>
      <c r="DT99" s="62">
        <f ca="1">AVERAGE(OFFSET($DS$3,0,0,'Données projet'!$E$14+1,1))-AVERAGE(OFFSET($H$3,0,0,'Données projet'!$E$14+1,1))</f>
        <v>349.73011349954953</v>
      </c>
      <c r="DU99" s="62">
        <f t="shared" si="98"/>
        <v>154.08406475869634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-1.7053025658242404E-13</v>
      </c>
      <c r="O100" s="14">
        <f>N100*VLOOKUP('Données projet'!$B$9,Paramètres!$A$1:$I$89,3,0)*VLOOKUP('Données projet'!$B$9,Paramètres!$A$1:$I$89,5,0)</f>
        <v>-1.0197709343628959E-13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203.63995177374335</v>
      </c>
      <c r="T100" s="62">
        <f t="shared" si="88"/>
        <v>268.97461244918378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3.7616659997152984</v>
      </c>
      <c r="AA100" s="23">
        <f>EXP(-LN(2)/25)*AA99+(1-EXP(-LN(2)/25))/(LN(2)/25)*Calculateur!V100*Calculateur!X100*VLOOKUP('Données projet'!$B$9,Paramètres!$A$1:$I$89,3,0)*0.475*44/12</f>
        <v>1.9552953326082587</v>
      </c>
      <c r="AB100" s="23">
        <f>EXP(-LN(2)/2)*AB99+(1-EXP(-LN(2)/2))/(LN(2)/2)*V100*Y100*VLOOKUP('Données projet'!$B$9,Paramètres!$A$1:$I$89,3,0)*0.475*44/12</f>
        <v>2.6358870030028162E-10</v>
      </c>
      <c r="AC100" s="24">
        <f t="shared" si="57"/>
        <v>5.7169613325871449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3.7</v>
      </c>
      <c r="AI100" s="14">
        <f>IF('Données projet'!$A$62&gt;35,AI99+AH100-AQ99,IF(A100&lt;'Données projet'!$A$62,$AF$205^A100,IF(A100='Données projet'!$A$62,'Données projet'!$B$62,AI99+AH100-AQ99)))</f>
        <v>232.89999999999986</v>
      </c>
      <c r="AJ100" s="14">
        <f>AI100*VLOOKUP('Données projet'!$B$10,Paramètres!$A$1:$I$89,3,0)*VLOOKUP('Données projet'!$B$10,Paramètres!$A$1:$I$89,5,0)</f>
        <v>236.16059999999987</v>
      </c>
      <c r="AK100" s="14">
        <f t="shared" si="89"/>
        <v>57.612691139059045</v>
      </c>
      <c r="AL100" s="22">
        <f t="shared" si="58"/>
        <v>511.65514873386093</v>
      </c>
      <c r="AM100" s="62">
        <f t="shared" si="59"/>
        <v>804.98848206719424</v>
      </c>
      <c r="AN100" s="62">
        <f ca="1">AVERAGE(OFFSET($AM$3,0,0,'Données projet'!$E$10+1,1))-AVERAGE(OFFSET($H$3,0,0,'Données projet'!$E$10+1,1))</f>
        <v>364.69354394930866</v>
      </c>
      <c r="AO100" s="62">
        <f t="shared" si="90"/>
        <v>159.6134369231965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2.4</v>
      </c>
      <c r="BD100" s="13">
        <f>IF('Données projet'!$A$88&gt;35,BD99+BC100-BL99,IF(A100&lt;'Données projet'!$A$88,$BA$205^A100,IF(A100='Données projet'!$A$88,'Données projet'!$B$88,BD99+BC100-BL99)))</f>
        <v>178.79999999999998</v>
      </c>
      <c r="BE100" s="14">
        <f>BD100*VLOOKUP('Données projet'!$B$11,Paramètres!$A$1:$I$89,3,0)*VLOOKUP('Données projet'!$B$11,Paramètres!$A$1:$I$89,5,0)</f>
        <v>156.19968</v>
      </c>
      <c r="BF100" s="14">
        <f t="shared" si="91"/>
        <v>39.984147088814133</v>
      </c>
      <c r="BG100" s="22">
        <f t="shared" si="61"/>
        <v>341.68683217968459</v>
      </c>
      <c r="BH100" s="62">
        <f t="shared" si="62"/>
        <v>635.0201655130179</v>
      </c>
      <c r="BI100" s="62">
        <f ca="1">AVERAGE(OFFSET($BH$3,0,0,'Données projet'!$E$11+1,1))-AVERAGE(OFFSET($H$3,0,0,'Données projet'!$E$11+1,1))</f>
        <v>241.00707378755914</v>
      </c>
      <c r="BJ100" s="62">
        <f t="shared" si="92"/>
        <v>239.93573789765657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2.5641025641025634</v>
      </c>
      <c r="BY100" s="13">
        <f>IF('Données projet'!$A$114&gt;35,BY99+BX100-CG99,IF(A100&lt;'Données projet'!$A$114,$BV$205^A100,IF(A100='Données projet'!$A$114,'Données projet'!$B$114,BY99+BX100-CG99)))</f>
        <v>195.51282051282072</v>
      </c>
      <c r="BZ100" s="14">
        <f>BY100*VLOOKUP('Données projet'!$B$12,Paramètres!$A$1:$I$89,3,0)*VLOOKUP('Données projet'!$B$12,Paramètres!$A$1:$I$89,5,0)</f>
        <v>131.15000000000015</v>
      </c>
      <c r="CA100" s="14">
        <f t="shared" si="93"/>
        <v>34.261954205091854</v>
      </c>
      <c r="CB100" s="22">
        <f t="shared" si="64"/>
        <v>288.09248690720187</v>
      </c>
      <c r="CC100" s="62">
        <f t="shared" si="65"/>
        <v>581.42582024053513</v>
      </c>
      <c r="CD100" s="62">
        <f ca="1">AVERAGE(OFFSET($CC$3,0,0,'Données projet'!$E$12+1,1))-AVERAGE(OFFSET($H$3,0,0,'Données projet'!$E$12+1,1))</f>
        <v>207.91006140109965</v>
      </c>
      <c r="CE100" s="62">
        <f t="shared" si="94"/>
        <v>164.93317437647255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2.5641025641025634</v>
      </c>
      <c r="CT100" s="13">
        <f>IF('Données projet'!$A$140&gt;35,CT99+CS100-DB99,IF(A100&lt;'Données projet'!$A$140,$CQ$205^A100,IF(A100='Données projet'!$A$140,'Données projet'!$B$140,CT99+CS100-DB99)))</f>
        <v>195.51282051282072</v>
      </c>
      <c r="CU100" s="18">
        <f>CT100*VLOOKUP('Données projet'!$B$13,Paramètres!$A$1:$I$89,3,0)*VLOOKUP('Données projet'!$B$13,Paramètres!$A$1:$I$89,5,0)</f>
        <v>167.7500000000002</v>
      </c>
      <c r="CV100" s="14">
        <f t="shared" si="95"/>
        <v>42.585708337083673</v>
      </c>
      <c r="CW100" s="22">
        <f t="shared" si="67"/>
        <v>366.33469202042107</v>
      </c>
      <c r="CX100" s="62">
        <f t="shared" si="68"/>
        <v>659.66802535375439</v>
      </c>
      <c r="CY100" s="62">
        <f ca="1">AVERAGE(OFFSET($CX$3,0,0,'Données projet'!$E$13+1,1))-AVERAGE(OFFSET($H$3,0,0,'Données projet'!$E$13+1,1))</f>
        <v>255.77222823147724</v>
      </c>
      <c r="CZ100" s="62">
        <f t="shared" si="96"/>
        <v>199.6931080052031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3.7</v>
      </c>
      <c r="DO100" s="13">
        <f>IF('Données projet'!$A$166&gt;35,DO99+DN100-DW99,IF(A100&lt;'Données projet'!$A$166,$DL$205^A100,IF(A100='Données projet'!$A$166,'Données projet'!$B$166,DO99+DN100-DW99)))</f>
        <v>232.89999999999986</v>
      </c>
      <c r="DP100" s="18">
        <f>DO100*VLOOKUP('Données projet'!$B$14,Paramètres!$A$1:$I$89,3,0)*VLOOKUP('Données projet'!$B$14,Paramètres!$A$1:$I$89,5,0)</f>
        <v>225.26087999999987</v>
      </c>
      <c r="DQ100" s="14">
        <f t="shared" si="97"/>
        <v>55.256734626052747</v>
      </c>
      <c r="DR100" s="22">
        <f t="shared" si="70"/>
        <v>488.56817880704153</v>
      </c>
      <c r="DS100" s="62">
        <f t="shared" si="71"/>
        <v>781.90151214037485</v>
      </c>
      <c r="DT100" s="62">
        <f ca="1">AVERAGE(OFFSET($DS$3,0,0,'Données projet'!$E$14+1,1))-AVERAGE(OFFSET($H$3,0,0,'Données projet'!$E$14+1,1))</f>
        <v>349.73011349954953</v>
      </c>
      <c r="DU100" s="62">
        <f t="shared" si="98"/>
        <v>154.08406475869634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-1.7053025658242404E-13</v>
      </c>
      <c r="O101" s="14">
        <f>N101*VLOOKUP('Données projet'!$B$9,Paramètres!$A$1:$I$89,3,0)*VLOOKUP('Données projet'!$B$9,Paramètres!$A$1:$I$89,5,0)</f>
        <v>-1.0197709343628959E-13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203.63995177374335</v>
      </c>
      <c r="T101" s="62">
        <f t="shared" si="88"/>
        <v>268.97461244918378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3.6879020238505889</v>
      </c>
      <c r="AA101" s="23">
        <f>EXP(-LN(2)/25)*AA100+(1-EXP(-LN(2)/25))/(LN(2)/25)*Calculateur!V101*Calculateur!X101*VLOOKUP('Données projet'!$B$9,Paramètres!$A$1:$I$89,3,0)*0.475*44/12</f>
        <v>1.9018276789135733</v>
      </c>
      <c r="AB101" s="23">
        <f>EXP(-LN(2)/2)*AB100+(1-EXP(-LN(2)/2))/(LN(2)/2)*V101*Y101*VLOOKUP('Données projet'!$B$9,Paramètres!$A$1:$I$89,3,0)*0.475*44/12</f>
        <v>1.8638535742647769E-10</v>
      </c>
      <c r="AC101" s="24">
        <f t="shared" si="57"/>
        <v>5.5897297029505468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3.7</v>
      </c>
      <c r="AI101" s="14">
        <f>IF('Données projet'!$A$62&gt;35,AI100+AH101-AQ100,IF(A101&lt;'Données projet'!$A$62,$AF$205^A101,IF(A101='Données projet'!$A$62,'Données projet'!$B$62,AI100+AH101-AQ100)))</f>
        <v>236.59999999999985</v>
      </c>
      <c r="AJ101" s="14">
        <f>AI101*VLOOKUP('Données projet'!$B$10,Paramètres!$A$1:$I$89,3,0)*VLOOKUP('Données projet'!$B$10,Paramètres!$A$1:$I$89,5,0)</f>
        <v>239.91239999999985</v>
      </c>
      <c r="AK101" s="14">
        <f t="shared" si="89"/>
        <v>58.420682515047339</v>
      </c>
      <c r="AL101" s="22">
        <f t="shared" si="58"/>
        <v>519.59678538037383</v>
      </c>
      <c r="AM101" s="62">
        <f t="shared" si="59"/>
        <v>812.93011871370709</v>
      </c>
      <c r="AN101" s="62">
        <f ca="1">AVERAGE(OFFSET($AM$3,0,0,'Données projet'!$E$10+1,1))-AVERAGE(OFFSET($H$3,0,0,'Données projet'!$E$10+1,1))</f>
        <v>364.69354394930866</v>
      </c>
      <c r="AO101" s="62">
        <f t="shared" si="90"/>
        <v>159.6134369231965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2.4</v>
      </c>
      <c r="BD101" s="13">
        <f>IF('Données projet'!$A$88&gt;35,BD100+BC101-BL100,IF(A101&lt;'Données projet'!$A$88,$BA$205^A101,IF(A101='Données projet'!$A$88,'Données projet'!$B$88,BD100+BC101-BL100)))</f>
        <v>181.2</v>
      </c>
      <c r="BE101" s="14">
        <f>BD101*VLOOKUP('Données projet'!$B$11,Paramètres!$A$1:$I$89,3,0)*VLOOKUP('Données projet'!$B$11,Paramètres!$A$1:$I$89,5,0)</f>
        <v>158.29632000000001</v>
      </c>
      <c r="BF101" s="14">
        <f t="shared" si="91"/>
        <v>40.458006540983739</v>
      </c>
      <c r="BG101" s="22">
        <f t="shared" si="61"/>
        <v>346.16378539221336</v>
      </c>
      <c r="BH101" s="62">
        <f t="shared" si="62"/>
        <v>639.49711872554667</v>
      </c>
      <c r="BI101" s="62">
        <f ca="1">AVERAGE(OFFSET($BH$3,0,0,'Données projet'!$E$11+1,1))-AVERAGE(OFFSET($H$3,0,0,'Données projet'!$E$11+1,1))</f>
        <v>241.00707378755914</v>
      </c>
      <c r="BJ101" s="62">
        <f t="shared" si="92"/>
        <v>239.93573789765657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2.5641025641025634</v>
      </c>
      <c r="BY101" s="13">
        <f>IF('Données projet'!$A$114&gt;35,BY100+BX101-CG100,IF(A101&lt;'Données projet'!$A$114,$BV$205^A101,IF(A101='Données projet'!$A$114,'Données projet'!$B$114,BY100+BX101-CG100)))</f>
        <v>198.07692307692329</v>
      </c>
      <c r="BZ101" s="14">
        <f>BY101*VLOOKUP('Données projet'!$B$12,Paramètres!$A$1:$I$89,3,0)*VLOOKUP('Données projet'!$B$12,Paramètres!$A$1:$I$89,5,0)</f>
        <v>132.87000000000015</v>
      </c>
      <c r="CA101" s="14">
        <f t="shared" si="93"/>
        <v>34.65868689150966</v>
      </c>
      <c r="CB101" s="22">
        <f t="shared" si="64"/>
        <v>291.77912966937953</v>
      </c>
      <c r="CC101" s="62">
        <f t="shared" si="65"/>
        <v>585.11246300271284</v>
      </c>
      <c r="CD101" s="62">
        <f ca="1">AVERAGE(OFFSET($CC$3,0,0,'Données projet'!$E$12+1,1))-AVERAGE(OFFSET($H$3,0,0,'Données projet'!$E$12+1,1))</f>
        <v>207.91006140109965</v>
      </c>
      <c r="CE101" s="62">
        <f t="shared" si="94"/>
        <v>164.93317437647255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2.5641025641025634</v>
      </c>
      <c r="CT101" s="13">
        <f>IF('Données projet'!$A$140&gt;35,CT100+CS101-DB100,IF(A101&lt;'Données projet'!$A$140,$CQ$205^A101,IF(A101='Données projet'!$A$140,'Données projet'!$B$140,CT100+CS101-DB100)))</f>
        <v>198.07692307692329</v>
      </c>
      <c r="CU101" s="18">
        <f>CT101*VLOOKUP('Données projet'!$B$13,Paramètres!$A$1:$I$89,3,0)*VLOOKUP('Données projet'!$B$13,Paramètres!$A$1:$I$89,5,0)</f>
        <v>169.95000000000022</v>
      </c>
      <c r="CV101" s="14">
        <f t="shared" si="95"/>
        <v>43.078825056884362</v>
      </c>
      <c r="CW101" s="22">
        <f t="shared" si="67"/>
        <v>371.02520364074059</v>
      </c>
      <c r="CX101" s="62">
        <f t="shared" si="68"/>
        <v>664.3585369740739</v>
      </c>
      <c r="CY101" s="62">
        <f ca="1">AVERAGE(OFFSET($CX$3,0,0,'Données projet'!$E$13+1,1))-AVERAGE(OFFSET($H$3,0,0,'Données projet'!$E$13+1,1))</f>
        <v>255.77222823147724</v>
      </c>
      <c r="CZ101" s="62">
        <f t="shared" si="96"/>
        <v>199.6931080052031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3.7</v>
      </c>
      <c r="DO101" s="13">
        <f>IF('Données projet'!$A$166&gt;35,DO100+DN101-DW100,IF(A101&lt;'Données projet'!$A$166,$DL$205^A101,IF(A101='Données projet'!$A$166,'Données projet'!$B$166,DO100+DN101-DW100)))</f>
        <v>236.59999999999985</v>
      </c>
      <c r="DP101" s="18">
        <f>DO101*VLOOKUP('Données projet'!$B$14,Paramètres!$A$1:$I$89,3,0)*VLOOKUP('Données projet'!$B$14,Paramètres!$A$1:$I$89,5,0)</f>
        <v>228.83951999999985</v>
      </c>
      <c r="DQ101" s="14">
        <f t="shared" si="97"/>
        <v>56.031684800405088</v>
      </c>
      <c r="DR101" s="22">
        <f t="shared" si="70"/>
        <v>496.15068169403861</v>
      </c>
      <c r="DS101" s="62">
        <f t="shared" si="71"/>
        <v>789.48401502737192</v>
      </c>
      <c r="DT101" s="62">
        <f ca="1">AVERAGE(OFFSET($DS$3,0,0,'Données projet'!$E$14+1,1))-AVERAGE(OFFSET($H$3,0,0,'Données projet'!$E$14+1,1))</f>
        <v>349.73011349954953</v>
      </c>
      <c r="DU101" s="62">
        <f t="shared" si="98"/>
        <v>154.08406475869634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-1.7053025658242404E-13</v>
      </c>
      <c r="O102" s="14">
        <f>N102*VLOOKUP('Données projet'!$B$9,Paramètres!$A$1:$I$89,3,0)*VLOOKUP('Données projet'!$B$9,Paramètres!$A$1:$I$89,5,0)</f>
        <v>-1.0197709343628959E-13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203.63995177374335</v>
      </c>
      <c r="T102" s="62">
        <f t="shared" si="88"/>
        <v>268.97461244918378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3.6155845145610037</v>
      </c>
      <c r="AA102" s="23">
        <f>EXP(-LN(2)/25)*AA101+(1-EXP(-LN(2)/25))/(LN(2)/25)*Calculateur!V102*Calculateur!X102*VLOOKUP('Données projet'!$B$9,Paramètres!$A$1:$I$89,3,0)*0.475*44/12</f>
        <v>1.8498221010209106</v>
      </c>
      <c r="AB102" s="23">
        <f>EXP(-LN(2)/2)*AB101+(1-EXP(-LN(2)/2))/(LN(2)/2)*V102*Y102*VLOOKUP('Données projet'!$B$9,Paramètres!$A$1:$I$89,3,0)*0.475*44/12</f>
        <v>1.3179435015014081E-10</v>
      </c>
      <c r="AC102" s="24">
        <f t="shared" si="57"/>
        <v>5.4654066157137082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3.7</v>
      </c>
      <c r="AI102" s="14">
        <f>IF('Données projet'!$A$62&gt;35,AI101+AH102-AQ101,IF(A102&lt;'Données projet'!$A$62,$AF$205^A102,IF(A102='Données projet'!$A$62,'Données projet'!$B$62,AI101+AH102-AQ101)))</f>
        <v>240.29999999999984</v>
      </c>
      <c r="AJ102" s="14">
        <f>AI102*VLOOKUP('Données projet'!$B$10,Paramètres!$A$1:$I$89,3,0)*VLOOKUP('Données projet'!$B$10,Paramètres!$A$1:$I$89,5,0)</f>
        <v>243.66419999999985</v>
      </c>
      <c r="AK102" s="14">
        <f t="shared" si="89"/>
        <v>59.227204388989406</v>
      </c>
      <c r="AL102" s="22">
        <f t="shared" si="58"/>
        <v>527.53586264415628</v>
      </c>
      <c r="AM102" s="62">
        <f t="shared" si="59"/>
        <v>820.86919597748965</v>
      </c>
      <c r="AN102" s="62">
        <f ca="1">AVERAGE(OFFSET($AM$3,0,0,'Données projet'!$E$10+1,1))-AVERAGE(OFFSET($H$3,0,0,'Données projet'!$E$10+1,1))</f>
        <v>364.69354394930866</v>
      </c>
      <c r="AO102" s="62">
        <f t="shared" si="90"/>
        <v>159.6134369231965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2.4</v>
      </c>
      <c r="BD102" s="13">
        <f>IF('Données projet'!$A$88&gt;35,BD101+BC102-BL101,IF(A102&lt;'Données projet'!$A$88,$BA$205^A102,IF(A102='Données projet'!$A$88,'Données projet'!$B$88,BD101+BC102-BL101)))</f>
        <v>183.6</v>
      </c>
      <c r="BE102" s="14">
        <f>BD102*VLOOKUP('Données projet'!$B$11,Paramètres!$A$1:$I$89,3,0)*VLOOKUP('Données projet'!$B$11,Paramètres!$A$1:$I$89,5,0)</f>
        <v>160.39296000000002</v>
      </c>
      <c r="BF102" s="14">
        <f t="shared" si="91"/>
        <v>40.931135973980041</v>
      </c>
      <c r="BG102" s="22">
        <f t="shared" si="61"/>
        <v>350.63946715468199</v>
      </c>
      <c r="BH102" s="62">
        <f t="shared" si="62"/>
        <v>643.97280048801531</v>
      </c>
      <c r="BI102" s="62">
        <f ca="1">AVERAGE(OFFSET($BH$3,0,0,'Données projet'!$E$11+1,1))-AVERAGE(OFFSET($H$3,0,0,'Données projet'!$E$11+1,1))</f>
        <v>241.00707378755914</v>
      </c>
      <c r="BJ102" s="62">
        <f t="shared" si="92"/>
        <v>239.93573789765657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2.5641025641025634</v>
      </c>
      <c r="BY102" s="13">
        <f>IF('Données projet'!$A$114&gt;35,BY101+BX102-CG101,IF(A102&lt;'Données projet'!$A$114,$BV$205^A102,IF(A102='Données projet'!$A$114,'Données projet'!$B$114,BY101+BX102-CG101)))</f>
        <v>200.64102564102586</v>
      </c>
      <c r="BZ102" s="14">
        <f>BY102*VLOOKUP('Données projet'!$B$12,Paramètres!$A$1:$I$89,3,0)*VLOOKUP('Données projet'!$B$12,Paramètres!$A$1:$I$89,5,0)</f>
        <v>134.59000000000015</v>
      </c>
      <c r="CA102" s="14">
        <f t="shared" si="93"/>
        <v>35.054822215165942</v>
      </c>
      <c r="CB102" s="22">
        <f t="shared" si="64"/>
        <v>295.46473202474755</v>
      </c>
      <c r="CC102" s="62">
        <f t="shared" si="65"/>
        <v>588.79806535808086</v>
      </c>
      <c r="CD102" s="62">
        <f ca="1">AVERAGE(OFFSET($CC$3,0,0,'Données projet'!$E$12+1,1))-AVERAGE(OFFSET($H$3,0,0,'Données projet'!$E$12+1,1))</f>
        <v>207.91006140109965</v>
      </c>
      <c r="CE102" s="62">
        <f t="shared" si="94"/>
        <v>164.93317437647255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2.5641025641025634</v>
      </c>
      <c r="CT102" s="13">
        <f>IF('Données projet'!$A$140&gt;35,CT101+CS102-DB101,IF(A102&lt;'Données projet'!$A$140,$CQ$205^A102,IF(A102='Données projet'!$A$140,'Données projet'!$B$140,CT101+CS102-DB101)))</f>
        <v>200.64102564102586</v>
      </c>
      <c r="CU102" s="18">
        <f>CT102*VLOOKUP('Données projet'!$B$13,Paramètres!$A$1:$I$89,3,0)*VLOOKUP('Données projet'!$B$13,Paramètres!$A$1:$I$89,5,0)</f>
        <v>172.1500000000002</v>
      </c>
      <c r="CV102" s="14">
        <f t="shared" si="95"/>
        <v>43.571199287912187</v>
      </c>
      <c r="CW102" s="22">
        <f t="shared" si="67"/>
        <v>375.71442209311408</v>
      </c>
      <c r="CX102" s="62">
        <f t="shared" si="68"/>
        <v>669.04775542644734</v>
      </c>
      <c r="CY102" s="62">
        <f ca="1">AVERAGE(OFFSET($CX$3,0,0,'Données projet'!$E$13+1,1))-AVERAGE(OFFSET($H$3,0,0,'Données projet'!$E$13+1,1))</f>
        <v>255.77222823147724</v>
      </c>
      <c r="CZ102" s="62">
        <f t="shared" si="96"/>
        <v>199.6931080052031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3.7</v>
      </c>
      <c r="DO102" s="13">
        <f>IF('Données projet'!$A$166&gt;35,DO101+DN102-DW101,IF(A102&lt;'Données projet'!$A$166,$DL$205^A102,IF(A102='Données projet'!$A$166,'Données projet'!$B$166,DO101+DN102-DW101)))</f>
        <v>240.29999999999984</v>
      </c>
      <c r="DP102" s="18">
        <f>DO102*VLOOKUP('Données projet'!$B$14,Paramètres!$A$1:$I$89,3,0)*VLOOKUP('Données projet'!$B$14,Paramètres!$A$1:$I$89,5,0)</f>
        <v>232.41815999999986</v>
      </c>
      <c r="DQ102" s="14">
        <f t="shared" si="97"/>
        <v>56.805225565077208</v>
      </c>
      <c r="DR102" s="22">
        <f t="shared" si="70"/>
        <v>503.73072985917588</v>
      </c>
      <c r="DS102" s="62">
        <f t="shared" si="71"/>
        <v>797.06406319250914</v>
      </c>
      <c r="DT102" s="62">
        <f ca="1">AVERAGE(OFFSET($DS$3,0,0,'Données projet'!$E$14+1,1))-AVERAGE(OFFSET($H$3,0,0,'Données projet'!$E$14+1,1))</f>
        <v>349.73011349954953</v>
      </c>
      <c r="DU102" s="62">
        <f t="shared" si="98"/>
        <v>154.08406475869634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-1.7053025658242404E-13</v>
      </c>
      <c r="O103" s="14">
        <f>N103*VLOOKUP('Données projet'!$B$9,Paramètres!$A$1:$I$89,3,0)*VLOOKUP('Données projet'!$B$9,Paramètres!$A$1:$I$89,5,0)</f>
        <v>-1.0197709343628959E-13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203.63995177374335</v>
      </c>
      <c r="T103" s="62">
        <f t="shared" si="88"/>
        <v>268.97461244918378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3.5446851075192622</v>
      </c>
      <c r="AA103" s="23">
        <f>EXP(-LN(2)/25)*AA102+(1-EXP(-LN(2)/25))/(LN(2)/25)*Calculateur!V103*Calculateur!X103*VLOOKUP('Données projet'!$B$9,Paramètres!$A$1:$I$89,3,0)*0.475*44/12</f>
        <v>1.7992386183905773</v>
      </c>
      <c r="AB103" s="23">
        <f>EXP(-LN(2)/2)*AB102+(1-EXP(-LN(2)/2))/(LN(2)/2)*V103*Y103*VLOOKUP('Données projet'!$B$9,Paramètres!$A$1:$I$89,3,0)*0.475*44/12</f>
        <v>9.3192678713238847E-11</v>
      </c>
      <c r="AC103" s="24">
        <f t="shared" si="57"/>
        <v>5.3439237260030321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244</v>
      </c>
      <c r="AG103" s="13">
        <f>VLOOKUP(A103,'Données projet'!$A$61:$I$81,9,0)</f>
        <v>3.7</v>
      </c>
      <c r="AH103" s="13">
        <f t="array" ref="AH103">INDEX(AG:AG,MIN(IF(ISNUMBER(AG103:AG299),ROW(AG103:AG299),"")))</f>
        <v>3.7</v>
      </c>
      <c r="AI103" s="14">
        <f>IF('Données projet'!$A$62&gt;35,AI102+AH103-AQ102,IF(A103&lt;'Données projet'!$A$62,$AF$205^A103,IF(A103='Données projet'!$A$62,'Données projet'!$B$62,AI102+AH103-AQ102)))</f>
        <v>243.99999999999983</v>
      </c>
      <c r="AJ103" s="14">
        <f>AI103*VLOOKUP('Données projet'!$B$10,Paramètres!$A$1:$I$89,3,0)*VLOOKUP('Données projet'!$B$10,Paramètres!$A$1:$I$89,5,0)</f>
        <v>247.41599999999983</v>
      </c>
      <c r="AK103" s="14">
        <f t="shared" si="89"/>
        <v>60.032282000540135</v>
      </c>
      <c r="AL103" s="22">
        <f t="shared" si="58"/>
        <v>535.4724244842738</v>
      </c>
      <c r="AM103" s="62">
        <f t="shared" si="59"/>
        <v>828.80575781760717</v>
      </c>
      <c r="AN103" s="62">
        <f ca="1">AVERAGE(OFFSET($AM$3,0,0,'Données projet'!$E$10+1,1))-AVERAGE(OFFSET($H$3,0,0,'Données projet'!$E$10+1,1))</f>
        <v>364.69354394930866</v>
      </c>
      <c r="AO103" s="62">
        <f t="shared" si="90"/>
        <v>159.6134369231965</v>
      </c>
      <c r="AP103" s="16">
        <f>IF(ISNA(VLOOKUP(A103,'Données projet'!$A$61:$I$81,3,0)),0,VLOOKUP(A103,'Données projet'!$A$61:$I$81,3,0))</f>
        <v>7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186</v>
      </c>
      <c r="BB103" s="13">
        <f>VLOOKUP(A103,'Données projet'!$A$87:$I$107,9,0)</f>
        <v>2.4</v>
      </c>
      <c r="BC103" s="13">
        <f t="array" ref="BC103">INDEX(BB:BB,MIN(IF(ISNUMBER(BB103:BB299),ROW(BB103:BB299),"")))</f>
        <v>2.4</v>
      </c>
      <c r="BD103" s="13">
        <f>IF('Données projet'!$A$88&gt;35,BD102+BC103-BL102,IF(A103&lt;'Données projet'!$A$88,$BA$205^A103,IF(A103='Données projet'!$A$88,'Données projet'!$B$88,BD102+BC103-BL102)))</f>
        <v>186</v>
      </c>
      <c r="BE103" s="14">
        <f>BD103*VLOOKUP('Données projet'!$B$11,Paramètres!$A$1:$I$89,3,0)*VLOOKUP('Données projet'!$B$11,Paramètres!$A$1:$I$89,5,0)</f>
        <v>162.48960000000002</v>
      </c>
      <c r="BF103" s="14">
        <f t="shared" si="91"/>
        <v>41.403546033820696</v>
      </c>
      <c r="BG103" s="22">
        <f t="shared" si="61"/>
        <v>355.11389600890442</v>
      </c>
      <c r="BH103" s="62">
        <f t="shared" si="62"/>
        <v>648.44722934223773</v>
      </c>
      <c r="BI103" s="62">
        <f ca="1">AVERAGE(OFFSET($BH$3,0,0,'Données projet'!$E$11+1,1))-AVERAGE(OFFSET($H$3,0,0,'Données projet'!$E$11+1,1))</f>
        <v>241.00707378755914</v>
      </c>
      <c r="BJ103" s="62">
        <f t="shared" si="92"/>
        <v>239.93573789765657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186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203.2051282051282</v>
      </c>
      <c r="BW103" s="13">
        <f>VLOOKUP(A103,'Données projet'!$A$113:$I$133,9,0)</f>
        <v>2.5641025641025634</v>
      </c>
      <c r="BX103" s="13">
        <f t="array" ref="BX103">INDEX(BW:BW,MIN(IF(ISNUMBER(BW103:BW299),ROW(BW103:BW299),"")))</f>
        <v>2.5641025641025634</v>
      </c>
      <c r="BY103" s="13">
        <f>IF('Données projet'!$A$114&gt;35,BY102+BX103-CG102,IF(A103&lt;'Données projet'!$A$114,$BV$205^A103,IF(A103='Données projet'!$A$114,'Données projet'!$B$114,BY102+BX103-CG102)))</f>
        <v>203.20512820512843</v>
      </c>
      <c r="BZ103" s="14">
        <f>BY103*VLOOKUP('Données projet'!$B$12,Paramètres!$A$1:$I$89,3,0)*VLOOKUP('Données projet'!$B$12,Paramètres!$A$1:$I$89,5,0)</f>
        <v>136.31000000000014</v>
      </c>
      <c r="CA103" s="14">
        <f t="shared" si="93"/>
        <v>35.450368692821129</v>
      </c>
      <c r="CB103" s="22">
        <f t="shared" si="64"/>
        <v>299.14930880666367</v>
      </c>
      <c r="CC103" s="62">
        <f t="shared" si="65"/>
        <v>592.48264213999698</v>
      </c>
      <c r="CD103" s="62">
        <f ca="1">AVERAGE(OFFSET($CC$3,0,0,'Données projet'!$E$12+1,1))-AVERAGE(OFFSET($H$3,0,0,'Données projet'!$E$12+1,1))</f>
        <v>207.91006140109965</v>
      </c>
      <c r="CE103" s="62">
        <f t="shared" si="94"/>
        <v>164.93317437647255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16.025641025641026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203.2051282051282</v>
      </c>
      <c r="CR103" s="13">
        <f>VLOOKUP(A103,'Données projet'!$A$139:$I$159,9,0)</f>
        <v>2.5641025641025634</v>
      </c>
      <c r="CS103" s="13">
        <f t="array" ref="CS103">INDEX(CR:CR,MIN(IF(ISNUMBER(CR103:CR299),ROW(CR103:CR299),"")))</f>
        <v>2.5641025641025634</v>
      </c>
      <c r="CT103" s="13">
        <f>IF('Données projet'!$A$140&gt;35,CT102+CS103-DB102,IF(A103&lt;'Données projet'!$A$140,$CQ$205^A103,IF(A103='Données projet'!$A$140,'Données projet'!$B$140,CT102+CS103-DB102)))</f>
        <v>203.20512820512843</v>
      </c>
      <c r="CU103" s="18">
        <f>CT103*VLOOKUP('Données projet'!$B$13,Paramètres!$A$1:$I$89,3,0)*VLOOKUP('Données projet'!$B$13,Paramètres!$A$1:$I$89,5,0)</f>
        <v>174.35000000000022</v>
      </c>
      <c r="CV103" s="14">
        <f t="shared" si="95"/>
        <v>44.062841616027882</v>
      </c>
      <c r="CW103" s="22">
        <f t="shared" si="67"/>
        <v>380.40236581458225</v>
      </c>
      <c r="CX103" s="62">
        <f t="shared" si="68"/>
        <v>673.73569914791551</v>
      </c>
      <c r="CY103" s="62">
        <f ca="1">AVERAGE(OFFSET($CX$3,0,0,'Données projet'!$E$13+1,1))-AVERAGE(OFFSET($H$3,0,0,'Données projet'!$E$13+1,1))</f>
        <v>255.77222823147724</v>
      </c>
      <c r="CZ103" s="62">
        <f t="shared" si="96"/>
        <v>199.6931080052031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16.025641025641026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244</v>
      </c>
      <c r="DM103" s="13">
        <f>VLOOKUP(A103,'Données projet'!$A$165:$I$185,9,0)</f>
        <v>3.7</v>
      </c>
      <c r="DN103" s="13">
        <f t="array" ref="DN103">INDEX(DM:DM,MIN(IF(ISNUMBER(DM103:DM299),ROW(DM103:DM299),"")))</f>
        <v>3.7</v>
      </c>
      <c r="DO103" s="13">
        <f>IF('Données projet'!$A$166&gt;35,DO102+DN103-DW102,IF(A103&lt;'Données projet'!$A$166,$DL$205^A103,IF(A103='Données projet'!$A$166,'Données projet'!$B$166,DO102+DN103-DW102)))</f>
        <v>243.99999999999983</v>
      </c>
      <c r="DP103" s="18">
        <f>DO103*VLOOKUP('Données projet'!$B$14,Paramètres!$A$1:$I$89,3,0)*VLOOKUP('Données projet'!$B$14,Paramètres!$A$1:$I$89,5,0)</f>
        <v>235.99679999999984</v>
      </c>
      <c r="DQ103" s="14">
        <f t="shared" si="97"/>
        <v>57.577381127598322</v>
      </c>
      <c r="DR103" s="22">
        <f t="shared" si="70"/>
        <v>511.30836546389997</v>
      </c>
      <c r="DS103" s="62">
        <f t="shared" si="71"/>
        <v>804.64169879723329</v>
      </c>
      <c r="DT103" s="62">
        <f ca="1">AVERAGE(OFFSET($DS$3,0,0,'Données projet'!$E$14+1,1))-AVERAGE(OFFSET($H$3,0,0,'Données projet'!$E$14+1,1))</f>
        <v>349.73011349954953</v>
      </c>
      <c r="DU103" s="62">
        <f t="shared" si="98"/>
        <v>154.08406475869634</v>
      </c>
      <c r="DV103" s="16">
        <f>IF(ISNA(VLOOKUP(A103,'Données projet'!$A$165:$I$185,3,0)),0,VLOOKUP(A103,'Données projet'!$A$165:$I$185,3,0))</f>
        <v>7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-1.7053025658242404E-13</v>
      </c>
      <c r="O104" s="14">
        <f>N104*VLOOKUP('Données projet'!$B$9,Paramètres!$A$1:$I$89,3,0)*VLOOKUP('Données projet'!$B$9,Paramètres!$A$1:$I$89,5,0)</f>
        <v>-1.0197709343628959E-13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203.63995177374335</v>
      </c>
      <c r="T104" s="62">
        <f t="shared" si="88"/>
        <v>268.97461244918378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3.475175994605241</v>
      </c>
      <c r="AA104" s="23">
        <f>EXP(-LN(2)/25)*AA103+(1-EXP(-LN(2)/25))/(LN(2)/25)*Calculateur!V104*Calculateur!X104*VLOOKUP('Données projet'!$B$9,Paramètres!$A$1:$I$89,3,0)*0.475*44/12</f>
        <v>1.7500383437528402</v>
      </c>
      <c r="AB104" s="23">
        <f>EXP(-LN(2)/2)*AB103+(1-EXP(-LN(2)/2))/(LN(2)/2)*V104*Y104*VLOOKUP('Données projet'!$B$9,Paramètres!$A$1:$I$89,3,0)*0.475*44/12</f>
        <v>6.5897175075070406E-11</v>
      </c>
      <c r="AC104" s="24">
        <f t="shared" si="57"/>
        <v>5.2252143384239789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3.0666666666666669</v>
      </c>
      <c r="AI104" s="14">
        <f>IF('Données projet'!$A$62&gt;35,AI103+AH104-AQ103,IF(A104&lt;'Données projet'!$A$62,$AF$205^A104,IF(A104='Données projet'!$A$62,'Données projet'!$B$62,AI103+AH104-AQ103)))</f>
        <v>205.06666666666649</v>
      </c>
      <c r="AJ104" s="14">
        <f>AI104*VLOOKUP('Données projet'!$B$10,Paramètres!$A$1:$I$89,3,0)*VLOOKUP('Données projet'!$B$10,Paramètres!$A$1:$I$89,5,0)</f>
        <v>207.93759999999986</v>
      </c>
      <c r="AK104" s="14">
        <f t="shared" si="89"/>
        <v>51.484640859676333</v>
      </c>
      <c r="AL104" s="22">
        <f t="shared" si="58"/>
        <v>451.82706949726935</v>
      </c>
      <c r="AM104" s="62">
        <f t="shared" si="59"/>
        <v>745.16040283060261</v>
      </c>
      <c r="AN104" s="62">
        <f ca="1">AVERAGE(OFFSET($AM$3,0,0,'Données projet'!$E$10+1,1))-AVERAGE(OFFSET($H$3,0,0,'Données projet'!$E$10+1,1))</f>
        <v>364.69354394930866</v>
      </c>
      <c r="AO104" s="62">
        <f t="shared" si="90"/>
        <v>159.6134369231965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241.00707378755914</v>
      </c>
      <c r="BJ104" s="62">
        <f t="shared" si="92"/>
        <v>239.93573789765657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2.3076923076923039</v>
      </c>
      <c r="BY104" s="13">
        <f>IF('Données projet'!$A$114&gt;35,BY103+BX104-CG103,IF(A104&lt;'Données projet'!$A$114,$BV$205^A104,IF(A104='Données projet'!$A$114,'Données projet'!$B$114,BY103+BX104-CG103)))</f>
        <v>189.4871794871797</v>
      </c>
      <c r="BZ104" s="14">
        <f>BY104*VLOOKUP('Données projet'!$B$12,Paramètres!$A$1:$I$89,3,0)*VLOOKUP('Données projet'!$B$12,Paramètres!$A$1:$I$89,5,0)</f>
        <v>127.10800000000013</v>
      </c>
      <c r="CA104" s="14">
        <f t="shared" si="93"/>
        <v>33.327230586507703</v>
      </c>
      <c r="CB104" s="22">
        <f t="shared" si="64"/>
        <v>279.4246932715011</v>
      </c>
      <c r="CC104" s="62">
        <f t="shared" si="65"/>
        <v>572.75802660483441</v>
      </c>
      <c r="CD104" s="62">
        <f ca="1">AVERAGE(OFFSET($CC$3,0,0,'Données projet'!$E$12+1,1))-AVERAGE(OFFSET($H$3,0,0,'Données projet'!$E$12+1,1))</f>
        <v>207.91006140109965</v>
      </c>
      <c r="CE104" s="62">
        <f t="shared" si="94"/>
        <v>164.93317437647255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2.3076923076923039</v>
      </c>
      <c r="CT104" s="13">
        <f>IF('Données projet'!$A$140&gt;35,CT103+CS104-DB103,IF(A104&lt;'Données projet'!$A$140,$CQ$205^A104,IF(A104='Données projet'!$A$140,'Données projet'!$B$140,CT103+CS104-DB103)))</f>
        <v>189.4871794871797</v>
      </c>
      <c r="CU104" s="18">
        <f>CT104*VLOOKUP('Données projet'!$B$13,Paramètres!$A$1:$I$89,3,0)*VLOOKUP('Données projet'!$B$13,Paramètres!$A$1:$I$89,5,0)</f>
        <v>162.58000000000021</v>
      </c>
      <c r="CV104" s="14">
        <f t="shared" si="95"/>
        <v>41.4238987345569</v>
      </c>
      <c r="CW104" s="22">
        <f t="shared" si="67"/>
        <v>355.30679029602032</v>
      </c>
      <c r="CX104" s="62">
        <f t="shared" si="68"/>
        <v>648.64012362935364</v>
      </c>
      <c r="CY104" s="62">
        <f ca="1">AVERAGE(OFFSET($CX$3,0,0,'Données projet'!$E$13+1,1))-AVERAGE(OFFSET($H$3,0,0,'Données projet'!$E$13+1,1))</f>
        <v>255.77222823147724</v>
      </c>
      <c r="CZ104" s="62">
        <f t="shared" si="96"/>
        <v>199.6931080052031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3.0666666666666669</v>
      </c>
      <c r="DO104" s="13">
        <f>IF('Données projet'!$A$166&gt;35,DO103+DN104-DW103,IF(A104&lt;'Données projet'!$A$166,$DL$205^A104,IF(A104='Données projet'!$A$166,'Données projet'!$B$166,DO103+DN104-DW103)))</f>
        <v>205.06666666666649</v>
      </c>
      <c r="DP104" s="18">
        <f>DO104*VLOOKUP('Données projet'!$B$14,Paramètres!$A$1:$I$89,3,0)*VLOOKUP('Données projet'!$B$14,Paramètres!$A$1:$I$89,5,0)</f>
        <v>198.34047999999984</v>
      </c>
      <c r="DQ104" s="14">
        <f t="shared" si="97"/>
        <v>49.379278784845027</v>
      </c>
      <c r="DR104" s="22">
        <f t="shared" si="70"/>
        <v>431.44524655027152</v>
      </c>
      <c r="DS104" s="62">
        <f t="shared" si="71"/>
        <v>724.77857988360483</v>
      </c>
      <c r="DT104" s="62">
        <f ca="1">AVERAGE(OFFSET($DS$3,0,0,'Données projet'!$E$14+1,1))-AVERAGE(OFFSET($H$3,0,0,'Données projet'!$E$14+1,1))</f>
        <v>349.73011349954953</v>
      </c>
      <c r="DU104" s="62">
        <f t="shared" si="98"/>
        <v>154.08406475869634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-1.7053025658242404E-13</v>
      </c>
      <c r="O105" s="14">
        <f>N105*VLOOKUP('Données projet'!$B$9,Paramètres!$A$1:$I$89,3,0)*VLOOKUP('Données projet'!$B$9,Paramètres!$A$1:$I$89,5,0)</f>
        <v>-1.0197709343628959E-13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203.63995177374335</v>
      </c>
      <c r="T105" s="62">
        <f t="shared" si="88"/>
        <v>268.97461244918378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3.4070299129990911</v>
      </c>
      <c r="AA105" s="23">
        <f>EXP(-LN(2)/25)*AA104+(1-EXP(-LN(2)/25))/(LN(2)/25)*Calculateur!V105*Calculateur!X105*VLOOKUP('Données projet'!$B$9,Paramètres!$A$1:$I$89,3,0)*0.475*44/12</f>
        <v>1.7021834532124021</v>
      </c>
      <c r="AB105" s="23">
        <f>EXP(-LN(2)/2)*AB104+(1-EXP(-LN(2)/2))/(LN(2)/2)*V105*Y105*VLOOKUP('Données projet'!$B$9,Paramètres!$A$1:$I$89,3,0)*0.475*44/12</f>
        <v>4.6596339356619423E-11</v>
      </c>
      <c r="AC105" s="24">
        <f t="shared" si="57"/>
        <v>5.1092133662580901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3.0666666666666669</v>
      </c>
      <c r="AI105" s="14">
        <f>IF('Données projet'!$A$62&gt;35,AI104+AH105-AQ104,IF(A105&lt;'Données projet'!$A$62,$AF$205^A105,IF(A105='Données projet'!$A$62,'Données projet'!$B$62,AI104+AH105-AQ104)))</f>
        <v>208.13333333333316</v>
      </c>
      <c r="AJ105" s="14">
        <f>AI105*VLOOKUP('Données projet'!$B$10,Paramètres!$A$1:$I$89,3,0)*VLOOKUP('Données projet'!$B$10,Paramètres!$A$1:$I$89,5,0)</f>
        <v>211.04719999999983</v>
      </c>
      <c r="AK105" s="14">
        <f t="shared" si="89"/>
        <v>52.164358953662259</v>
      </c>
      <c r="AL105" s="22">
        <f t="shared" si="58"/>
        <v>458.42679851096153</v>
      </c>
      <c r="AM105" s="62">
        <f t="shared" si="59"/>
        <v>751.76013184429485</v>
      </c>
      <c r="AN105" s="62">
        <f ca="1">AVERAGE(OFFSET($AM$3,0,0,'Données projet'!$E$10+1,1))-AVERAGE(OFFSET($H$3,0,0,'Données projet'!$E$10+1,1))</f>
        <v>364.69354394930866</v>
      </c>
      <c r="AO105" s="62">
        <f t="shared" si="90"/>
        <v>159.6134369231965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241.00707378755914</v>
      </c>
      <c r="BJ105" s="62">
        <f t="shared" si="92"/>
        <v>239.93573789765657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2.3076923076923039</v>
      </c>
      <c r="BY105" s="13">
        <f>IF('Données projet'!$A$114&gt;35,BY104+BX105-CG104,IF(A105&lt;'Données projet'!$A$114,$BV$205^A105,IF(A105='Données projet'!$A$114,'Données projet'!$B$114,BY104+BX105-CG104)))</f>
        <v>191.79487179487199</v>
      </c>
      <c r="BZ105" s="14">
        <f>BY105*VLOOKUP('Données projet'!$B$12,Paramètres!$A$1:$I$89,3,0)*VLOOKUP('Données projet'!$B$12,Paramètres!$A$1:$I$89,5,0)</f>
        <v>128.65600000000015</v>
      </c>
      <c r="CA105" s="14">
        <f t="shared" si="93"/>
        <v>33.685612807452166</v>
      </c>
      <c r="CB105" s="22">
        <f t="shared" si="64"/>
        <v>282.7449756396461</v>
      </c>
      <c r="CC105" s="62">
        <f t="shared" si="65"/>
        <v>576.07830897297936</v>
      </c>
      <c r="CD105" s="62">
        <f ca="1">AVERAGE(OFFSET($CC$3,0,0,'Données projet'!$E$12+1,1))-AVERAGE(OFFSET($H$3,0,0,'Données projet'!$E$12+1,1))</f>
        <v>207.91006140109965</v>
      </c>
      <c r="CE105" s="62">
        <f t="shared" si="94"/>
        <v>164.93317437647255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2.3076923076923039</v>
      </c>
      <c r="CT105" s="13">
        <f>IF('Données projet'!$A$140&gt;35,CT104+CS105-DB104,IF(A105&lt;'Données projet'!$A$140,$CQ$205^A105,IF(A105='Données projet'!$A$140,'Données projet'!$B$140,CT104+CS105-DB104)))</f>
        <v>191.79487179487199</v>
      </c>
      <c r="CU105" s="18">
        <f>CT105*VLOOKUP('Données projet'!$B$13,Paramètres!$A$1:$I$89,3,0)*VLOOKUP('Données projet'!$B$13,Paramètres!$A$1:$I$89,5,0)</f>
        <v>164.56000000000017</v>
      </c>
      <c r="CV105" s="14">
        <f t="shared" si="95"/>
        <v>41.869347953331193</v>
      </c>
      <c r="CW105" s="22">
        <f t="shared" si="67"/>
        <v>359.5311143520521</v>
      </c>
      <c r="CX105" s="62">
        <f t="shared" si="68"/>
        <v>652.86444768538536</v>
      </c>
      <c r="CY105" s="62">
        <f ca="1">AVERAGE(OFFSET($CX$3,0,0,'Données projet'!$E$13+1,1))-AVERAGE(OFFSET($H$3,0,0,'Données projet'!$E$13+1,1))</f>
        <v>255.77222823147724</v>
      </c>
      <c r="CZ105" s="62">
        <f t="shared" si="96"/>
        <v>199.6931080052031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3.0666666666666669</v>
      </c>
      <c r="DO105" s="13">
        <f>IF('Données projet'!$A$166&gt;35,DO104+DN105-DW104,IF(A105&lt;'Données projet'!$A$166,$DL$205^A105,IF(A105='Données projet'!$A$166,'Données projet'!$B$166,DO104+DN105-DW104)))</f>
        <v>208.13333333333316</v>
      </c>
      <c r="DP105" s="18">
        <f>DO105*VLOOKUP('Données projet'!$B$14,Paramètres!$A$1:$I$89,3,0)*VLOOKUP('Données projet'!$B$14,Paramètres!$A$1:$I$89,5,0)</f>
        <v>201.30655999999982</v>
      </c>
      <c r="DQ105" s="14">
        <f t="shared" si="97"/>
        <v>50.031201158150779</v>
      </c>
      <c r="DR105" s="22">
        <f t="shared" si="70"/>
        <v>437.74660068377898</v>
      </c>
      <c r="DS105" s="62">
        <f t="shared" si="71"/>
        <v>731.07993401711224</v>
      </c>
      <c r="DT105" s="62">
        <f ca="1">AVERAGE(OFFSET($DS$3,0,0,'Données projet'!$E$14+1,1))-AVERAGE(OFFSET($H$3,0,0,'Données projet'!$E$14+1,1))</f>
        <v>349.73011349954953</v>
      </c>
      <c r="DU105" s="62">
        <f t="shared" si="98"/>
        <v>154.08406475869634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-1.7053025658242404E-13</v>
      </c>
      <c r="O106" s="14">
        <f>N106*VLOOKUP('Données projet'!$B$9,Paramètres!$A$1:$I$89,3,0)*VLOOKUP('Données projet'!$B$9,Paramètres!$A$1:$I$89,5,0)</f>
        <v>-1.0197709343628959E-13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203.63995177374335</v>
      </c>
      <c r="T106" s="62">
        <f t="shared" si="88"/>
        <v>268.97461244918378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3.3402201344882321</v>
      </c>
      <c r="AA106" s="23">
        <f>EXP(-LN(2)/25)*AA105+(1-EXP(-LN(2)/25))/(LN(2)/25)*Calculateur!V106*Calculateur!X106*VLOOKUP('Données projet'!$B$9,Paramètres!$A$1:$I$89,3,0)*0.475*44/12</f>
        <v>1.6556371571703714</v>
      </c>
      <c r="AB106" s="23">
        <f>EXP(-LN(2)/2)*AB105+(1-EXP(-LN(2)/2))/(LN(2)/2)*V106*Y106*VLOOKUP('Données projet'!$B$9,Paramètres!$A$1:$I$89,3,0)*0.475*44/12</f>
        <v>3.2948587537535203E-11</v>
      </c>
      <c r="AC106" s="24">
        <f t="shared" si="57"/>
        <v>4.9958572916915527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3.0666666666666669</v>
      </c>
      <c r="AI106" s="14">
        <f>IF('Données projet'!$A$62&gt;35,AI105+AH106-AQ105,IF(A106&lt;'Données projet'!$A$62,$AF$205^A106,IF(A106='Données projet'!$A$62,'Données projet'!$B$62,AI105+AH106-AQ105)))</f>
        <v>211.19999999999982</v>
      </c>
      <c r="AJ106" s="14">
        <f>AI106*VLOOKUP('Données projet'!$B$10,Paramètres!$A$1:$I$89,3,0)*VLOOKUP('Données projet'!$B$10,Paramètres!$A$1:$I$89,5,0)</f>
        <v>214.15679999999983</v>
      </c>
      <c r="AK106" s="14">
        <f t="shared" si="89"/>
        <v>52.842912248636644</v>
      </c>
      <c r="AL106" s="22">
        <f t="shared" si="58"/>
        <v>465.02449883304183</v>
      </c>
      <c r="AM106" s="62">
        <f t="shared" si="59"/>
        <v>758.35783216637515</v>
      </c>
      <c r="AN106" s="62">
        <f ca="1">AVERAGE(OFFSET($AM$3,0,0,'Données projet'!$E$10+1,1))-AVERAGE(OFFSET($H$3,0,0,'Données projet'!$E$10+1,1))</f>
        <v>364.69354394930866</v>
      </c>
      <c r="AO106" s="62">
        <f t="shared" si="90"/>
        <v>159.6134369231965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241.00707378755914</v>
      </c>
      <c r="BJ106" s="62">
        <f t="shared" si="92"/>
        <v>239.93573789765657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2.3076923076923039</v>
      </c>
      <c r="BY106" s="13">
        <f>IF('Données projet'!$A$114&gt;35,BY105+BX106-CG105,IF(A106&lt;'Données projet'!$A$114,$BV$205^A106,IF(A106='Données projet'!$A$114,'Données projet'!$B$114,BY105+BX106-CG105)))</f>
        <v>194.10256410256429</v>
      </c>
      <c r="BZ106" s="14">
        <f>BY106*VLOOKUP('Données projet'!$B$12,Paramètres!$A$1:$I$89,3,0)*VLOOKUP('Données projet'!$B$12,Paramètres!$A$1:$I$89,5,0)</f>
        <v>130.20400000000012</v>
      </c>
      <c r="CA106" s="14">
        <f t="shared" si="93"/>
        <v>34.043493440159544</v>
      </c>
      <c r="CB106" s="22">
        <f t="shared" si="64"/>
        <v>286.06438440827804</v>
      </c>
      <c r="CC106" s="62">
        <f t="shared" si="65"/>
        <v>579.39771774161136</v>
      </c>
      <c r="CD106" s="62">
        <f ca="1">AVERAGE(OFFSET($CC$3,0,0,'Données projet'!$E$12+1,1))-AVERAGE(OFFSET($H$3,0,0,'Données projet'!$E$12+1,1))</f>
        <v>207.91006140109965</v>
      </c>
      <c r="CE106" s="62">
        <f t="shared" si="94"/>
        <v>164.93317437647255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2.3076923076923039</v>
      </c>
      <c r="CT106" s="13">
        <f>IF('Données projet'!$A$140&gt;35,CT105+CS106-DB105,IF(A106&lt;'Données projet'!$A$140,$CQ$205^A106,IF(A106='Données projet'!$A$140,'Données projet'!$B$140,CT105+CS106-DB105)))</f>
        <v>194.10256410256429</v>
      </c>
      <c r="CU106" s="18">
        <f>CT106*VLOOKUP('Données projet'!$B$13,Paramètres!$A$1:$I$89,3,0)*VLOOKUP('Données projet'!$B$13,Paramètres!$A$1:$I$89,5,0)</f>
        <v>166.54000000000016</v>
      </c>
      <c r="CV106" s="14">
        <f t="shared" si="95"/>
        <v>42.314173725753228</v>
      </c>
      <c r="CW106" s="22">
        <f t="shared" si="67"/>
        <v>363.75435257235381</v>
      </c>
      <c r="CX106" s="62">
        <f t="shared" si="68"/>
        <v>657.08768590568707</v>
      </c>
      <c r="CY106" s="62">
        <f ca="1">AVERAGE(OFFSET($CX$3,0,0,'Données projet'!$E$13+1,1))-AVERAGE(OFFSET($H$3,0,0,'Données projet'!$E$13+1,1))</f>
        <v>255.77222823147724</v>
      </c>
      <c r="CZ106" s="62">
        <f t="shared" si="96"/>
        <v>199.6931080052031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3.0666666666666669</v>
      </c>
      <c r="DO106" s="13">
        <f>IF('Données projet'!$A$166&gt;35,DO105+DN106-DW105,IF(A106&lt;'Données projet'!$A$166,$DL$205^A106,IF(A106='Données projet'!$A$166,'Données projet'!$B$166,DO105+DN106-DW105)))</f>
        <v>211.19999999999982</v>
      </c>
      <c r="DP106" s="18">
        <f>DO106*VLOOKUP('Données projet'!$B$14,Paramètres!$A$1:$I$89,3,0)*VLOOKUP('Données projet'!$B$14,Paramètres!$A$1:$I$89,5,0)</f>
        <v>204.27263999999983</v>
      </c>
      <c r="DQ106" s="14">
        <f t="shared" si="97"/>
        <v>50.682006364585767</v>
      </c>
      <c r="DR106" s="22">
        <f t="shared" si="70"/>
        <v>444.04600908498657</v>
      </c>
      <c r="DS106" s="62">
        <f t="shared" si="71"/>
        <v>737.37934241831988</v>
      </c>
      <c r="DT106" s="62">
        <f ca="1">AVERAGE(OFFSET($DS$3,0,0,'Données projet'!$E$14+1,1))-AVERAGE(OFFSET($H$3,0,0,'Données projet'!$E$14+1,1))</f>
        <v>349.73011349954953</v>
      </c>
      <c r="DU106" s="62">
        <f t="shared" si="98"/>
        <v>154.08406475869634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-1.7053025658242404E-13</v>
      </c>
      <c r="O107" s="14">
        <f>N107*VLOOKUP('Données projet'!$B$9,Paramètres!$A$1:$I$89,3,0)*VLOOKUP('Données projet'!$B$9,Paramètres!$A$1:$I$89,5,0)</f>
        <v>-1.0197709343628959E-13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203.63995177374335</v>
      </c>
      <c r="T107" s="62">
        <f t="shared" si="88"/>
        <v>268.97461244918378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3.2747204549840299</v>
      </c>
      <c r="AA107" s="23">
        <f>EXP(-LN(2)/25)*AA106+(1-EXP(-LN(2)/25))/(LN(2)/25)*Calculateur!V107*Calculateur!X107*VLOOKUP('Données projet'!$B$9,Paramètres!$A$1:$I$89,3,0)*0.475*44/12</f>
        <v>1.6103636720413734</v>
      </c>
      <c r="AB107" s="23">
        <f>EXP(-LN(2)/2)*AB106+(1-EXP(-LN(2)/2))/(LN(2)/2)*V107*Y107*VLOOKUP('Données projet'!$B$9,Paramètres!$A$1:$I$89,3,0)*0.475*44/12</f>
        <v>2.3298169678309712E-11</v>
      </c>
      <c r="AC107" s="24">
        <f t="shared" si="57"/>
        <v>4.8850841270487013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3.0666666666666669</v>
      </c>
      <c r="AI107" s="14">
        <f>IF('Données projet'!$A$62&gt;35,AI106+AH107-AQ106,IF(A107&lt;'Données projet'!$A$62,$AF$205^A107,IF(A107='Données projet'!$A$62,'Données projet'!$B$62,AI106+AH107-AQ106)))</f>
        <v>214.26666666666648</v>
      </c>
      <c r="AJ107" s="14">
        <f>AI107*VLOOKUP('Données projet'!$B$10,Paramètres!$A$1:$I$89,3,0)*VLOOKUP('Données projet'!$B$10,Paramètres!$A$1:$I$89,5,0)</f>
        <v>217.26639999999983</v>
      </c>
      <c r="AK107" s="14">
        <f t="shared" si="89"/>
        <v>53.52031961179032</v>
      </c>
      <c r="AL107" s="22">
        <f t="shared" si="58"/>
        <v>471.62020332386783</v>
      </c>
      <c r="AM107" s="62">
        <f t="shared" si="59"/>
        <v>764.95353665720108</v>
      </c>
      <c r="AN107" s="62">
        <f ca="1">AVERAGE(OFFSET($AM$3,0,0,'Données projet'!$E$10+1,1))-AVERAGE(OFFSET($H$3,0,0,'Données projet'!$E$10+1,1))</f>
        <v>364.69354394930866</v>
      </c>
      <c r="AO107" s="62">
        <f t="shared" si="90"/>
        <v>159.6134369231965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241.00707378755914</v>
      </c>
      <c r="BJ107" s="62">
        <f t="shared" si="92"/>
        <v>239.93573789765657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2.3076923076923039</v>
      </c>
      <c r="BY107" s="13">
        <f>IF('Données projet'!$A$114&gt;35,BY106+BX107-CG106,IF(A107&lt;'Données projet'!$A$114,$BV$205^A107,IF(A107='Données projet'!$A$114,'Données projet'!$B$114,BY106+BX107-CG106)))</f>
        <v>196.41025641025658</v>
      </c>
      <c r="BZ107" s="14">
        <f>BY107*VLOOKUP('Données projet'!$B$12,Paramètres!$A$1:$I$89,3,0)*VLOOKUP('Données projet'!$B$12,Paramètres!$A$1:$I$89,5,0)</f>
        <v>131.75200000000009</v>
      </c>
      <c r="CA107" s="14">
        <f t="shared" si="93"/>
        <v>34.400879137880764</v>
      </c>
      <c r="CB107" s="22">
        <f t="shared" si="64"/>
        <v>289.38293116514245</v>
      </c>
      <c r="CC107" s="62">
        <f t="shared" si="65"/>
        <v>582.71626449847577</v>
      </c>
      <c r="CD107" s="62">
        <f ca="1">AVERAGE(OFFSET($CC$3,0,0,'Données projet'!$E$12+1,1))-AVERAGE(OFFSET($H$3,0,0,'Données projet'!$E$12+1,1))</f>
        <v>207.91006140109965</v>
      </c>
      <c r="CE107" s="62">
        <f t="shared" si="94"/>
        <v>164.93317437647255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2.3076923076923039</v>
      </c>
      <c r="CT107" s="13">
        <f>IF('Données projet'!$A$140&gt;35,CT106+CS107-DB106,IF(A107&lt;'Données projet'!$A$140,$CQ$205^A107,IF(A107='Données projet'!$A$140,'Données projet'!$B$140,CT106+CS107-DB106)))</f>
        <v>196.41025641025658</v>
      </c>
      <c r="CU107" s="18">
        <f>CT107*VLOOKUP('Données projet'!$B$13,Paramètres!$A$1:$I$89,3,0)*VLOOKUP('Données projet'!$B$13,Paramètres!$A$1:$I$89,5,0)</f>
        <v>168.52000000000015</v>
      </c>
      <c r="CV107" s="14">
        <f t="shared" si="95"/>
        <v>42.758384321444758</v>
      </c>
      <c r="CW107" s="22">
        <f t="shared" si="67"/>
        <v>367.97651935984987</v>
      </c>
      <c r="CX107" s="62">
        <f t="shared" si="68"/>
        <v>661.30985269318319</v>
      </c>
      <c r="CY107" s="62">
        <f ca="1">AVERAGE(OFFSET($CX$3,0,0,'Données projet'!$E$13+1,1))-AVERAGE(OFFSET($H$3,0,0,'Données projet'!$E$13+1,1))</f>
        <v>255.77222823147724</v>
      </c>
      <c r="CZ107" s="62">
        <f t="shared" si="96"/>
        <v>199.6931080052031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3.0666666666666669</v>
      </c>
      <c r="DO107" s="13">
        <f>IF('Données projet'!$A$166&gt;35,DO106+DN107-DW106,IF(A107&lt;'Données projet'!$A$166,$DL$205^A107,IF(A107='Données projet'!$A$166,'Données projet'!$B$166,DO106+DN107-DW106)))</f>
        <v>214.26666666666648</v>
      </c>
      <c r="DP107" s="18">
        <f>DO107*VLOOKUP('Données projet'!$B$14,Paramètres!$A$1:$I$89,3,0)*VLOOKUP('Données projet'!$B$14,Paramètres!$A$1:$I$89,5,0)</f>
        <v>207.23871999999986</v>
      </c>
      <c r="DQ107" s="14">
        <f t="shared" si="97"/>
        <v>51.331712499804695</v>
      </c>
      <c r="DR107" s="22">
        <f t="shared" si="70"/>
        <v>450.34350327049287</v>
      </c>
      <c r="DS107" s="62">
        <f t="shared" si="71"/>
        <v>743.67683660382613</v>
      </c>
      <c r="DT107" s="62">
        <f ca="1">AVERAGE(OFFSET($DS$3,0,0,'Données projet'!$E$14+1,1))-AVERAGE(OFFSET($H$3,0,0,'Données projet'!$E$14+1,1))</f>
        <v>349.73011349954953</v>
      </c>
      <c r="DU107" s="62">
        <f t="shared" si="98"/>
        <v>154.08406475869634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-1.7053025658242404E-13</v>
      </c>
      <c r="O108" s="14">
        <f>N108*VLOOKUP('Données projet'!$B$9,Paramètres!$A$1:$I$89,3,0)*VLOOKUP('Données projet'!$B$9,Paramètres!$A$1:$I$89,5,0)</f>
        <v>-1.0197709343628959E-13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203.63995177374335</v>
      </c>
      <c r="T108" s="62">
        <f t="shared" si="88"/>
        <v>268.97461244918378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3.2105051842440453</v>
      </c>
      <c r="AA108" s="23">
        <f>EXP(-LN(2)/25)*AA107+(1-EXP(-LN(2)/25))/(LN(2)/25)*Calculateur!V108*Calculateur!X108*VLOOKUP('Données projet'!$B$9,Paramètres!$A$1:$I$89,3,0)*0.475*44/12</f>
        <v>1.5663281927440571</v>
      </c>
      <c r="AB108" s="23">
        <f>EXP(-LN(2)/2)*AB107+(1-EXP(-LN(2)/2))/(LN(2)/2)*V108*Y108*VLOOKUP('Données projet'!$B$9,Paramètres!$A$1:$I$89,3,0)*0.475*44/12</f>
        <v>1.6474293768767601E-11</v>
      </c>
      <c r="AC108" s="24">
        <f t="shared" si="57"/>
        <v>4.7768333770045768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3.0666666666666669</v>
      </c>
      <c r="AI108" s="14">
        <f>IF('Données projet'!$A$62&gt;35,AI107+AH108-AQ107,IF(A108&lt;'Données projet'!$A$62,$AF$205^A108,IF(A108='Données projet'!$A$62,'Données projet'!$B$62,AI107+AH108-AQ107)))</f>
        <v>217.33333333333314</v>
      </c>
      <c r="AJ108" s="14">
        <f>AI108*VLOOKUP('Données projet'!$B$10,Paramètres!$A$1:$I$89,3,0)*VLOOKUP('Données projet'!$B$10,Paramètres!$A$1:$I$89,5,0)</f>
        <v>220.37599999999981</v>
      </c>
      <c r="AK108" s="14">
        <f t="shared" si="89"/>
        <v>54.196599339230858</v>
      </c>
      <c r="AL108" s="22">
        <f t="shared" si="58"/>
        <v>478.2139438491601</v>
      </c>
      <c r="AM108" s="62">
        <f t="shared" si="59"/>
        <v>771.54727718249342</v>
      </c>
      <c r="AN108" s="62">
        <f ca="1">AVERAGE(OFFSET($AM$3,0,0,'Données projet'!$E$10+1,1))-AVERAGE(OFFSET($H$3,0,0,'Données projet'!$E$10+1,1))</f>
        <v>364.69354394930866</v>
      </c>
      <c r="AO108" s="62">
        <f t="shared" si="90"/>
        <v>159.6134369231965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241.00707378755914</v>
      </c>
      <c r="BJ108" s="62">
        <f t="shared" si="92"/>
        <v>239.93573789765657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198.7179487179487</v>
      </c>
      <c r="BW108" s="13">
        <f>VLOOKUP(A108,'Données projet'!$A$113:$I$133,9,0)</f>
        <v>2.3076923076923039</v>
      </c>
      <c r="BX108" s="13">
        <f t="array" ref="BX108">INDEX(BW:BW,MIN(IF(ISNUMBER(BW108:BW304),ROW(BW108:BW304),"")))</f>
        <v>2.3076923076923039</v>
      </c>
      <c r="BY108" s="13">
        <f>IF('Données projet'!$A$114&gt;35,BY107+BX108-CG107,IF(A108&lt;'Données projet'!$A$114,$BV$205^A108,IF(A108='Données projet'!$A$114,'Données projet'!$B$114,BY107+BX108-CG107)))</f>
        <v>198.71794871794887</v>
      </c>
      <c r="BZ108" s="14">
        <f>BY108*VLOOKUP('Données projet'!$B$12,Paramètres!$A$1:$I$89,3,0)*VLOOKUP('Données projet'!$B$12,Paramètres!$A$1:$I$89,5,0)</f>
        <v>133.3000000000001</v>
      </c>
      <c r="CA108" s="14">
        <f t="shared" si="93"/>
        <v>34.75777638852658</v>
      </c>
      <c r="CB108" s="22">
        <f t="shared" si="64"/>
        <v>292.70062721001727</v>
      </c>
      <c r="CC108" s="62">
        <f t="shared" si="65"/>
        <v>586.03396054335053</v>
      </c>
      <c r="CD108" s="62">
        <f ca="1">AVERAGE(OFFSET($CC$3,0,0,'Données projet'!$E$12+1,1))-AVERAGE(OFFSET($H$3,0,0,'Données projet'!$E$12+1,1))</f>
        <v>207.91006140109965</v>
      </c>
      <c r="CE108" s="62">
        <f t="shared" si="94"/>
        <v>164.93317437647255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198.7179487179487</v>
      </c>
      <c r="CR108" s="13">
        <f>VLOOKUP(A108,'Données projet'!$A$139:$I$159,9,0)</f>
        <v>2.3076923076923039</v>
      </c>
      <c r="CS108" s="13">
        <f t="array" ref="CS108">INDEX(CR:CR,MIN(IF(ISNUMBER(CR108:CR304),ROW(CR108:CR304),"")))</f>
        <v>2.3076923076923039</v>
      </c>
      <c r="CT108" s="13">
        <f>IF('Données projet'!$A$140&gt;35,CT107+CS108-DB107,IF(A108&lt;'Données projet'!$A$140,$CQ$205^A108,IF(A108='Données projet'!$A$140,'Données projet'!$B$140,CT107+CS108-DB107)))</f>
        <v>198.71794871794887</v>
      </c>
      <c r="CU108" s="18">
        <f>CT108*VLOOKUP('Données projet'!$B$13,Paramètres!$A$1:$I$89,3,0)*VLOOKUP('Données projet'!$B$13,Paramètres!$A$1:$I$89,5,0)</f>
        <v>170.50000000000017</v>
      </c>
      <c r="CV108" s="14">
        <f t="shared" si="95"/>
        <v>43.201987804518986</v>
      </c>
      <c r="CW108" s="22">
        <f t="shared" si="67"/>
        <v>372.19762875953751</v>
      </c>
      <c r="CX108" s="62">
        <f t="shared" si="68"/>
        <v>665.53096209287082</v>
      </c>
      <c r="CY108" s="62">
        <f ca="1">AVERAGE(OFFSET($CX$3,0,0,'Données projet'!$E$13+1,1))-AVERAGE(OFFSET($H$3,0,0,'Données projet'!$E$13+1,1))</f>
        <v>255.77222823147724</v>
      </c>
      <c r="CZ108" s="62">
        <f t="shared" si="96"/>
        <v>199.6931080052031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3.0666666666666669</v>
      </c>
      <c r="DO108" s="13">
        <f>IF('Données projet'!$A$166&gt;35,DO107+DN108-DW107,IF(A108&lt;'Données projet'!$A$166,$DL$205^A108,IF(A108='Données projet'!$A$166,'Données projet'!$B$166,DO107+DN108-DW107)))</f>
        <v>217.33333333333314</v>
      </c>
      <c r="DP108" s="18">
        <f>DO108*VLOOKUP('Données projet'!$B$14,Paramètres!$A$1:$I$89,3,0)*VLOOKUP('Données projet'!$B$14,Paramètres!$A$1:$I$89,5,0)</f>
        <v>210.20479999999984</v>
      </c>
      <c r="DQ108" s="14">
        <f t="shared" si="97"/>
        <v>51.98033711173202</v>
      </c>
      <c r="DR108" s="22">
        <f t="shared" si="70"/>
        <v>456.63911380293302</v>
      </c>
      <c r="DS108" s="62">
        <f t="shared" si="71"/>
        <v>749.97244713626628</v>
      </c>
      <c r="DT108" s="62">
        <f ca="1">AVERAGE(OFFSET($DS$3,0,0,'Données projet'!$E$14+1,1))-AVERAGE(OFFSET($H$3,0,0,'Données projet'!$E$14+1,1))</f>
        <v>349.73011349954953</v>
      </c>
      <c r="DU108" s="62">
        <f t="shared" si="98"/>
        <v>154.08406475869634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-1.7053025658242404E-13</v>
      </c>
      <c r="O109" s="14">
        <f>N109*VLOOKUP('Données projet'!$B$9,Paramètres!$A$1:$I$89,3,0)*VLOOKUP('Données projet'!$B$9,Paramètres!$A$1:$I$89,5,0)</f>
        <v>-1.0197709343628959E-13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203.63995177374335</v>
      </c>
      <c r="T109" s="62">
        <f t="shared" si="88"/>
        <v>268.97461244918378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3.1475491357958245</v>
      </c>
      <c r="AA109" s="23">
        <f>EXP(-LN(2)/25)*AA108+(1-EXP(-LN(2)/25))/(LN(2)/25)*Calculateur!V109*Calculateur!X109*VLOOKUP('Données projet'!$B$9,Paramètres!$A$1:$I$89,3,0)*0.475*44/12</f>
        <v>1.523496865943851</v>
      </c>
      <c r="AB109" s="23">
        <f>EXP(-LN(2)/2)*AB108+(1-EXP(-LN(2)/2))/(LN(2)/2)*V109*Y109*VLOOKUP('Données projet'!$B$9,Paramètres!$A$1:$I$89,3,0)*0.475*44/12</f>
        <v>1.1649084839154856E-11</v>
      </c>
      <c r="AC109" s="24">
        <f t="shared" si="57"/>
        <v>4.6710460017513249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3.0666666666666669</v>
      </c>
      <c r="AI109" s="14">
        <f>IF('Données projet'!$A$62&gt;35,AI108+AH109-AQ108,IF(A109&lt;'Données projet'!$A$62,$AF$205^A109,IF(A109='Données projet'!$A$62,'Données projet'!$B$62,AI108+AH109-AQ108)))</f>
        <v>220.39999999999981</v>
      </c>
      <c r="AJ109" s="14">
        <f>AI109*VLOOKUP('Données projet'!$B$10,Paramètres!$A$1:$I$89,3,0)*VLOOKUP('Données projet'!$B$10,Paramètres!$A$1:$I$89,5,0)</f>
        <v>223.48559999999981</v>
      </c>
      <c r="AK109" s="14">
        <f t="shared" si="89"/>
        <v>54.87176918107793</v>
      </c>
      <c r="AL109" s="22">
        <f t="shared" si="58"/>
        <v>484.80575132371035</v>
      </c>
      <c r="AM109" s="62">
        <f t="shared" si="59"/>
        <v>778.13908465704367</v>
      </c>
      <c r="AN109" s="62">
        <f ca="1">AVERAGE(OFFSET($AM$3,0,0,'Données projet'!$E$10+1,1))-AVERAGE(OFFSET($H$3,0,0,'Données projet'!$E$10+1,1))</f>
        <v>364.69354394930866</v>
      </c>
      <c r="AO109" s="62">
        <f t="shared" si="90"/>
        <v>159.6134369231965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241.00707378755914</v>
      </c>
      <c r="BJ109" s="62">
        <f t="shared" si="92"/>
        <v>239.93573789765657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2.4358974358974366</v>
      </c>
      <c r="BY109" s="13">
        <f>IF('Données projet'!$A$114&gt;35,BY108+BX109-CG108,IF(A109&lt;'Données projet'!$A$114,$BV$205^A109,IF(A109='Données projet'!$A$114,'Données projet'!$B$114,BY108+BX109-CG108)))</f>
        <v>201.1538461538463</v>
      </c>
      <c r="BZ109" s="14">
        <f>BY109*VLOOKUP('Données projet'!$B$12,Paramètres!$A$1:$I$89,3,0)*VLOOKUP('Données projet'!$B$12,Paramètres!$A$1:$I$89,5,0)</f>
        <v>134.93400000000008</v>
      </c>
      <c r="CA109" s="14">
        <f t="shared" si="93"/>
        <v>35.133978349898335</v>
      </c>
      <c r="CB109" s="22">
        <f t="shared" si="64"/>
        <v>296.20172895940641</v>
      </c>
      <c r="CC109" s="62">
        <f t="shared" si="65"/>
        <v>589.53506229273967</v>
      </c>
      <c r="CD109" s="62">
        <f ca="1">AVERAGE(OFFSET($CC$3,0,0,'Données projet'!$E$12+1,1))-AVERAGE(OFFSET($H$3,0,0,'Données projet'!$E$12+1,1))</f>
        <v>207.91006140109965</v>
      </c>
      <c r="CE109" s="62">
        <f t="shared" si="94"/>
        <v>164.93317437647255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2.4358974358974366</v>
      </c>
      <c r="CT109" s="13">
        <f>IF('Données projet'!$A$140&gt;35,CT108+CS109-DB108,IF(A109&lt;'Données projet'!$A$140,$CQ$205^A109,IF(A109='Données projet'!$A$140,'Données projet'!$B$140,CT108+CS109-DB108)))</f>
        <v>201.1538461538463</v>
      </c>
      <c r="CU109" s="18">
        <f>CT109*VLOOKUP('Données projet'!$B$13,Paramètres!$A$1:$I$89,3,0)*VLOOKUP('Données projet'!$B$13,Paramètres!$A$1:$I$89,5,0)</f>
        <v>172.59000000000015</v>
      </c>
      <c r="CV109" s="14">
        <f t="shared" si="95"/>
        <v>43.669585972064169</v>
      </c>
      <c r="CW109" s="22">
        <f t="shared" si="67"/>
        <v>376.65211223467867</v>
      </c>
      <c r="CX109" s="62">
        <f t="shared" si="68"/>
        <v>669.98544556801198</v>
      </c>
      <c r="CY109" s="62">
        <f ca="1">AVERAGE(OFFSET($CX$3,0,0,'Données projet'!$E$13+1,1))-AVERAGE(OFFSET($H$3,0,0,'Données projet'!$E$13+1,1))</f>
        <v>255.77222823147724</v>
      </c>
      <c r="CZ109" s="62">
        <f t="shared" si="96"/>
        <v>199.6931080052031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3.0666666666666669</v>
      </c>
      <c r="DO109" s="13">
        <f>IF('Données projet'!$A$166&gt;35,DO108+DN109-DW108,IF(A109&lt;'Données projet'!$A$166,$DL$205^A109,IF(A109='Données projet'!$A$166,'Données projet'!$B$166,DO108+DN109-DW108)))</f>
        <v>220.39999999999981</v>
      </c>
      <c r="DP109" s="18">
        <f>DO109*VLOOKUP('Données projet'!$B$14,Paramètres!$A$1:$I$89,3,0)*VLOOKUP('Données projet'!$B$14,Paramètres!$A$1:$I$89,5,0)</f>
        <v>213.17087999999981</v>
      </c>
      <c r="DQ109" s="14">
        <f t="shared" si="97"/>
        <v>52.627897224631546</v>
      </c>
      <c r="DR109" s="22">
        <f t="shared" si="70"/>
        <v>462.93287033289954</v>
      </c>
      <c r="DS109" s="62">
        <f t="shared" si="71"/>
        <v>756.26620366623285</v>
      </c>
      <c r="DT109" s="62">
        <f ca="1">AVERAGE(OFFSET($DS$3,0,0,'Données projet'!$E$14+1,1))-AVERAGE(OFFSET($H$3,0,0,'Données projet'!$E$14+1,1))</f>
        <v>349.73011349954953</v>
      </c>
      <c r="DU109" s="62">
        <f t="shared" si="98"/>
        <v>154.08406475869634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-1.7053025658242404E-13</v>
      </c>
      <c r="O110" s="14">
        <f>N110*VLOOKUP('Données projet'!$B$9,Paramètres!$A$1:$I$89,3,0)*VLOOKUP('Données projet'!$B$9,Paramètres!$A$1:$I$89,5,0)</f>
        <v>-1.0197709343628959E-13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203.63995177374335</v>
      </c>
      <c r="T110" s="62">
        <f t="shared" si="88"/>
        <v>268.97461244918378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3.0858276170582752</v>
      </c>
      <c r="AA110" s="23">
        <f>EXP(-LN(2)/25)*AA109+(1-EXP(-LN(2)/25))/(LN(2)/25)*Calculateur!V110*Calculateur!X110*VLOOKUP('Données projet'!$B$9,Paramètres!$A$1:$I$89,3,0)*0.475*44/12</f>
        <v>1.4818367640273982</v>
      </c>
      <c r="AB110" s="23">
        <f>EXP(-LN(2)/2)*AB109+(1-EXP(-LN(2)/2))/(LN(2)/2)*V110*Y110*VLOOKUP('Données projet'!$B$9,Paramètres!$A$1:$I$89,3,0)*0.475*44/12</f>
        <v>8.2371468843838007E-12</v>
      </c>
      <c r="AC110" s="24">
        <f t="shared" si="57"/>
        <v>4.5676643810939108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3.0666666666666669</v>
      </c>
      <c r="AI110" s="14">
        <f>IF('Données projet'!$A$62&gt;35,AI109+AH110-AQ109,IF(A110&lt;'Données projet'!$A$62,$AF$205^A110,IF(A110='Données projet'!$A$62,'Données projet'!$B$62,AI109+AH110-AQ109)))</f>
        <v>223.46666666666647</v>
      </c>
      <c r="AJ110" s="14">
        <f>AI110*VLOOKUP('Données projet'!$B$10,Paramètres!$A$1:$I$89,3,0)*VLOOKUP('Données projet'!$B$10,Paramètres!$A$1:$I$89,5,0)</f>
        <v>226.59519999999983</v>
      </c>
      <c r="AK110" s="14">
        <f t="shared" si="89"/>
        <v>55.545846365122017</v>
      </c>
      <c r="AL110" s="22">
        <f t="shared" si="58"/>
        <v>491.39565575258717</v>
      </c>
      <c r="AM110" s="62">
        <f t="shared" si="59"/>
        <v>784.72898908592049</v>
      </c>
      <c r="AN110" s="62">
        <f ca="1">AVERAGE(OFFSET($AM$3,0,0,'Données projet'!$E$10+1,1))-AVERAGE(OFFSET($H$3,0,0,'Données projet'!$E$10+1,1))</f>
        <v>364.69354394930866</v>
      </c>
      <c r="AO110" s="62">
        <f t="shared" si="90"/>
        <v>159.6134369231965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241.00707378755914</v>
      </c>
      <c r="BJ110" s="62">
        <f t="shared" si="92"/>
        <v>239.93573789765657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2.4358974358974366</v>
      </c>
      <c r="BY110" s="13">
        <f>IF('Données projet'!$A$114&gt;35,BY109+BX110-CG109,IF(A110&lt;'Données projet'!$A$114,$BV$205^A110,IF(A110='Données projet'!$A$114,'Données projet'!$B$114,BY109+BX110-CG109)))</f>
        <v>203.58974358974373</v>
      </c>
      <c r="BZ110" s="14">
        <f>BY110*VLOOKUP('Données projet'!$B$12,Paramètres!$A$1:$I$89,3,0)*VLOOKUP('Données projet'!$B$12,Paramètres!$A$1:$I$89,5,0)</f>
        <v>136.5680000000001</v>
      </c>
      <c r="CA110" s="14">
        <f t="shared" si="93"/>
        <v>35.509650391805792</v>
      </c>
      <c r="CB110" s="22">
        <f t="shared" si="64"/>
        <v>299.70190776572855</v>
      </c>
      <c r="CC110" s="62">
        <f t="shared" si="65"/>
        <v>593.03524109906186</v>
      </c>
      <c r="CD110" s="62">
        <f ca="1">AVERAGE(OFFSET($CC$3,0,0,'Données projet'!$E$12+1,1))-AVERAGE(OFFSET($H$3,0,0,'Données projet'!$E$12+1,1))</f>
        <v>207.91006140109965</v>
      </c>
      <c r="CE110" s="62">
        <f t="shared" si="94"/>
        <v>164.93317437647255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2.4358974358974366</v>
      </c>
      <c r="CT110" s="13">
        <f>IF('Données projet'!$A$140&gt;35,CT109+CS110-DB109,IF(A110&lt;'Données projet'!$A$140,$CQ$205^A110,IF(A110='Données projet'!$A$140,'Données projet'!$B$140,CT109+CS110-DB109)))</f>
        <v>203.58974358974373</v>
      </c>
      <c r="CU110" s="18">
        <f>CT110*VLOOKUP('Données projet'!$B$13,Paramètres!$A$1:$I$89,3,0)*VLOOKUP('Données projet'!$B$13,Paramètres!$A$1:$I$89,5,0)</f>
        <v>174.68000000000015</v>
      </c>
      <c r="CV110" s="14">
        <f t="shared" si="95"/>
        <v>44.136525479113359</v>
      </c>
      <c r="CW110" s="22">
        <f t="shared" si="67"/>
        <v>381.10544854278942</v>
      </c>
      <c r="CX110" s="62">
        <f t="shared" si="68"/>
        <v>674.43878187612268</v>
      </c>
      <c r="CY110" s="62">
        <f ca="1">AVERAGE(OFFSET($CX$3,0,0,'Données projet'!$E$13+1,1))-AVERAGE(OFFSET($H$3,0,0,'Données projet'!$E$13+1,1))</f>
        <v>255.77222823147724</v>
      </c>
      <c r="CZ110" s="62">
        <f t="shared" si="96"/>
        <v>199.6931080052031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3.0666666666666669</v>
      </c>
      <c r="DO110" s="13">
        <f>IF('Données projet'!$A$166&gt;35,DO109+DN110-DW109,IF(A110&lt;'Données projet'!$A$166,$DL$205^A110,IF(A110='Données projet'!$A$166,'Données projet'!$B$166,DO109+DN110-DW109)))</f>
        <v>223.46666666666647</v>
      </c>
      <c r="DP110" s="18">
        <f>DO110*VLOOKUP('Données projet'!$B$14,Paramètres!$A$1:$I$89,3,0)*VLOOKUP('Données projet'!$B$14,Paramètres!$A$1:$I$89,5,0)</f>
        <v>216.13695999999982</v>
      </c>
      <c r="DQ110" s="14">
        <f t="shared" si="97"/>
        <v>53.274409361797602</v>
      </c>
      <c r="DR110" s="22">
        <f t="shared" si="70"/>
        <v>469.22480163846382</v>
      </c>
      <c r="DS110" s="62">
        <f t="shared" si="71"/>
        <v>762.55813497179713</v>
      </c>
      <c r="DT110" s="62">
        <f ca="1">AVERAGE(OFFSET($DS$3,0,0,'Données projet'!$E$14+1,1))-AVERAGE(OFFSET($H$3,0,0,'Données projet'!$E$14+1,1))</f>
        <v>349.73011349954953</v>
      </c>
      <c r="DU110" s="62">
        <f t="shared" si="98"/>
        <v>154.08406475869634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-1.7053025658242404E-13</v>
      </c>
      <c r="O111" s="14">
        <f>N111*VLOOKUP('Données projet'!$B$9,Paramètres!$A$1:$I$89,3,0)*VLOOKUP('Données projet'!$B$9,Paramètres!$A$1:$I$89,5,0)</f>
        <v>-1.0197709343628959E-13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203.63995177374335</v>
      </c>
      <c r="T111" s="62">
        <f t="shared" si="88"/>
        <v>268.97461244918378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3.0253164196567601</v>
      </c>
      <c r="AA111" s="23">
        <f>EXP(-LN(2)/25)*AA110+(1-EXP(-LN(2)/25))/(LN(2)/25)*Calculateur!V111*Calculateur!X111*VLOOKUP('Données projet'!$B$9,Paramètres!$A$1:$I$89,3,0)*0.475*44/12</f>
        <v>1.4413158597886604</v>
      </c>
      <c r="AB111" s="23">
        <f>EXP(-LN(2)/2)*AB110+(1-EXP(-LN(2)/2))/(LN(2)/2)*V111*Y111*VLOOKUP('Données projet'!$B$9,Paramètres!$A$1:$I$89,3,0)*0.475*44/12</f>
        <v>5.8245424195774279E-12</v>
      </c>
      <c r="AC111" s="24">
        <f t="shared" si="57"/>
        <v>4.466632279451245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3.0666666666666669</v>
      </c>
      <c r="AI111" s="14">
        <f>IF('Données projet'!$A$62&gt;35,AI110+AH111-AQ110,IF(A111&lt;'Données projet'!$A$62,$AF$205^A111,IF(A111='Données projet'!$A$62,'Données projet'!$B$62,AI110+AH111-AQ110)))</f>
        <v>226.53333333333313</v>
      </c>
      <c r="AJ111" s="14">
        <f>AI111*VLOOKUP('Données projet'!$B$10,Paramètres!$A$1:$I$89,3,0)*VLOOKUP('Données projet'!$B$10,Paramètres!$A$1:$I$89,5,0)</f>
        <v>229.70479999999978</v>
      </c>
      <c r="AK111" s="14">
        <f t="shared" si="89"/>
        <v>56.218847619147972</v>
      </c>
      <c r="AL111" s="22">
        <f t="shared" si="58"/>
        <v>497.9836862700156</v>
      </c>
      <c r="AM111" s="62">
        <f t="shared" si="59"/>
        <v>791.31701960334885</v>
      </c>
      <c r="AN111" s="62">
        <f ca="1">AVERAGE(OFFSET($AM$3,0,0,'Données projet'!$E$10+1,1))-AVERAGE(OFFSET($H$3,0,0,'Données projet'!$E$10+1,1))</f>
        <v>364.69354394930866</v>
      </c>
      <c r="AO111" s="62">
        <f t="shared" si="90"/>
        <v>159.6134369231965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241.00707378755914</v>
      </c>
      <c r="BJ111" s="62">
        <f t="shared" si="92"/>
        <v>239.93573789765657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2.4358974358974366</v>
      </c>
      <c r="BY111" s="13">
        <f>IF('Données projet'!$A$114&gt;35,BY110+BX111-CG110,IF(A111&lt;'Données projet'!$A$114,$BV$205^A111,IF(A111='Données projet'!$A$114,'Données projet'!$B$114,BY110+BX111-CG110)))</f>
        <v>206.02564102564116</v>
      </c>
      <c r="BZ111" s="14">
        <f>BY111*VLOOKUP('Données projet'!$B$12,Paramètres!$A$1:$I$89,3,0)*VLOOKUP('Données projet'!$B$12,Paramètres!$A$1:$I$89,5,0)</f>
        <v>138.20200000000008</v>
      </c>
      <c r="CA111" s="14">
        <f t="shared" si="93"/>
        <v>35.884799588024144</v>
      </c>
      <c r="CB111" s="22">
        <f t="shared" si="64"/>
        <v>303.20117594914217</v>
      </c>
      <c r="CC111" s="62">
        <f t="shared" si="65"/>
        <v>596.53450928247548</v>
      </c>
      <c r="CD111" s="62">
        <f ca="1">AVERAGE(OFFSET($CC$3,0,0,'Données projet'!$E$12+1,1))-AVERAGE(OFFSET($H$3,0,0,'Données projet'!$E$12+1,1))</f>
        <v>207.91006140109965</v>
      </c>
      <c r="CE111" s="62">
        <f t="shared" si="94"/>
        <v>164.93317437647255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2.4358974358974366</v>
      </c>
      <c r="CT111" s="13">
        <f>IF('Données projet'!$A$140&gt;35,CT110+CS111-DB110,IF(A111&lt;'Données projet'!$A$140,$CQ$205^A111,IF(A111='Données projet'!$A$140,'Données projet'!$B$140,CT110+CS111-DB110)))</f>
        <v>206.02564102564116</v>
      </c>
      <c r="CU111" s="18">
        <f>CT111*VLOOKUP('Données projet'!$B$13,Paramètres!$A$1:$I$89,3,0)*VLOOKUP('Données projet'!$B$13,Paramètres!$A$1:$I$89,5,0)</f>
        <v>176.77000000000015</v>
      </c>
      <c r="CV111" s="14">
        <f t="shared" si="95"/>
        <v>44.602815117976753</v>
      </c>
      <c r="CW111" s="22">
        <f t="shared" si="67"/>
        <v>385.55765299714307</v>
      </c>
      <c r="CX111" s="62">
        <f t="shared" si="68"/>
        <v>678.89098633047638</v>
      </c>
      <c r="CY111" s="62">
        <f ca="1">AVERAGE(OFFSET($CX$3,0,0,'Données projet'!$E$13+1,1))-AVERAGE(OFFSET($H$3,0,0,'Données projet'!$E$13+1,1))</f>
        <v>255.77222823147724</v>
      </c>
      <c r="CZ111" s="62">
        <f t="shared" si="96"/>
        <v>199.6931080052031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3.0666666666666669</v>
      </c>
      <c r="DO111" s="13">
        <f>IF('Données projet'!$A$166&gt;35,DO110+DN111-DW110,IF(A111&lt;'Données projet'!$A$166,$DL$205^A111,IF(A111='Données projet'!$A$166,'Données projet'!$B$166,DO110+DN111-DW110)))</f>
        <v>226.53333333333313</v>
      </c>
      <c r="DP111" s="18">
        <f>DO111*VLOOKUP('Données projet'!$B$14,Paramètres!$A$1:$I$89,3,0)*VLOOKUP('Données projet'!$B$14,Paramètres!$A$1:$I$89,5,0)</f>
        <v>219.10303999999979</v>
      </c>
      <c r="DQ111" s="14">
        <f t="shared" si="97"/>
        <v>53.919889566965523</v>
      </c>
      <c r="DR111" s="22">
        <f t="shared" si="70"/>
        <v>475.51493566246467</v>
      </c>
      <c r="DS111" s="62">
        <f t="shared" si="71"/>
        <v>768.84826899579798</v>
      </c>
      <c r="DT111" s="62">
        <f ca="1">AVERAGE(OFFSET($DS$3,0,0,'Données projet'!$E$14+1,1))-AVERAGE(OFFSET($H$3,0,0,'Données projet'!$E$14+1,1))</f>
        <v>349.73011349954953</v>
      </c>
      <c r="DU111" s="62">
        <f t="shared" si="98"/>
        <v>154.08406475869634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-1.7053025658242404E-13</v>
      </c>
      <c r="O112" s="14">
        <f>N112*VLOOKUP('Données projet'!$B$9,Paramètres!$A$1:$I$89,3,0)*VLOOKUP('Données projet'!$B$9,Paramètres!$A$1:$I$89,5,0)</f>
        <v>-1.0197709343628959E-13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203.63995177374335</v>
      </c>
      <c r="T112" s="62">
        <f t="shared" si="88"/>
        <v>268.97461244918378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2.9659918099281026</v>
      </c>
      <c r="AA112" s="23">
        <f>EXP(-LN(2)/25)*AA111+(1-EXP(-LN(2)/25))/(LN(2)/25)*Calculateur!V112*Calculateur!X112*VLOOKUP('Données projet'!$B$9,Paramètres!$A$1:$I$89,3,0)*0.475*44/12</f>
        <v>1.4019030018072325</v>
      </c>
      <c r="AB112" s="23">
        <f>EXP(-LN(2)/2)*AB111+(1-EXP(-LN(2)/2))/(LN(2)/2)*V112*Y112*VLOOKUP('Données projet'!$B$9,Paramètres!$A$1:$I$89,3,0)*0.475*44/12</f>
        <v>4.1185734421919004E-12</v>
      </c>
      <c r="AC112" s="24">
        <f t="shared" si="57"/>
        <v>4.3678948117394532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3.0666666666666669</v>
      </c>
      <c r="AI112" s="14">
        <f>IF('Données projet'!$A$62&gt;35,AI111+AH112-AQ111,IF(A112&lt;'Données projet'!$A$62,$AF$205^A112,IF(A112='Données projet'!$A$62,'Données projet'!$B$62,AI111+AH112-AQ111)))</f>
        <v>229.5999999999998</v>
      </c>
      <c r="AJ112" s="14">
        <f>AI112*VLOOKUP('Données projet'!$B$10,Paramètres!$A$1:$I$89,3,0)*VLOOKUP('Données projet'!$B$10,Paramètres!$A$1:$I$89,5,0)</f>
        <v>232.81439999999981</v>
      </c>
      <c r="AK112" s="14">
        <f t="shared" si="89"/>
        <v>56.890789192015099</v>
      </c>
      <c r="AL112" s="22">
        <f t="shared" si="58"/>
        <v>504.56987117609265</v>
      </c>
      <c r="AM112" s="62">
        <f t="shared" si="59"/>
        <v>797.9032045094259</v>
      </c>
      <c r="AN112" s="62">
        <f ca="1">AVERAGE(OFFSET($AM$3,0,0,'Données projet'!$E$10+1,1))-AVERAGE(OFFSET($H$3,0,0,'Données projet'!$E$10+1,1))</f>
        <v>364.69354394930866</v>
      </c>
      <c r="AO112" s="62">
        <f t="shared" si="90"/>
        <v>159.6134369231965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241.00707378755914</v>
      </c>
      <c r="BJ112" s="62">
        <f t="shared" si="92"/>
        <v>239.93573789765657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2.4358974358974366</v>
      </c>
      <c r="BY112" s="13">
        <f>IF('Données projet'!$A$114&gt;35,BY111+BX112-CG111,IF(A112&lt;'Données projet'!$A$114,$BV$205^A112,IF(A112='Données projet'!$A$114,'Données projet'!$B$114,BY111+BX112-CG111)))</f>
        <v>208.46153846153859</v>
      </c>
      <c r="BZ112" s="14">
        <f>BY112*VLOOKUP('Données projet'!$B$12,Paramètres!$A$1:$I$89,3,0)*VLOOKUP('Données projet'!$B$12,Paramètres!$A$1:$I$89,5,0)</f>
        <v>139.8360000000001</v>
      </c>
      <c r="CA112" s="14">
        <f t="shared" si="93"/>
        <v>36.259432835432534</v>
      </c>
      <c r="CB112" s="22">
        <f t="shared" si="64"/>
        <v>306.6995455217118</v>
      </c>
      <c r="CC112" s="62">
        <f t="shared" si="65"/>
        <v>600.03287885504506</v>
      </c>
      <c r="CD112" s="62">
        <f ca="1">AVERAGE(OFFSET($CC$3,0,0,'Données projet'!$E$12+1,1))-AVERAGE(OFFSET($H$3,0,0,'Données projet'!$E$12+1,1))</f>
        <v>207.91006140109965</v>
      </c>
      <c r="CE112" s="62">
        <f t="shared" si="94"/>
        <v>164.93317437647255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2.4358974358974366</v>
      </c>
      <c r="CT112" s="13">
        <f>IF('Données projet'!$A$140&gt;35,CT111+CS112-DB111,IF(A112&lt;'Données projet'!$A$140,$CQ$205^A112,IF(A112='Données projet'!$A$140,'Données projet'!$B$140,CT111+CS112-DB111)))</f>
        <v>208.46153846153859</v>
      </c>
      <c r="CU112" s="18">
        <f>CT112*VLOOKUP('Données projet'!$B$13,Paramètres!$A$1:$I$89,3,0)*VLOOKUP('Données projet'!$B$13,Paramètres!$A$1:$I$89,5,0)</f>
        <v>178.86000000000013</v>
      </c>
      <c r="CV112" s="14">
        <f t="shared" si="95"/>
        <v>45.06846346109252</v>
      </c>
      <c r="CW112" s="22">
        <f t="shared" si="67"/>
        <v>390.00874052806967</v>
      </c>
      <c r="CX112" s="62">
        <f t="shared" si="68"/>
        <v>683.34207386140292</v>
      </c>
      <c r="CY112" s="62">
        <f ca="1">AVERAGE(OFFSET($CX$3,0,0,'Données projet'!$E$13+1,1))-AVERAGE(OFFSET($H$3,0,0,'Données projet'!$E$13+1,1))</f>
        <v>255.77222823147724</v>
      </c>
      <c r="CZ112" s="62">
        <f t="shared" si="96"/>
        <v>199.6931080052031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3.0666666666666669</v>
      </c>
      <c r="DO112" s="13">
        <f>IF('Données projet'!$A$166&gt;35,DO111+DN112-DW111,IF(A112&lt;'Données projet'!$A$166,$DL$205^A112,IF(A112='Données projet'!$A$166,'Données projet'!$B$166,DO111+DN112-DW111)))</f>
        <v>229.5999999999998</v>
      </c>
      <c r="DP112" s="18">
        <f>DO112*VLOOKUP('Données projet'!$B$14,Paramètres!$A$1:$I$89,3,0)*VLOOKUP('Données projet'!$B$14,Paramètres!$A$1:$I$89,5,0)</f>
        <v>222.0691199999998</v>
      </c>
      <c r="DQ112" s="14">
        <f t="shared" si="97"/>
        <v>54.564353424529699</v>
      </c>
      <c r="DR112" s="22">
        <f t="shared" si="70"/>
        <v>481.80329954772213</v>
      </c>
      <c r="DS112" s="62">
        <f t="shared" si="71"/>
        <v>775.13663288105545</v>
      </c>
      <c r="DT112" s="62">
        <f ca="1">AVERAGE(OFFSET($DS$3,0,0,'Données projet'!$E$14+1,1))-AVERAGE(OFFSET($H$3,0,0,'Données projet'!$E$14+1,1))</f>
        <v>349.73011349954953</v>
      </c>
      <c r="DU112" s="62">
        <f t="shared" si="98"/>
        <v>154.08406475869634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-1.7053025658242404E-13</v>
      </c>
      <c r="O113" s="14">
        <f>N113*VLOOKUP('Données projet'!$B$9,Paramètres!$A$1:$I$89,3,0)*VLOOKUP('Données projet'!$B$9,Paramètres!$A$1:$I$89,5,0)</f>
        <v>-1.0197709343628959E-13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203.63995177374335</v>
      </c>
      <c r="T113" s="62">
        <f t="shared" si="88"/>
        <v>268.97461244918378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2.9078305196117853</v>
      </c>
      <c r="AA113" s="23">
        <f>EXP(-LN(2)/25)*AA112+(1-EXP(-LN(2)/25))/(LN(2)/25)*Calculateur!V113*Calculateur!X113*VLOOKUP('Données projet'!$B$9,Paramètres!$A$1:$I$89,3,0)*0.475*44/12</f>
        <v>1.3635678904999389</v>
      </c>
      <c r="AB113" s="23">
        <f>EXP(-LN(2)/2)*AB112+(1-EXP(-LN(2)/2))/(LN(2)/2)*V113*Y113*VLOOKUP('Données projet'!$B$9,Paramètres!$A$1:$I$89,3,0)*0.475*44/12</f>
        <v>2.912271209788714E-12</v>
      </c>
      <c r="AC113" s="24">
        <f t="shared" si="57"/>
        <v>4.2713984101146361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3.0666666666666669</v>
      </c>
      <c r="AI113" s="14">
        <f>IF('Données projet'!$A$62&gt;35,AI112+AH113-AQ112,IF(A113&lt;'Données projet'!$A$62,$AF$205^A113,IF(A113='Données projet'!$A$62,'Données projet'!$B$62,AI112+AH113-AQ112)))</f>
        <v>232.66666666666646</v>
      </c>
      <c r="AJ113" s="14">
        <f>AI113*VLOOKUP('Données projet'!$B$10,Paramètres!$A$1:$I$89,3,0)*VLOOKUP('Données projet'!$B$10,Paramètres!$A$1:$I$89,5,0)</f>
        <v>235.92399999999981</v>
      </c>
      <c r="AK113" s="14">
        <f t="shared" si="89"/>
        <v>57.561686873578893</v>
      </c>
      <c r="AL113" s="22">
        <f t="shared" si="58"/>
        <v>511.15423797148287</v>
      </c>
      <c r="AM113" s="62">
        <f t="shared" si="59"/>
        <v>804.48757130481613</v>
      </c>
      <c r="AN113" s="62">
        <f ca="1">AVERAGE(OFFSET($AM$3,0,0,'Données projet'!$E$10+1,1))-AVERAGE(OFFSET($H$3,0,0,'Données projet'!$E$10+1,1))</f>
        <v>364.69354394930866</v>
      </c>
      <c r="AO113" s="62">
        <f t="shared" si="90"/>
        <v>159.6134369231965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241.00707378755914</v>
      </c>
      <c r="BJ113" s="62">
        <f t="shared" si="92"/>
        <v>239.93573789765657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210.89743589743588</v>
      </c>
      <c r="BW113" s="13">
        <f>VLOOKUP(A113,'Données projet'!$A$113:$I$133,9,0)</f>
        <v>2.4358974358974366</v>
      </c>
      <c r="BX113" s="13">
        <f t="array" ref="BX113">INDEX(BW:BW,MIN(IF(ISNUMBER(BW113:BW309),ROW(BW113:BW309),"")))</f>
        <v>2.4358974358974366</v>
      </c>
      <c r="BY113" s="13">
        <f>IF('Données projet'!$A$114&gt;35,BY112+BX113-CG112,IF(A113&lt;'Données projet'!$A$114,$BV$205^A113,IF(A113='Données projet'!$A$114,'Données projet'!$B$114,BY112+BX113-CG112)))</f>
        <v>210.89743589743603</v>
      </c>
      <c r="BZ113" s="14">
        <f>BY113*VLOOKUP('Données projet'!$B$12,Paramètres!$A$1:$I$89,3,0)*VLOOKUP('Données projet'!$B$12,Paramètres!$A$1:$I$89,5,0)</f>
        <v>141.47000000000008</v>
      </c>
      <c r="CA113" s="14">
        <f t="shared" si="93"/>
        <v>36.63355686045216</v>
      </c>
      <c r="CB113" s="22">
        <f t="shared" si="64"/>
        <v>310.19702819862101</v>
      </c>
      <c r="CC113" s="62">
        <f t="shared" si="65"/>
        <v>603.53036153195433</v>
      </c>
      <c r="CD113" s="62">
        <f ca="1">AVERAGE(OFFSET($CC$3,0,0,'Données projet'!$E$12+1,1))-AVERAGE(OFFSET($H$3,0,0,'Données projet'!$E$12+1,1))</f>
        <v>207.91006140109965</v>
      </c>
      <c r="CE113" s="62">
        <f t="shared" si="94"/>
        <v>164.93317437647255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210.89743589743588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210.89743589743588</v>
      </c>
      <c r="CR113" s="13">
        <f>VLOOKUP(A113,'Données projet'!$A$139:$I$159,9,0)</f>
        <v>2.4358974358974366</v>
      </c>
      <c r="CS113" s="13">
        <f t="array" ref="CS113">INDEX(CR:CR,MIN(IF(ISNUMBER(CR113:CR309),ROW(CR113:CR309),"")))</f>
        <v>2.4358974358974366</v>
      </c>
      <c r="CT113" s="13">
        <f>IF('Données projet'!$A$140&gt;35,CT112+CS113-DB112,IF(A113&lt;'Données projet'!$A$140,$CQ$205^A113,IF(A113='Données projet'!$A$140,'Données projet'!$B$140,CT112+CS113-DB112)))</f>
        <v>210.89743589743603</v>
      </c>
      <c r="CU113" s="18">
        <f>CT113*VLOOKUP('Données projet'!$B$13,Paramètres!$A$1:$I$89,3,0)*VLOOKUP('Données projet'!$B$13,Paramètres!$A$1:$I$89,5,0)</f>
        <v>180.95000000000013</v>
      </c>
      <c r="CV113" s="14">
        <f t="shared" si="95"/>
        <v>45.533478869028919</v>
      </c>
      <c r="CW113" s="22">
        <f t="shared" si="67"/>
        <v>394.45872569689226</v>
      </c>
      <c r="CX113" s="62">
        <f t="shared" si="68"/>
        <v>687.79205903022557</v>
      </c>
      <c r="CY113" s="62">
        <f ca="1">AVERAGE(OFFSET($CX$3,0,0,'Données projet'!$E$13+1,1))-AVERAGE(OFFSET($H$3,0,0,'Données projet'!$E$13+1,1))</f>
        <v>255.77222823147724</v>
      </c>
      <c r="CZ113" s="62">
        <f t="shared" si="96"/>
        <v>199.6931080052031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210.89743589743588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3.0666666666666669</v>
      </c>
      <c r="DO113" s="13">
        <f>IF('Données projet'!$A$166&gt;35,DO112+DN113-DW112,IF(A113&lt;'Données projet'!$A$166,$DL$205^A113,IF(A113='Données projet'!$A$166,'Données projet'!$B$166,DO112+DN113-DW112)))</f>
        <v>232.66666666666646</v>
      </c>
      <c r="DP113" s="18">
        <f>DO113*VLOOKUP('Données projet'!$B$14,Paramètres!$A$1:$I$89,3,0)*VLOOKUP('Données projet'!$B$14,Paramètres!$A$1:$I$89,5,0)</f>
        <v>225.03519999999983</v>
      </c>
      <c r="DQ113" s="14">
        <f t="shared" si="97"/>
        <v>55.207816078650907</v>
      </c>
      <c r="DR113" s="22">
        <f t="shared" si="70"/>
        <v>488.08991967031665</v>
      </c>
      <c r="DS113" s="62">
        <f t="shared" si="71"/>
        <v>781.42325300364996</v>
      </c>
      <c r="DT113" s="62">
        <f ca="1">AVERAGE(OFFSET($DS$3,0,0,'Données projet'!$E$14+1,1))-AVERAGE(OFFSET($H$3,0,0,'Données projet'!$E$14+1,1))</f>
        <v>349.73011349954953</v>
      </c>
      <c r="DU113" s="62">
        <f t="shared" si="98"/>
        <v>154.08406475869634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-1.7053025658242404E-13</v>
      </c>
      <c r="O114" s="14">
        <f>N114*VLOOKUP('Données projet'!$B$9,Paramètres!$A$1:$I$89,3,0)*VLOOKUP('Données projet'!$B$9,Paramètres!$A$1:$I$89,5,0)</f>
        <v>-1.0197709343628959E-13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203.63995177374335</v>
      </c>
      <c r="T114" s="62">
        <f t="shared" si="88"/>
        <v>268.97461244918378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2.8508097367236864</v>
      </c>
      <c r="AA114" s="23">
        <f>EXP(-LN(2)/25)*AA113+(1-EXP(-LN(2)/25))/(LN(2)/25)*Calculateur!V114*Calculateur!X114*VLOOKUP('Données projet'!$B$9,Paramètres!$A$1:$I$89,3,0)*0.475*44/12</f>
        <v>1.3262810548272992</v>
      </c>
      <c r="AB114" s="23">
        <f>EXP(-LN(2)/2)*AB113+(1-EXP(-LN(2)/2))/(LN(2)/2)*V114*Y114*VLOOKUP('Données projet'!$B$9,Paramètres!$A$1:$I$89,3,0)*0.475*44/12</f>
        <v>2.0592867210959502E-12</v>
      </c>
      <c r="AC114" s="24">
        <f t="shared" si="57"/>
        <v>4.1770907915530451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3.0666666666666669</v>
      </c>
      <c r="AI114" s="14">
        <f>IF('Données projet'!$A$62&gt;35,AI113+AH114-AQ113,IF(A114&lt;'Données projet'!$A$62,$AF$205^A114,IF(A114='Données projet'!$A$62,'Données projet'!$B$62,AI113+AH114-AQ113)))</f>
        <v>235.73333333333312</v>
      </c>
      <c r="AJ114" s="14">
        <f>AI114*VLOOKUP('Données projet'!$B$10,Paramètres!$A$1:$I$89,3,0)*VLOOKUP('Données projet'!$B$10,Paramètres!$A$1:$I$89,5,0)</f>
        <v>239.03359999999981</v>
      </c>
      <c r="AK114" s="14">
        <f t="shared" si="89"/>
        <v>58.231556013532703</v>
      </c>
      <c r="AL114" s="22">
        <f t="shared" si="58"/>
        <v>517.73681339023585</v>
      </c>
      <c r="AM114" s="62">
        <f t="shared" si="59"/>
        <v>811.07014672356922</v>
      </c>
      <c r="AN114" s="62">
        <f ca="1">AVERAGE(OFFSET($AM$3,0,0,'Données projet'!$E$10+1,1))-AVERAGE(OFFSET($H$3,0,0,'Données projet'!$E$10+1,1))</f>
        <v>364.69354394930866</v>
      </c>
      <c r="AO114" s="62">
        <f t="shared" si="90"/>
        <v>159.6134369231965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241.00707378755914</v>
      </c>
      <c r="BJ114" s="62">
        <f t="shared" si="92"/>
        <v>239.93573789765657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1.4210854715202004E-13</v>
      </c>
      <c r="BZ114" s="14">
        <f>BY114*VLOOKUP('Données projet'!$B$12,Paramètres!$A$1:$I$89,3,0)*VLOOKUP('Données projet'!$B$12,Paramètres!$A$1:$I$89,5,0)</f>
        <v>9.5326413429575044E-14</v>
      </c>
      <c r="CA114" s="14">
        <f t="shared" si="93"/>
        <v>1.4400742856080346E-12</v>
      </c>
      <c r="CB114" s="22">
        <f t="shared" si="64"/>
        <v>2.6741562174905032E-12</v>
      </c>
      <c r="CC114" s="62">
        <f t="shared" si="65"/>
        <v>293.33333333333599</v>
      </c>
      <c r="CD114" s="62">
        <f ca="1">AVERAGE(OFFSET($CC$3,0,0,'Données projet'!$E$12+1,1))-AVERAGE(OFFSET($H$3,0,0,'Données projet'!$E$12+1,1))</f>
        <v>207.91006140109965</v>
      </c>
      <c r="CE114" s="62">
        <f t="shared" si="94"/>
        <v>164.93317437647255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1.4210854715202004E-13</v>
      </c>
      <c r="CU114" s="18">
        <f>CT114*VLOOKUP('Données projet'!$B$13,Paramètres!$A$1:$I$89,3,0)*VLOOKUP('Données projet'!$B$13,Paramètres!$A$1:$I$89,5,0)</f>
        <v>1.2192913345643319E-13</v>
      </c>
      <c r="CV114" s="14">
        <f t="shared" si="95"/>
        <v>1.7899324464546674E-12</v>
      </c>
      <c r="CW114" s="22">
        <f t="shared" si="67"/>
        <v>3.3298255850118335E-12</v>
      </c>
      <c r="CX114" s="62">
        <f t="shared" si="68"/>
        <v>293.33333333333667</v>
      </c>
      <c r="CY114" s="62">
        <f ca="1">AVERAGE(OFFSET($CX$3,0,0,'Données projet'!$E$13+1,1))-AVERAGE(OFFSET($H$3,0,0,'Données projet'!$E$13+1,1))</f>
        <v>255.77222823147724</v>
      </c>
      <c r="CZ114" s="62">
        <f t="shared" si="96"/>
        <v>199.6931080052031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3.0666666666666669</v>
      </c>
      <c r="DO114" s="13">
        <f>IF('Données projet'!$A$166&gt;35,DO113+DN114-DW113,IF(A114&lt;'Données projet'!$A$166,$DL$205^A114,IF(A114='Données projet'!$A$166,'Données projet'!$B$166,DO113+DN114-DW113)))</f>
        <v>235.73333333333312</v>
      </c>
      <c r="DP114" s="18">
        <f>DO114*VLOOKUP('Données projet'!$B$14,Paramètres!$A$1:$I$89,3,0)*VLOOKUP('Données projet'!$B$14,Paramètres!$A$1:$I$89,5,0)</f>
        <v>228.00127999999981</v>
      </c>
      <c r="DQ114" s="14">
        <f t="shared" si="97"/>
        <v>55.850292251327254</v>
      </c>
      <c r="DR114" s="22">
        <f t="shared" si="70"/>
        <v>494.37482167106128</v>
      </c>
      <c r="DS114" s="62">
        <f t="shared" si="71"/>
        <v>787.7081550043946</v>
      </c>
      <c r="DT114" s="62">
        <f ca="1">AVERAGE(OFFSET($DS$3,0,0,'Données projet'!$E$14+1,1))-AVERAGE(OFFSET($H$3,0,0,'Données projet'!$E$14+1,1))</f>
        <v>349.73011349954953</v>
      </c>
      <c r="DU114" s="62">
        <f t="shared" si="98"/>
        <v>154.08406475869634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-1.7053025658242404E-13</v>
      </c>
      <c r="O115" s="14">
        <f>N115*VLOOKUP('Données projet'!$B$9,Paramètres!$A$1:$I$89,3,0)*VLOOKUP('Données projet'!$B$9,Paramètres!$A$1:$I$89,5,0)</f>
        <v>-1.0197709343628959E-13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203.63995177374335</v>
      </c>
      <c r="T115" s="62">
        <f t="shared" si="88"/>
        <v>268.97461244918378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2.7949070966087799</v>
      </c>
      <c r="AA115" s="23">
        <f>EXP(-LN(2)/25)*AA114+(1-EXP(-LN(2)/25))/(LN(2)/25)*Calculateur!V115*Calculateur!X115*VLOOKUP('Données projet'!$B$9,Paramètres!$A$1:$I$89,3,0)*0.475*44/12</f>
        <v>1.2900138296369572</v>
      </c>
      <c r="AB115" s="23">
        <f>EXP(-LN(2)/2)*AB114+(1-EXP(-LN(2)/2))/(LN(2)/2)*V115*Y115*VLOOKUP('Données projet'!$B$9,Paramètres!$A$1:$I$89,3,0)*0.475*44/12</f>
        <v>1.456135604894357E-12</v>
      </c>
      <c r="AC115" s="24">
        <f t="shared" si="57"/>
        <v>4.0849209262471931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3.0666666666666669</v>
      </c>
      <c r="AI115" s="14">
        <f>IF('Données projet'!$A$62&gt;35,AI114+AH115-AQ114,IF(A115&lt;'Données projet'!$A$62,$AF$205^A115,IF(A115='Données projet'!$A$62,'Données projet'!$B$62,AI114+AH115-AQ114)))</f>
        <v>238.79999999999978</v>
      </c>
      <c r="AJ115" s="14">
        <f>AI115*VLOOKUP('Données projet'!$B$10,Paramètres!$A$1:$I$89,3,0)*VLOOKUP('Données projet'!$B$10,Paramètres!$A$1:$I$89,5,0)</f>
        <v>242.14319999999978</v>
      </c>
      <c r="AK115" s="14">
        <f t="shared" si="89"/>
        <v>58.900411539241041</v>
      </c>
      <c r="AL115" s="22">
        <f t="shared" si="58"/>
        <v>524.31762343084449</v>
      </c>
      <c r="AM115" s="62">
        <f t="shared" si="59"/>
        <v>817.65095676417786</v>
      </c>
      <c r="AN115" s="62">
        <f ca="1">AVERAGE(OFFSET($AM$3,0,0,'Données projet'!$E$10+1,1))-AVERAGE(OFFSET($H$3,0,0,'Données projet'!$E$10+1,1))</f>
        <v>364.69354394930866</v>
      </c>
      <c r="AO115" s="62">
        <f t="shared" si="90"/>
        <v>159.6134369231965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241.00707378755914</v>
      </c>
      <c r="BJ115" s="62">
        <f t="shared" si="92"/>
        <v>239.93573789765657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1.4210854715202004E-13</v>
      </c>
      <c r="BZ115" s="14">
        <f>BY115*VLOOKUP('Données projet'!$B$12,Paramètres!$A$1:$I$89,3,0)*VLOOKUP('Données projet'!$B$12,Paramètres!$A$1:$I$89,5,0)</f>
        <v>9.5326413429575044E-14</v>
      </c>
      <c r="CA115" s="14">
        <f t="shared" si="93"/>
        <v>1.4400742856080346E-12</v>
      </c>
      <c r="CB115" s="22">
        <f t="shared" si="64"/>
        <v>2.6741562174905032E-12</v>
      </c>
      <c r="CC115" s="62">
        <f t="shared" si="65"/>
        <v>293.33333333333599</v>
      </c>
      <c r="CD115" s="62">
        <f ca="1">AVERAGE(OFFSET($CC$3,0,0,'Données projet'!$E$12+1,1))-AVERAGE(OFFSET($H$3,0,0,'Données projet'!$E$12+1,1))</f>
        <v>207.91006140109965</v>
      </c>
      <c r="CE115" s="62">
        <f t="shared" si="94"/>
        <v>164.93317437647255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1.4210854715202004E-13</v>
      </c>
      <c r="CU115" s="18">
        <f>CT115*VLOOKUP('Données projet'!$B$13,Paramètres!$A$1:$I$89,3,0)*VLOOKUP('Données projet'!$B$13,Paramètres!$A$1:$I$89,5,0)</f>
        <v>1.2192913345643319E-13</v>
      </c>
      <c r="CV115" s="14">
        <f t="shared" si="95"/>
        <v>1.7899324464546674E-12</v>
      </c>
      <c r="CW115" s="22">
        <f t="shared" si="67"/>
        <v>3.3298255850118335E-12</v>
      </c>
      <c r="CX115" s="62">
        <f t="shared" si="68"/>
        <v>293.33333333333667</v>
      </c>
      <c r="CY115" s="62">
        <f ca="1">AVERAGE(OFFSET($CX$3,0,0,'Données projet'!$E$13+1,1))-AVERAGE(OFFSET($H$3,0,0,'Données projet'!$E$13+1,1))</f>
        <v>255.77222823147724</v>
      </c>
      <c r="CZ115" s="62">
        <f t="shared" si="96"/>
        <v>199.6931080052031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3.0666666666666669</v>
      </c>
      <c r="DO115" s="13">
        <f>IF('Données projet'!$A$166&gt;35,DO114+DN115-DW114,IF(A115&lt;'Données projet'!$A$166,$DL$205^A115,IF(A115='Données projet'!$A$166,'Données projet'!$B$166,DO114+DN115-DW114)))</f>
        <v>238.79999999999978</v>
      </c>
      <c r="DP115" s="18">
        <f>DO115*VLOOKUP('Données projet'!$B$14,Paramètres!$A$1:$I$89,3,0)*VLOOKUP('Données projet'!$B$14,Paramètres!$A$1:$I$89,5,0)</f>
        <v>230.96735999999981</v>
      </c>
      <c r="DQ115" s="14">
        <f t="shared" si="97"/>
        <v>56.491796259498479</v>
      </c>
      <c r="DR115" s="22">
        <f t="shared" si="70"/>
        <v>500.65803048529284</v>
      </c>
      <c r="DS115" s="62">
        <f t="shared" si="71"/>
        <v>793.99136381862616</v>
      </c>
      <c r="DT115" s="62">
        <f ca="1">AVERAGE(OFFSET($DS$3,0,0,'Données projet'!$E$14+1,1))-AVERAGE(OFFSET($H$3,0,0,'Données projet'!$E$14+1,1))</f>
        <v>349.73011349954953</v>
      </c>
      <c r="DU115" s="62">
        <f t="shared" si="98"/>
        <v>154.08406475869634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-1.7053025658242404E-13</v>
      </c>
      <c r="O116" s="14">
        <f>N116*VLOOKUP('Données projet'!$B$9,Paramètres!$A$1:$I$89,3,0)*VLOOKUP('Données projet'!$B$9,Paramètres!$A$1:$I$89,5,0)</f>
        <v>-1.0197709343628959E-13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203.63995177374335</v>
      </c>
      <c r="T116" s="62">
        <f t="shared" si="88"/>
        <v>268.97461244918378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2.740100673169283</v>
      </c>
      <c r="AA116" s="23">
        <f>EXP(-LN(2)/25)*AA115+(1-EXP(-LN(2)/25))/(LN(2)/25)*Calculateur!V116*Calculateur!X116*VLOOKUP('Données projet'!$B$9,Paramètres!$A$1:$I$89,3,0)*0.475*44/12</f>
        <v>1.2547383336266558</v>
      </c>
      <c r="AB116" s="23">
        <f>EXP(-LN(2)/2)*AB115+(1-EXP(-LN(2)/2))/(LN(2)/2)*V116*Y116*VLOOKUP('Données projet'!$B$9,Paramètres!$A$1:$I$89,3,0)*0.475*44/12</f>
        <v>1.0296433605479751E-12</v>
      </c>
      <c r="AC116" s="24">
        <f t="shared" si="57"/>
        <v>3.9948390067969686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3.0666666666666669</v>
      </c>
      <c r="AI116" s="14">
        <f>IF('Données projet'!$A$62&gt;35,AI115+AH116-AQ115,IF(A116&lt;'Données projet'!$A$62,$AF$205^A116,IF(A116='Données projet'!$A$62,'Données projet'!$B$62,AI115+AH116-AQ115)))</f>
        <v>241.86666666666645</v>
      </c>
      <c r="AJ116" s="14">
        <f>AI116*VLOOKUP('Données projet'!$B$10,Paramètres!$A$1:$I$89,3,0)*VLOOKUP('Données projet'!$B$10,Paramètres!$A$1:$I$89,5,0)</f>
        <v>245.25279999999978</v>
      </c>
      <c r="AK116" s="14">
        <f t="shared" si="89"/>
        <v>59.5682679726307</v>
      </c>
      <c r="AL116" s="22">
        <f t="shared" si="58"/>
        <v>530.89669338566466</v>
      </c>
      <c r="AM116" s="62">
        <f t="shared" si="59"/>
        <v>824.23002671899803</v>
      </c>
      <c r="AN116" s="62">
        <f ca="1">AVERAGE(OFFSET($AM$3,0,0,'Données projet'!$E$10+1,1))-AVERAGE(OFFSET($H$3,0,0,'Données projet'!$E$10+1,1))</f>
        <v>364.69354394930866</v>
      </c>
      <c r="AO116" s="62">
        <f t="shared" si="90"/>
        <v>159.6134369231965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241.00707378755914</v>
      </c>
      <c r="BJ116" s="62">
        <f t="shared" si="92"/>
        <v>239.93573789765657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1.4210854715202004E-13</v>
      </c>
      <c r="BZ116" s="14">
        <f>BY116*VLOOKUP('Données projet'!$B$12,Paramètres!$A$1:$I$89,3,0)*VLOOKUP('Données projet'!$B$12,Paramètres!$A$1:$I$89,5,0)</f>
        <v>9.5326413429575044E-14</v>
      </c>
      <c r="CA116" s="14">
        <f t="shared" si="93"/>
        <v>1.4400742856080346E-12</v>
      </c>
      <c r="CB116" s="22">
        <f t="shared" si="64"/>
        <v>2.6741562174905032E-12</v>
      </c>
      <c r="CC116" s="62">
        <f t="shared" si="65"/>
        <v>293.33333333333599</v>
      </c>
      <c r="CD116" s="62">
        <f ca="1">AVERAGE(OFFSET($CC$3,0,0,'Données projet'!$E$12+1,1))-AVERAGE(OFFSET($H$3,0,0,'Données projet'!$E$12+1,1))</f>
        <v>207.91006140109965</v>
      </c>
      <c r="CE116" s="62">
        <f t="shared" si="94"/>
        <v>164.93317437647255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1.4210854715202004E-13</v>
      </c>
      <c r="CU116" s="18">
        <f>CT116*VLOOKUP('Données projet'!$B$13,Paramètres!$A$1:$I$89,3,0)*VLOOKUP('Données projet'!$B$13,Paramètres!$A$1:$I$89,5,0)</f>
        <v>1.2192913345643319E-13</v>
      </c>
      <c r="CV116" s="14">
        <f t="shared" si="95"/>
        <v>1.7899324464546674E-12</v>
      </c>
      <c r="CW116" s="22">
        <f t="shared" si="67"/>
        <v>3.3298255850118335E-12</v>
      </c>
      <c r="CX116" s="62">
        <f t="shared" si="68"/>
        <v>293.33333333333667</v>
      </c>
      <c r="CY116" s="62">
        <f ca="1">AVERAGE(OFFSET($CX$3,0,0,'Données projet'!$E$13+1,1))-AVERAGE(OFFSET($H$3,0,0,'Données projet'!$E$13+1,1))</f>
        <v>255.77222823147724</v>
      </c>
      <c r="CZ116" s="62">
        <f t="shared" si="96"/>
        <v>199.6931080052031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3.0666666666666669</v>
      </c>
      <c r="DO116" s="13">
        <f>IF('Données projet'!$A$166&gt;35,DO115+DN116-DW115,IF(A116&lt;'Données projet'!$A$166,$DL$205^A116,IF(A116='Données projet'!$A$166,'Données projet'!$B$166,DO115+DN116-DW115)))</f>
        <v>241.86666666666645</v>
      </c>
      <c r="DP116" s="18">
        <f>DO116*VLOOKUP('Données projet'!$B$14,Paramètres!$A$1:$I$89,3,0)*VLOOKUP('Données projet'!$B$14,Paramètres!$A$1:$I$89,5,0)</f>
        <v>233.93343999999979</v>
      </c>
      <c r="DQ116" s="14">
        <f t="shared" si="97"/>
        <v>57.132342031245912</v>
      </c>
      <c r="DR116" s="22">
        <f t="shared" si="70"/>
        <v>506.93957037108618</v>
      </c>
      <c r="DS116" s="62">
        <f t="shared" si="71"/>
        <v>800.27290370441949</v>
      </c>
      <c r="DT116" s="62">
        <f ca="1">AVERAGE(OFFSET($DS$3,0,0,'Données projet'!$E$14+1,1))-AVERAGE(OFFSET($H$3,0,0,'Données projet'!$E$14+1,1))</f>
        <v>349.73011349954953</v>
      </c>
      <c r="DU116" s="62">
        <f t="shared" si="98"/>
        <v>154.08406475869634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-1.7053025658242404E-13</v>
      </c>
      <c r="O117" s="14">
        <f>N117*VLOOKUP('Données projet'!$B$9,Paramètres!$A$1:$I$89,3,0)*VLOOKUP('Données projet'!$B$9,Paramètres!$A$1:$I$89,5,0)</f>
        <v>-1.0197709343628959E-13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203.63995177374335</v>
      </c>
      <c r="T117" s="62">
        <f t="shared" si="88"/>
        <v>268.97461244918378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2.6863689702648172</v>
      </c>
      <c r="AA117" s="23">
        <f>EXP(-LN(2)/25)*AA116+(1-EXP(-LN(2)/25))/(LN(2)/25)*Calculateur!V117*Calculateur!X117*VLOOKUP('Données projet'!$B$9,Paramètres!$A$1:$I$89,3,0)*0.475*44/12</f>
        <v>1.2204274479098136</v>
      </c>
      <c r="AB117" s="23">
        <f>EXP(-LN(2)/2)*AB116+(1-EXP(-LN(2)/2))/(LN(2)/2)*V117*Y117*VLOOKUP('Données projet'!$B$9,Paramètres!$A$1:$I$89,3,0)*0.475*44/12</f>
        <v>7.2806780244717849E-13</v>
      </c>
      <c r="AC117" s="24">
        <f t="shared" si="57"/>
        <v>3.9067964181753587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3.0666666666666669</v>
      </c>
      <c r="AI117" s="14">
        <f>IF('Données projet'!$A$62&gt;35,AI116+AH117-AQ116,IF(A117&lt;'Données projet'!$A$62,$AF$205^A117,IF(A117='Données projet'!$A$62,'Données projet'!$B$62,AI116+AH117-AQ116)))</f>
        <v>244.93333333333311</v>
      </c>
      <c r="AJ117" s="14">
        <f>AI117*VLOOKUP('Données projet'!$B$10,Paramètres!$A$1:$I$89,3,0)*VLOOKUP('Données projet'!$B$10,Paramètres!$A$1:$I$89,5,0)</f>
        <v>248.36239999999981</v>
      </c>
      <c r="AK117" s="14">
        <f t="shared" si="89"/>
        <v>60.23513944620089</v>
      </c>
      <c r="AL117" s="22">
        <f t="shared" si="58"/>
        <v>537.47404786879952</v>
      </c>
      <c r="AM117" s="62">
        <f t="shared" si="59"/>
        <v>830.80738120213277</v>
      </c>
      <c r="AN117" s="62">
        <f ca="1">AVERAGE(OFFSET($AM$3,0,0,'Données projet'!$E$10+1,1))-AVERAGE(OFFSET($H$3,0,0,'Données projet'!$E$10+1,1))</f>
        <v>364.69354394930866</v>
      </c>
      <c r="AO117" s="62">
        <f t="shared" si="90"/>
        <v>159.6134369231965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241.00707378755914</v>
      </c>
      <c r="BJ117" s="62">
        <f t="shared" si="92"/>
        <v>239.93573789765657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1.4210854715202004E-13</v>
      </c>
      <c r="BZ117" s="14">
        <f>BY117*VLOOKUP('Données projet'!$B$12,Paramètres!$A$1:$I$89,3,0)*VLOOKUP('Données projet'!$B$12,Paramètres!$A$1:$I$89,5,0)</f>
        <v>9.5326413429575044E-14</v>
      </c>
      <c r="CA117" s="14">
        <f t="shared" si="93"/>
        <v>1.4400742856080346E-12</v>
      </c>
      <c r="CB117" s="22">
        <f t="shared" si="64"/>
        <v>2.6741562174905032E-12</v>
      </c>
      <c r="CC117" s="62">
        <f t="shared" si="65"/>
        <v>293.33333333333599</v>
      </c>
      <c r="CD117" s="62">
        <f ca="1">AVERAGE(OFFSET($CC$3,0,0,'Données projet'!$E$12+1,1))-AVERAGE(OFFSET($H$3,0,0,'Données projet'!$E$12+1,1))</f>
        <v>207.91006140109965</v>
      </c>
      <c r="CE117" s="62">
        <f t="shared" si="94"/>
        <v>164.93317437647255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1.4210854715202004E-13</v>
      </c>
      <c r="CU117" s="18">
        <f>CT117*VLOOKUP('Données projet'!$B$13,Paramètres!$A$1:$I$89,3,0)*VLOOKUP('Données projet'!$B$13,Paramètres!$A$1:$I$89,5,0)</f>
        <v>1.2192913345643319E-13</v>
      </c>
      <c r="CV117" s="14">
        <f t="shared" si="95"/>
        <v>1.7899324464546674E-12</v>
      </c>
      <c r="CW117" s="22">
        <f t="shared" si="67"/>
        <v>3.3298255850118335E-12</v>
      </c>
      <c r="CX117" s="62">
        <f t="shared" si="68"/>
        <v>293.33333333333667</v>
      </c>
      <c r="CY117" s="62">
        <f ca="1">AVERAGE(OFFSET($CX$3,0,0,'Données projet'!$E$13+1,1))-AVERAGE(OFFSET($H$3,0,0,'Données projet'!$E$13+1,1))</f>
        <v>255.77222823147724</v>
      </c>
      <c r="CZ117" s="62">
        <f t="shared" si="96"/>
        <v>199.6931080052031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3.0666666666666669</v>
      </c>
      <c r="DO117" s="13">
        <f>IF('Données projet'!$A$166&gt;35,DO116+DN117-DW116,IF(A117&lt;'Données projet'!$A$166,$DL$205^A117,IF(A117='Données projet'!$A$166,'Données projet'!$B$166,DO116+DN117-DW116)))</f>
        <v>244.93333333333311</v>
      </c>
      <c r="DP117" s="18">
        <f>DO117*VLOOKUP('Données projet'!$B$14,Paramètres!$A$1:$I$89,3,0)*VLOOKUP('Données projet'!$B$14,Paramètres!$A$1:$I$89,5,0)</f>
        <v>236.8995199999998</v>
      </c>
      <c r="DQ117" s="14">
        <f t="shared" si="97"/>
        <v>57.771943121148311</v>
      </c>
      <c r="DR117" s="22">
        <f t="shared" si="70"/>
        <v>513.21946493599955</v>
      </c>
      <c r="DS117" s="62">
        <f t="shared" si="71"/>
        <v>806.55279826933292</v>
      </c>
      <c r="DT117" s="62">
        <f ca="1">AVERAGE(OFFSET($DS$3,0,0,'Données projet'!$E$14+1,1))-AVERAGE(OFFSET($H$3,0,0,'Données projet'!$E$14+1,1))</f>
        <v>349.73011349954953</v>
      </c>
      <c r="DU117" s="62">
        <f t="shared" si="98"/>
        <v>154.08406475869634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-1.7053025658242404E-13</v>
      </c>
      <c r="O118" s="14">
        <f>N118*VLOOKUP('Données projet'!$B$9,Paramètres!$A$1:$I$89,3,0)*VLOOKUP('Données projet'!$B$9,Paramètres!$A$1:$I$89,5,0)</f>
        <v>-1.0197709343628959E-13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203.63995177374335</v>
      </c>
      <c r="T118" s="62">
        <f t="shared" si="88"/>
        <v>268.97461244918378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2.6336909132812054</v>
      </c>
      <c r="AA118" s="23">
        <f>EXP(-LN(2)/25)*AA117+(1-EXP(-LN(2)/25))/(LN(2)/25)*Calculateur!V118*Calculateur!X118*VLOOKUP('Données projet'!$B$9,Paramètres!$A$1:$I$89,3,0)*0.475*44/12</f>
        <v>1.1870547951672297</v>
      </c>
      <c r="AB118" s="23">
        <f>EXP(-LN(2)/2)*AB117+(1-EXP(-LN(2)/2))/(LN(2)/2)*V118*Y118*VLOOKUP('Données projet'!$B$9,Paramètres!$A$1:$I$89,3,0)*0.475*44/12</f>
        <v>5.1482168027398755E-13</v>
      </c>
      <c r="AC118" s="24">
        <f t="shared" si="57"/>
        <v>3.8207457084489498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248</v>
      </c>
      <c r="AG118" s="13">
        <f>VLOOKUP(A118,'Données projet'!$A$61:$I$81,9,0)</f>
        <v>3.0666666666666669</v>
      </c>
      <c r="AH118" s="13">
        <f t="array" ref="AH118">INDEX(AG:AG,MIN(IF(ISNUMBER(AG118:AG314),ROW(AG118:AG314),"")))</f>
        <v>3.0666666666666669</v>
      </c>
      <c r="AI118" s="14">
        <f>IF('Données projet'!$A$62&gt;35,AI117+AH118-AQ117,IF(A118&lt;'Données projet'!$A$62,$AF$205^A118,IF(A118='Données projet'!$A$62,'Données projet'!$B$62,AI117+AH118-AQ117)))</f>
        <v>247.99999999999977</v>
      </c>
      <c r="AJ118" s="14">
        <f>AI118*VLOOKUP('Données projet'!$B$10,Paramètres!$A$1:$I$89,3,0)*VLOOKUP('Données projet'!$B$10,Paramètres!$A$1:$I$89,5,0)</f>
        <v>251.47199999999978</v>
      </c>
      <c r="AK118" s="14">
        <f t="shared" si="89"/>
        <v>60.901039718208594</v>
      </c>
      <c r="AL118" s="22">
        <f t="shared" si="58"/>
        <v>544.04971084254623</v>
      </c>
      <c r="AM118" s="62">
        <f t="shared" si="59"/>
        <v>837.3830441758796</v>
      </c>
      <c r="AN118" s="62">
        <f ca="1">AVERAGE(OFFSET($AM$3,0,0,'Données projet'!$E$10+1,1))-AVERAGE(OFFSET($H$3,0,0,'Données projet'!$E$10+1,1))</f>
        <v>364.69354394930866</v>
      </c>
      <c r="AO118" s="62">
        <f t="shared" si="90"/>
        <v>159.6134369231965</v>
      </c>
      <c r="AP118" s="16">
        <f>IF(ISNA(VLOOKUP(A118,'Données projet'!$A$61:$I$81,3,0)),0,VLOOKUP(A118,'Données projet'!$A$61:$I$81,3,0))</f>
        <v>8</v>
      </c>
      <c r="AQ118" s="16">
        <f>IF(ISNA(VLOOKUP(A118,'Données projet'!$A$61:$I$81,4,0)),0,VLOOKUP(A118,'Données projet'!$A$61:$I$81,4,0))</f>
        <v>40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241.00707378755914</v>
      </c>
      <c r="BJ118" s="62">
        <f t="shared" si="92"/>
        <v>239.93573789765657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1.4210854715202004E-13</v>
      </c>
      <c r="BZ118" s="14">
        <f>BY118*VLOOKUP('Données projet'!$B$12,Paramètres!$A$1:$I$89,3,0)*VLOOKUP('Données projet'!$B$12,Paramètres!$A$1:$I$89,5,0)</f>
        <v>9.5326413429575044E-14</v>
      </c>
      <c r="CA118" s="14">
        <f t="shared" si="93"/>
        <v>1.4400742856080346E-12</v>
      </c>
      <c r="CB118" s="22">
        <f t="shared" si="64"/>
        <v>2.6741562174905032E-12</v>
      </c>
      <c r="CC118" s="62">
        <f t="shared" si="65"/>
        <v>293.33333333333599</v>
      </c>
      <c r="CD118" s="62">
        <f ca="1">AVERAGE(OFFSET($CC$3,0,0,'Données projet'!$E$12+1,1))-AVERAGE(OFFSET($H$3,0,0,'Données projet'!$E$12+1,1))</f>
        <v>207.91006140109965</v>
      </c>
      <c r="CE118" s="62">
        <f t="shared" si="94"/>
        <v>164.93317437647255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1.4210854715202004E-13</v>
      </c>
      <c r="CU118" s="18">
        <f>CT118*VLOOKUP('Données projet'!$B$13,Paramètres!$A$1:$I$89,3,0)*VLOOKUP('Données projet'!$B$13,Paramètres!$A$1:$I$89,5,0)</f>
        <v>1.2192913345643319E-13</v>
      </c>
      <c r="CV118" s="14">
        <f t="shared" si="95"/>
        <v>1.7899324464546674E-12</v>
      </c>
      <c r="CW118" s="22">
        <f t="shared" si="67"/>
        <v>3.3298255850118335E-12</v>
      </c>
      <c r="CX118" s="62">
        <f t="shared" si="68"/>
        <v>293.33333333333667</v>
      </c>
      <c r="CY118" s="62">
        <f ca="1">AVERAGE(OFFSET($CX$3,0,0,'Données projet'!$E$13+1,1))-AVERAGE(OFFSET($H$3,0,0,'Données projet'!$E$13+1,1))</f>
        <v>255.77222823147724</v>
      </c>
      <c r="CZ118" s="62">
        <f t="shared" si="96"/>
        <v>199.6931080052031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248</v>
      </c>
      <c r="DM118" s="13">
        <f>VLOOKUP(A118,'Données projet'!$A$165:$I$185,9,0)</f>
        <v>3.0666666666666669</v>
      </c>
      <c r="DN118" s="13">
        <f t="array" ref="DN118">INDEX(DM:DM,MIN(IF(ISNUMBER(DM118:DM314),ROW(DM118:DM314),"")))</f>
        <v>3.0666666666666669</v>
      </c>
      <c r="DO118" s="13">
        <f>IF('Données projet'!$A$166&gt;35,DO117+DN118-DW117,IF(A118&lt;'Données projet'!$A$166,$DL$205^A118,IF(A118='Données projet'!$A$166,'Données projet'!$B$166,DO117+DN118-DW117)))</f>
        <v>247.99999999999977</v>
      </c>
      <c r="DP118" s="18">
        <f>DO118*VLOOKUP('Données projet'!$B$14,Paramètres!$A$1:$I$89,3,0)*VLOOKUP('Données projet'!$B$14,Paramètres!$A$1:$I$89,5,0)</f>
        <v>239.86559999999977</v>
      </c>
      <c r="DQ118" s="14">
        <f t="shared" si="97"/>
        <v>58.410612724846104</v>
      </c>
      <c r="DR118" s="22">
        <f t="shared" si="70"/>
        <v>519.49773716243988</v>
      </c>
      <c r="DS118" s="62">
        <f t="shared" si="71"/>
        <v>812.83107049577325</v>
      </c>
      <c r="DT118" s="62">
        <f ca="1">AVERAGE(OFFSET($DS$3,0,0,'Données projet'!$E$14+1,1))-AVERAGE(OFFSET($H$3,0,0,'Données projet'!$E$14+1,1))</f>
        <v>349.73011349954953</v>
      </c>
      <c r="DU118" s="62">
        <f t="shared" si="98"/>
        <v>154.08406475869634</v>
      </c>
      <c r="DV118" s="16">
        <f>IF(ISNA(VLOOKUP(A118,'Données projet'!$A$165:$I$185,3,0)),0,VLOOKUP(A118,'Données projet'!$A$165:$I$185,3,0))</f>
        <v>8</v>
      </c>
      <c r="DW118" s="16">
        <f>IF(ISNA(VLOOKUP(A118,'Données projet'!$A$165:$I$185,4,0)),0,VLOOKUP(A118,'Données projet'!$A$165:$I$185,4,0))</f>
        <v>40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-1.7053025658242404E-13</v>
      </c>
      <c r="O119" s="14">
        <f>N119*VLOOKUP('Données projet'!$B$9,Paramètres!$A$1:$I$89,3,0)*VLOOKUP('Données projet'!$B$9,Paramètres!$A$1:$I$89,5,0)</f>
        <v>-1.0197709343628959E-13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203.63995177374335</v>
      </c>
      <c r="T119" s="62">
        <f t="shared" si="88"/>
        <v>268.97461244918378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2.5820458408646001</v>
      </c>
      <c r="AA119" s="23">
        <f>EXP(-LN(2)/25)*AA118+(1-EXP(-LN(2)/25))/(LN(2)/25)*Calculateur!V119*Calculateur!X119*VLOOKUP('Données projet'!$B$9,Paramètres!$A$1:$I$89,3,0)*0.475*44/12</f>
        <v>1.1545947193688832</v>
      </c>
      <c r="AB119" s="23">
        <f>EXP(-LN(2)/2)*AB118+(1-EXP(-LN(2)/2))/(LN(2)/2)*V119*Y119*VLOOKUP('Données projet'!$B$9,Paramètres!$A$1:$I$89,3,0)*0.475*44/12</f>
        <v>3.6403390122358925E-13</v>
      </c>
      <c r="AC119" s="24">
        <f t="shared" si="57"/>
        <v>3.7366405602338473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2.3333333333333335</v>
      </c>
      <c r="AI119" s="14">
        <f>IF('Données projet'!$A$62&gt;35,AI118+AH119-AQ118,IF(A119&lt;'Données projet'!$A$62,$AF$205^A119,IF(A119='Données projet'!$A$62,'Données projet'!$B$62,AI118+AH119-AQ118)))</f>
        <v>210.33333333333312</v>
      </c>
      <c r="AJ119" s="14">
        <f>AI119*VLOOKUP('Données projet'!$B$10,Paramètres!$A$1:$I$89,3,0)*VLOOKUP('Données projet'!$B$10,Paramètres!$A$1:$I$89,5,0)</f>
        <v>213.27799999999979</v>
      </c>
      <c r="AK119" s="14">
        <f t="shared" si="89"/>
        <v>52.651264157556092</v>
      </c>
      <c r="AL119" s="22">
        <f t="shared" si="58"/>
        <v>463.16013507440977</v>
      </c>
      <c r="AM119" s="62">
        <f t="shared" si="59"/>
        <v>756.49346840774308</v>
      </c>
      <c r="AN119" s="62">
        <f ca="1">AVERAGE(OFFSET($AM$3,0,0,'Données projet'!$E$10+1,1))-AVERAGE(OFFSET($H$3,0,0,'Données projet'!$E$10+1,1))</f>
        <v>364.69354394930866</v>
      </c>
      <c r="AO119" s="62">
        <f t="shared" si="90"/>
        <v>159.6134369231965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241.00707378755914</v>
      </c>
      <c r="BJ119" s="62">
        <f t="shared" si="92"/>
        <v>239.93573789765657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1.4210854715202004E-13</v>
      </c>
      <c r="BZ119" s="14">
        <f>BY119*VLOOKUP('Données projet'!$B$12,Paramètres!$A$1:$I$89,3,0)*VLOOKUP('Données projet'!$B$12,Paramètres!$A$1:$I$89,5,0)</f>
        <v>9.5326413429575044E-14</v>
      </c>
      <c r="CA119" s="14">
        <f t="shared" si="93"/>
        <v>1.4400742856080346E-12</v>
      </c>
      <c r="CB119" s="22">
        <f t="shared" si="64"/>
        <v>2.6741562174905032E-12</v>
      </c>
      <c r="CC119" s="62">
        <f t="shared" si="65"/>
        <v>293.33333333333599</v>
      </c>
      <c r="CD119" s="62">
        <f ca="1">AVERAGE(OFFSET($CC$3,0,0,'Données projet'!$E$12+1,1))-AVERAGE(OFFSET($H$3,0,0,'Données projet'!$E$12+1,1))</f>
        <v>207.91006140109965</v>
      </c>
      <c r="CE119" s="62">
        <f t="shared" si="94"/>
        <v>164.93317437647255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1.4210854715202004E-13</v>
      </c>
      <c r="CU119" s="18">
        <f>CT119*VLOOKUP('Données projet'!$B$13,Paramètres!$A$1:$I$89,3,0)*VLOOKUP('Données projet'!$B$13,Paramètres!$A$1:$I$89,5,0)</f>
        <v>1.2192913345643319E-13</v>
      </c>
      <c r="CV119" s="14">
        <f t="shared" si="95"/>
        <v>1.7899324464546674E-12</v>
      </c>
      <c r="CW119" s="22">
        <f t="shared" si="67"/>
        <v>3.3298255850118335E-12</v>
      </c>
      <c r="CX119" s="62">
        <f t="shared" si="68"/>
        <v>293.33333333333667</v>
      </c>
      <c r="CY119" s="62">
        <f ca="1">AVERAGE(OFFSET($CX$3,0,0,'Données projet'!$E$13+1,1))-AVERAGE(OFFSET($H$3,0,0,'Données projet'!$E$13+1,1))</f>
        <v>255.77222823147724</v>
      </c>
      <c r="CZ119" s="62">
        <f t="shared" si="96"/>
        <v>199.6931080052031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2.3333333333333335</v>
      </c>
      <c r="DO119" s="13">
        <f>IF('Données projet'!$A$166&gt;35,DO118+DN119-DW118,IF(A119&lt;'Données projet'!$A$166,$DL$205^A119,IF(A119='Données projet'!$A$166,'Données projet'!$B$166,DO118+DN119-DW118)))</f>
        <v>210.33333333333312</v>
      </c>
      <c r="DP119" s="18">
        <f>DO119*VLOOKUP('Données projet'!$B$14,Paramètres!$A$1:$I$89,3,0)*VLOOKUP('Données projet'!$B$14,Paramètres!$A$1:$I$89,5,0)</f>
        <v>203.43439999999978</v>
      </c>
      <c r="DQ119" s="14">
        <f t="shared" si="97"/>
        <v>50.498195341336313</v>
      </c>
      <c r="DR119" s="22">
        <f t="shared" si="70"/>
        <v>442.26593688616032</v>
      </c>
      <c r="DS119" s="62">
        <f t="shared" si="71"/>
        <v>735.59927021949363</v>
      </c>
      <c r="DT119" s="62">
        <f ca="1">AVERAGE(OFFSET($DS$3,0,0,'Données projet'!$E$14+1,1))-AVERAGE(OFFSET($H$3,0,0,'Données projet'!$E$14+1,1))</f>
        <v>349.73011349954953</v>
      </c>
      <c r="DU119" s="62">
        <f t="shared" si="98"/>
        <v>154.08406475869634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-1.7053025658242404E-13</v>
      </c>
      <c r="O120" s="14">
        <f>N120*VLOOKUP('Données projet'!$B$9,Paramètres!$A$1:$I$89,3,0)*VLOOKUP('Données projet'!$B$9,Paramètres!$A$1:$I$89,5,0)</f>
        <v>-1.0197709343628959E-13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203.63995177374335</v>
      </c>
      <c r="T120" s="62">
        <f t="shared" si="88"/>
        <v>268.97461244918378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2.5314134968177004</v>
      </c>
      <c r="AA120" s="23">
        <f>EXP(-LN(2)/25)*AA119+(1-EXP(-LN(2)/25))/(LN(2)/25)*Calculateur!V120*Calculateur!X120*VLOOKUP('Données projet'!$B$9,Paramètres!$A$1:$I$89,3,0)*0.475*44/12</f>
        <v>1.1230222660502438</v>
      </c>
      <c r="AB120" s="23">
        <f>EXP(-LN(2)/2)*AB119+(1-EXP(-LN(2)/2))/(LN(2)/2)*V120*Y120*VLOOKUP('Données projet'!$B$9,Paramètres!$A$1:$I$89,3,0)*0.475*44/12</f>
        <v>2.5741084013699377E-13</v>
      </c>
      <c r="AC120" s="24">
        <f t="shared" si="57"/>
        <v>3.6544357628682018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2.3333333333333335</v>
      </c>
      <c r="AI120" s="14">
        <f>IF('Données projet'!$A$62&gt;35,AI119+AH120-AQ119,IF(A120&lt;'Données projet'!$A$62,$AF$205^A120,IF(A120='Données projet'!$A$62,'Données projet'!$B$62,AI119+AH120-AQ119)))</f>
        <v>212.66666666666646</v>
      </c>
      <c r="AJ120" s="14">
        <f>AI120*VLOOKUP('Données projet'!$B$10,Paramètres!$A$1:$I$89,3,0)*VLOOKUP('Données projet'!$B$10,Paramètres!$A$1:$I$89,5,0)</f>
        <v>215.64399999999981</v>
      </c>
      <c r="AK120" s="14">
        <f t="shared" si="89"/>
        <v>53.167031516025823</v>
      </c>
      <c r="AL120" s="22">
        <f t="shared" si="58"/>
        <v>468.17921322374468</v>
      </c>
      <c r="AM120" s="62">
        <f t="shared" si="59"/>
        <v>761.51254655707794</v>
      </c>
      <c r="AN120" s="62">
        <f ca="1">AVERAGE(OFFSET($AM$3,0,0,'Données projet'!$E$10+1,1))-AVERAGE(OFFSET($H$3,0,0,'Données projet'!$E$10+1,1))</f>
        <v>364.69354394930866</v>
      </c>
      <c r="AO120" s="62">
        <f t="shared" si="90"/>
        <v>159.6134369231965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241.00707378755914</v>
      </c>
      <c r="BJ120" s="62">
        <f t="shared" si="92"/>
        <v>239.93573789765657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1.4210854715202004E-13</v>
      </c>
      <c r="BZ120" s="14">
        <f>BY120*VLOOKUP('Données projet'!$B$12,Paramètres!$A$1:$I$89,3,0)*VLOOKUP('Données projet'!$B$12,Paramètres!$A$1:$I$89,5,0)</f>
        <v>9.5326413429575044E-14</v>
      </c>
      <c r="CA120" s="14">
        <f t="shared" si="93"/>
        <v>1.4400742856080346E-12</v>
      </c>
      <c r="CB120" s="22">
        <f t="shared" si="64"/>
        <v>2.6741562174905032E-12</v>
      </c>
      <c r="CC120" s="62">
        <f t="shared" si="65"/>
        <v>293.33333333333599</v>
      </c>
      <c r="CD120" s="62">
        <f ca="1">AVERAGE(OFFSET($CC$3,0,0,'Données projet'!$E$12+1,1))-AVERAGE(OFFSET($H$3,0,0,'Données projet'!$E$12+1,1))</f>
        <v>207.91006140109965</v>
      </c>
      <c r="CE120" s="62">
        <f t="shared" si="94"/>
        <v>164.93317437647255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1.4210854715202004E-13</v>
      </c>
      <c r="CU120" s="18">
        <f>CT120*VLOOKUP('Données projet'!$B$13,Paramètres!$A$1:$I$89,3,0)*VLOOKUP('Données projet'!$B$13,Paramètres!$A$1:$I$89,5,0)</f>
        <v>1.2192913345643319E-13</v>
      </c>
      <c r="CV120" s="14">
        <f t="shared" si="95"/>
        <v>1.7899324464546674E-12</v>
      </c>
      <c r="CW120" s="22">
        <f t="shared" si="67"/>
        <v>3.3298255850118335E-12</v>
      </c>
      <c r="CX120" s="62">
        <f t="shared" si="68"/>
        <v>293.33333333333667</v>
      </c>
      <c r="CY120" s="62">
        <f ca="1">AVERAGE(OFFSET($CX$3,0,0,'Données projet'!$E$13+1,1))-AVERAGE(OFFSET($H$3,0,0,'Données projet'!$E$13+1,1))</f>
        <v>255.77222823147724</v>
      </c>
      <c r="CZ120" s="62">
        <f t="shared" si="96"/>
        <v>199.6931080052031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2.3333333333333335</v>
      </c>
      <c r="DO120" s="13">
        <f>IF('Données projet'!$A$166&gt;35,DO119+DN120-DW119,IF(A120&lt;'Données projet'!$A$166,$DL$205^A120,IF(A120='Données projet'!$A$166,'Données projet'!$B$166,DO119+DN120-DW119)))</f>
        <v>212.66666666666646</v>
      </c>
      <c r="DP120" s="18">
        <f>DO120*VLOOKUP('Données projet'!$B$14,Paramètres!$A$1:$I$89,3,0)*VLOOKUP('Données projet'!$B$14,Paramètres!$A$1:$I$89,5,0)</f>
        <v>205.69119999999981</v>
      </c>
      <c r="DQ120" s="14">
        <f t="shared" si="97"/>
        <v>50.9928714186428</v>
      </c>
      <c r="DR120" s="22">
        <f t="shared" si="70"/>
        <v>447.05809105413579</v>
      </c>
      <c r="DS120" s="62">
        <f t="shared" si="71"/>
        <v>740.3914243874691</v>
      </c>
      <c r="DT120" s="62">
        <f ca="1">AVERAGE(OFFSET($DS$3,0,0,'Données projet'!$E$14+1,1))-AVERAGE(OFFSET($H$3,0,0,'Données projet'!$E$14+1,1))</f>
        <v>349.73011349954953</v>
      </c>
      <c r="DU120" s="62">
        <f t="shared" si="98"/>
        <v>154.08406475869634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-1.7053025658242404E-13</v>
      </c>
      <c r="O121" s="14">
        <f>N121*VLOOKUP('Données projet'!$B$9,Paramètres!$A$1:$I$89,3,0)*VLOOKUP('Données projet'!$B$9,Paramètres!$A$1:$I$89,5,0)</f>
        <v>-1.0197709343628959E-13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203.63995177374335</v>
      </c>
      <c r="T121" s="62">
        <f t="shared" si="88"/>
        <v>268.97461244918378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2.4817740221548803</v>
      </c>
      <c r="AA121" s="23">
        <f>EXP(-LN(2)/25)*AA120+(1-EXP(-LN(2)/25))/(LN(2)/25)*Calculateur!V121*Calculateur!X121*VLOOKUP('Données projet'!$B$9,Paramètres!$A$1:$I$89,3,0)*0.475*44/12</f>
        <v>1.0923131631279257</v>
      </c>
      <c r="AB121" s="23">
        <f>EXP(-LN(2)/2)*AB120+(1-EXP(-LN(2)/2))/(LN(2)/2)*V121*Y121*VLOOKUP('Données projet'!$B$9,Paramètres!$A$1:$I$89,3,0)*0.475*44/12</f>
        <v>1.8201695061179462E-13</v>
      </c>
      <c r="AC121" s="24">
        <f t="shared" si="57"/>
        <v>3.5740871852829881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2.3333333333333335</v>
      </c>
      <c r="AI121" s="14">
        <f>IF('Données projet'!$A$62&gt;35,AI120+AH121-AQ120,IF(A121&lt;'Données projet'!$A$62,$AF$205^A121,IF(A121='Données projet'!$A$62,'Données projet'!$B$62,AI120+AH121-AQ120)))</f>
        <v>214.9999999999998</v>
      </c>
      <c r="AJ121" s="14">
        <f>AI121*VLOOKUP('Données projet'!$B$10,Paramètres!$A$1:$I$89,3,0)*VLOOKUP('Données projet'!$B$10,Paramètres!$A$1:$I$89,5,0)</f>
        <v>218.00999999999982</v>
      </c>
      <c r="AK121" s="14">
        <f t="shared" si="89"/>
        <v>53.682140586224357</v>
      </c>
      <c r="AL121" s="22">
        <f t="shared" si="58"/>
        <v>473.19714485434048</v>
      </c>
      <c r="AM121" s="62">
        <f t="shared" si="59"/>
        <v>766.53047818767379</v>
      </c>
      <c r="AN121" s="62">
        <f ca="1">AVERAGE(OFFSET($AM$3,0,0,'Données projet'!$E$10+1,1))-AVERAGE(OFFSET($H$3,0,0,'Données projet'!$E$10+1,1))</f>
        <v>364.69354394930866</v>
      </c>
      <c r="AO121" s="62">
        <f t="shared" si="90"/>
        <v>159.6134369231965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241.00707378755914</v>
      </c>
      <c r="BJ121" s="62">
        <f t="shared" si="92"/>
        <v>239.93573789765657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1.4210854715202004E-13</v>
      </c>
      <c r="BZ121" s="14">
        <f>BY121*VLOOKUP('Données projet'!$B$12,Paramètres!$A$1:$I$89,3,0)*VLOOKUP('Données projet'!$B$12,Paramètres!$A$1:$I$89,5,0)</f>
        <v>9.5326413429575044E-14</v>
      </c>
      <c r="CA121" s="14">
        <f t="shared" si="93"/>
        <v>1.4400742856080346E-12</v>
      </c>
      <c r="CB121" s="22">
        <f t="shared" si="64"/>
        <v>2.6741562174905032E-12</v>
      </c>
      <c r="CC121" s="62">
        <f t="shared" si="65"/>
        <v>293.33333333333599</v>
      </c>
      <c r="CD121" s="62">
        <f ca="1">AVERAGE(OFFSET($CC$3,0,0,'Données projet'!$E$12+1,1))-AVERAGE(OFFSET($H$3,0,0,'Données projet'!$E$12+1,1))</f>
        <v>207.91006140109965</v>
      </c>
      <c r="CE121" s="62">
        <f t="shared" si="94"/>
        <v>164.93317437647255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1.4210854715202004E-13</v>
      </c>
      <c r="CU121" s="18">
        <f>CT121*VLOOKUP('Données projet'!$B$13,Paramètres!$A$1:$I$89,3,0)*VLOOKUP('Données projet'!$B$13,Paramètres!$A$1:$I$89,5,0)</f>
        <v>1.2192913345643319E-13</v>
      </c>
      <c r="CV121" s="14">
        <f t="shared" si="95"/>
        <v>1.7899324464546674E-12</v>
      </c>
      <c r="CW121" s="22">
        <f t="shared" si="67"/>
        <v>3.3298255850118335E-12</v>
      </c>
      <c r="CX121" s="62">
        <f t="shared" si="68"/>
        <v>293.33333333333667</v>
      </c>
      <c r="CY121" s="62">
        <f ca="1">AVERAGE(OFFSET($CX$3,0,0,'Données projet'!$E$13+1,1))-AVERAGE(OFFSET($H$3,0,0,'Données projet'!$E$13+1,1))</f>
        <v>255.77222823147724</v>
      </c>
      <c r="CZ121" s="62">
        <f t="shared" si="96"/>
        <v>199.6931080052031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2.3333333333333335</v>
      </c>
      <c r="DO121" s="13">
        <f>IF('Données projet'!$A$166&gt;35,DO120+DN121-DW120,IF(A121&lt;'Données projet'!$A$166,$DL$205^A121,IF(A121='Données projet'!$A$166,'Données projet'!$B$166,DO120+DN121-DW120)))</f>
        <v>214.9999999999998</v>
      </c>
      <c r="DP121" s="18">
        <f>DO121*VLOOKUP('Données projet'!$B$14,Paramètres!$A$1:$I$89,3,0)*VLOOKUP('Données projet'!$B$14,Paramètres!$A$1:$I$89,5,0)</f>
        <v>207.94799999999981</v>
      </c>
      <c r="DQ121" s="14">
        <f t="shared" si="97"/>
        <v>51.486916127068788</v>
      </c>
      <c r="DR121" s="22">
        <f t="shared" si="70"/>
        <v>451.84914558797777</v>
      </c>
      <c r="DS121" s="62">
        <f t="shared" si="71"/>
        <v>745.18247892131103</v>
      </c>
      <c r="DT121" s="62">
        <f ca="1">AVERAGE(OFFSET($DS$3,0,0,'Données projet'!$E$14+1,1))-AVERAGE(OFFSET($H$3,0,0,'Données projet'!$E$14+1,1))</f>
        <v>349.73011349954953</v>
      </c>
      <c r="DU121" s="62">
        <f t="shared" si="98"/>
        <v>154.08406475869634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-1.7053025658242404E-13</v>
      </c>
      <c r="O122" s="14">
        <f>N122*VLOOKUP('Données projet'!$B$9,Paramètres!$A$1:$I$89,3,0)*VLOOKUP('Données projet'!$B$9,Paramètres!$A$1:$I$89,5,0)</f>
        <v>-1.0197709343628959E-13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203.63995177374335</v>
      </c>
      <c r="T122" s="62">
        <f t="shared" si="88"/>
        <v>268.97461244918378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2.4331079473131081</v>
      </c>
      <c r="AA122" s="23">
        <f>EXP(-LN(2)/25)*AA121+(1-EXP(-LN(2)/25))/(LN(2)/25)*Calculateur!V122*Calculateur!X122*VLOOKUP('Données projet'!$B$9,Paramètres!$A$1:$I$89,3,0)*0.475*44/12</f>
        <v>1.0624438022399398</v>
      </c>
      <c r="AB122" s="23">
        <f>EXP(-LN(2)/2)*AB121+(1-EXP(-LN(2)/2))/(LN(2)/2)*V122*Y122*VLOOKUP('Données projet'!$B$9,Paramètres!$A$1:$I$89,3,0)*0.475*44/12</f>
        <v>1.2870542006849689E-13</v>
      </c>
      <c r="AC122" s="24">
        <f t="shared" si="57"/>
        <v>3.4955517495531767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2.3333333333333335</v>
      </c>
      <c r="AI122" s="14">
        <f>IF('Données projet'!$A$62&gt;35,AI121+AH122-AQ121,IF(A122&lt;'Données projet'!$A$62,$AF$205^A122,IF(A122='Données projet'!$A$62,'Données projet'!$B$62,AI121+AH122-AQ121)))</f>
        <v>217.33333333333314</v>
      </c>
      <c r="AJ122" s="14">
        <f>AI122*VLOOKUP('Données projet'!$B$10,Paramètres!$A$1:$I$89,3,0)*VLOOKUP('Données projet'!$B$10,Paramètres!$A$1:$I$89,5,0)</f>
        <v>220.37599999999981</v>
      </c>
      <c r="AK122" s="14">
        <f t="shared" si="89"/>
        <v>54.196599339230858</v>
      </c>
      <c r="AL122" s="22">
        <f t="shared" si="58"/>
        <v>478.2139438491601</v>
      </c>
      <c r="AM122" s="62">
        <f t="shared" si="59"/>
        <v>771.54727718249342</v>
      </c>
      <c r="AN122" s="62">
        <f ca="1">AVERAGE(OFFSET($AM$3,0,0,'Données projet'!$E$10+1,1))-AVERAGE(OFFSET($H$3,0,0,'Données projet'!$E$10+1,1))</f>
        <v>364.69354394930866</v>
      </c>
      <c r="AO122" s="62">
        <f t="shared" si="90"/>
        <v>159.6134369231965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241.00707378755914</v>
      </c>
      <c r="BJ122" s="62">
        <f t="shared" si="92"/>
        <v>239.93573789765657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1.4210854715202004E-13</v>
      </c>
      <c r="BZ122" s="14">
        <f>BY122*VLOOKUP('Données projet'!$B$12,Paramètres!$A$1:$I$89,3,0)*VLOOKUP('Données projet'!$B$12,Paramètres!$A$1:$I$89,5,0)</f>
        <v>9.5326413429575044E-14</v>
      </c>
      <c r="CA122" s="14">
        <f t="shared" si="93"/>
        <v>1.4400742856080346E-12</v>
      </c>
      <c r="CB122" s="22">
        <f t="shared" si="64"/>
        <v>2.6741562174905032E-12</v>
      </c>
      <c r="CC122" s="62">
        <f t="shared" si="65"/>
        <v>293.33333333333599</v>
      </c>
      <c r="CD122" s="62">
        <f ca="1">AVERAGE(OFFSET($CC$3,0,0,'Données projet'!$E$12+1,1))-AVERAGE(OFFSET($H$3,0,0,'Données projet'!$E$12+1,1))</f>
        <v>207.91006140109965</v>
      </c>
      <c r="CE122" s="62">
        <f t="shared" si="94"/>
        <v>164.93317437647255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1.4210854715202004E-13</v>
      </c>
      <c r="CU122" s="18">
        <f>CT122*VLOOKUP('Données projet'!$B$13,Paramètres!$A$1:$I$89,3,0)*VLOOKUP('Données projet'!$B$13,Paramètres!$A$1:$I$89,5,0)</f>
        <v>1.2192913345643319E-13</v>
      </c>
      <c r="CV122" s="14">
        <f t="shared" si="95"/>
        <v>1.7899324464546674E-12</v>
      </c>
      <c r="CW122" s="22">
        <f t="shared" si="67"/>
        <v>3.3298255850118335E-12</v>
      </c>
      <c r="CX122" s="62">
        <f t="shared" si="68"/>
        <v>293.33333333333667</v>
      </c>
      <c r="CY122" s="62">
        <f ca="1">AVERAGE(OFFSET($CX$3,0,0,'Données projet'!$E$13+1,1))-AVERAGE(OFFSET($H$3,0,0,'Données projet'!$E$13+1,1))</f>
        <v>255.77222823147724</v>
      </c>
      <c r="CZ122" s="62">
        <f t="shared" si="96"/>
        <v>199.6931080052031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2.3333333333333335</v>
      </c>
      <c r="DO122" s="13">
        <f>IF('Données projet'!$A$166&gt;35,DO121+DN122-DW121,IF(A122&lt;'Données projet'!$A$166,$DL$205^A122,IF(A122='Données projet'!$A$166,'Données projet'!$B$166,DO121+DN122-DW121)))</f>
        <v>217.33333333333314</v>
      </c>
      <c r="DP122" s="18">
        <f>DO122*VLOOKUP('Données projet'!$B$14,Paramètres!$A$1:$I$89,3,0)*VLOOKUP('Données projet'!$B$14,Paramètres!$A$1:$I$89,5,0)</f>
        <v>210.20479999999984</v>
      </c>
      <c r="DQ122" s="14">
        <f t="shared" si="97"/>
        <v>51.98033711173202</v>
      </c>
      <c r="DR122" s="22">
        <f t="shared" si="70"/>
        <v>456.63911380293302</v>
      </c>
      <c r="DS122" s="62">
        <f t="shared" si="71"/>
        <v>749.97244713626628</v>
      </c>
      <c r="DT122" s="62">
        <f ca="1">AVERAGE(OFFSET($DS$3,0,0,'Données projet'!$E$14+1,1))-AVERAGE(OFFSET($H$3,0,0,'Données projet'!$E$14+1,1))</f>
        <v>349.73011349954953</v>
      </c>
      <c r="DU122" s="62">
        <f t="shared" si="98"/>
        <v>154.08406475869634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-1.7053025658242404E-13</v>
      </c>
      <c r="O123" s="14">
        <f>N123*VLOOKUP('Données projet'!$B$9,Paramètres!$A$1:$I$89,3,0)*VLOOKUP('Données projet'!$B$9,Paramètres!$A$1:$I$89,5,0)</f>
        <v>-1.0197709343628959E-13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203.63995177374335</v>
      </c>
      <c r="T123" s="62">
        <f t="shared" si="88"/>
        <v>268.97461244918378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2.3853961845156082</v>
      </c>
      <c r="AA123" s="23">
        <f>EXP(-LN(2)/25)*AA122+(1-EXP(-LN(2)/25))/(LN(2)/25)*Calculateur!V123*Calculateur!X123*VLOOKUP('Données projet'!$B$9,Paramètres!$A$1:$I$89,3,0)*0.475*44/12</f>
        <v>1.0333912205961975</v>
      </c>
      <c r="AB123" s="23">
        <f>EXP(-LN(2)/2)*AB122+(1-EXP(-LN(2)/2))/(LN(2)/2)*V123*Y123*VLOOKUP('Données projet'!$B$9,Paramètres!$A$1:$I$89,3,0)*0.475*44/12</f>
        <v>9.1008475305897311E-14</v>
      </c>
      <c r="AC123" s="24">
        <f t="shared" si="57"/>
        <v>3.4187874051118965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2.3333333333333335</v>
      </c>
      <c r="AI123" s="14">
        <f>IF('Données projet'!$A$62&gt;35,AI122+AH123-AQ122,IF(A123&lt;'Données projet'!$A$62,$AF$205^A123,IF(A123='Données projet'!$A$62,'Données projet'!$B$62,AI122+AH123-AQ122)))</f>
        <v>219.66666666666649</v>
      </c>
      <c r="AJ123" s="14">
        <f>AI123*VLOOKUP('Données projet'!$B$10,Paramètres!$A$1:$I$89,3,0)*VLOOKUP('Données projet'!$B$10,Paramètres!$A$1:$I$89,5,0)</f>
        <v>222.74199999999982</v>
      </c>
      <c r="AK123" s="14">
        <f t="shared" si="89"/>
        <v>54.710415565107773</v>
      </c>
      <c r="AL123" s="22">
        <f t="shared" si="58"/>
        <v>483.22962377589562</v>
      </c>
      <c r="AM123" s="62">
        <f t="shared" si="59"/>
        <v>776.56295710922893</v>
      </c>
      <c r="AN123" s="62">
        <f ca="1">AVERAGE(OFFSET($AM$3,0,0,'Données projet'!$E$10+1,1))-AVERAGE(OFFSET($H$3,0,0,'Données projet'!$E$10+1,1))</f>
        <v>364.69354394930866</v>
      </c>
      <c r="AO123" s="62">
        <f t="shared" si="90"/>
        <v>159.6134369231965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241.00707378755914</v>
      </c>
      <c r="BJ123" s="62">
        <f t="shared" si="92"/>
        <v>239.93573789765657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1.4210854715202004E-13</v>
      </c>
      <c r="BZ123" s="14">
        <f>BY123*VLOOKUP('Données projet'!$B$12,Paramètres!$A$1:$I$89,3,0)*VLOOKUP('Données projet'!$B$12,Paramètres!$A$1:$I$89,5,0)</f>
        <v>9.5326413429575044E-14</v>
      </c>
      <c r="CA123" s="14">
        <f t="shared" si="93"/>
        <v>1.4400742856080346E-12</v>
      </c>
      <c r="CB123" s="22">
        <f t="shared" si="64"/>
        <v>2.6741562174905032E-12</v>
      </c>
      <c r="CC123" s="62">
        <f t="shared" si="65"/>
        <v>293.33333333333599</v>
      </c>
      <c r="CD123" s="62">
        <f ca="1">AVERAGE(OFFSET($CC$3,0,0,'Données projet'!$E$12+1,1))-AVERAGE(OFFSET($H$3,0,0,'Données projet'!$E$12+1,1))</f>
        <v>207.91006140109965</v>
      </c>
      <c r="CE123" s="62">
        <f t="shared" si="94"/>
        <v>164.93317437647255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1.4210854715202004E-13</v>
      </c>
      <c r="CU123" s="18">
        <f>CT123*VLOOKUP('Données projet'!$B$13,Paramètres!$A$1:$I$89,3,0)*VLOOKUP('Données projet'!$B$13,Paramètres!$A$1:$I$89,5,0)</f>
        <v>1.2192913345643319E-13</v>
      </c>
      <c r="CV123" s="14">
        <f t="shared" si="95"/>
        <v>1.7899324464546674E-12</v>
      </c>
      <c r="CW123" s="22">
        <f t="shared" si="67"/>
        <v>3.3298255850118335E-12</v>
      </c>
      <c r="CX123" s="62">
        <f t="shared" si="68"/>
        <v>293.33333333333667</v>
      </c>
      <c r="CY123" s="62">
        <f ca="1">AVERAGE(OFFSET($CX$3,0,0,'Données projet'!$E$13+1,1))-AVERAGE(OFFSET($H$3,0,0,'Données projet'!$E$13+1,1))</f>
        <v>255.77222823147724</v>
      </c>
      <c r="CZ123" s="62">
        <f t="shared" si="96"/>
        <v>199.6931080052031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2.3333333333333335</v>
      </c>
      <c r="DO123" s="13">
        <f>IF('Données projet'!$A$166&gt;35,DO122+DN123-DW122,IF(A123&lt;'Données projet'!$A$166,$DL$205^A123,IF(A123='Données projet'!$A$166,'Données projet'!$B$166,DO122+DN123-DW122)))</f>
        <v>219.66666666666649</v>
      </c>
      <c r="DP123" s="18">
        <f>DO123*VLOOKUP('Données projet'!$B$14,Paramètres!$A$1:$I$89,3,0)*VLOOKUP('Données projet'!$B$14,Paramètres!$A$1:$I$89,5,0)</f>
        <v>212.46159999999983</v>
      </c>
      <c r="DQ123" s="14">
        <f t="shared" si="97"/>
        <v>52.473141844135711</v>
      </c>
      <c r="DR123" s="22">
        <f t="shared" si="70"/>
        <v>461.42800871186938</v>
      </c>
      <c r="DS123" s="62">
        <f t="shared" si="71"/>
        <v>754.7613420452027</v>
      </c>
      <c r="DT123" s="62">
        <f ca="1">AVERAGE(OFFSET($DS$3,0,0,'Données projet'!$E$14+1,1))-AVERAGE(OFFSET($H$3,0,0,'Données projet'!$E$14+1,1))</f>
        <v>349.73011349954953</v>
      </c>
      <c r="DU123" s="62">
        <f t="shared" si="98"/>
        <v>154.08406475869634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-1.7053025658242404E-13</v>
      </c>
      <c r="O124" s="14">
        <f>N124*VLOOKUP('Données projet'!$B$9,Paramètres!$A$1:$I$89,3,0)*VLOOKUP('Données projet'!$B$9,Paramètres!$A$1:$I$89,5,0)</f>
        <v>-1.0197709343628959E-13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203.63995177374335</v>
      </c>
      <c r="T124" s="62">
        <f t="shared" si="88"/>
        <v>268.97461244918378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2.3386200202852656</v>
      </c>
      <c r="AA124" s="23">
        <f>EXP(-LN(2)/25)*AA123+(1-EXP(-LN(2)/25))/(LN(2)/25)*Calculateur!V124*Calculateur!X124*VLOOKUP('Données projet'!$B$9,Paramètres!$A$1:$I$89,3,0)*0.475*44/12</f>
        <v>1.005133083325312</v>
      </c>
      <c r="AB124" s="23">
        <f>EXP(-LN(2)/2)*AB123+(1-EXP(-LN(2)/2))/(LN(2)/2)*V124*Y124*VLOOKUP('Données projet'!$B$9,Paramètres!$A$1:$I$89,3,0)*0.475*44/12</f>
        <v>6.4352710034248443E-14</v>
      </c>
      <c r="AC124" s="24">
        <f t="shared" si="57"/>
        <v>3.3437531036106418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2.3333333333333335</v>
      </c>
      <c r="AI124" s="14">
        <f>IF('Données projet'!$A$62&gt;35,AI123+AH124-AQ123,IF(A124&lt;'Données projet'!$A$62,$AF$205^A124,IF(A124='Données projet'!$A$62,'Données projet'!$B$62,AI123+AH124-AQ123)))</f>
        <v>221.99999999999983</v>
      </c>
      <c r="AJ124" s="14">
        <f>AI124*VLOOKUP('Données projet'!$B$10,Paramètres!$A$1:$I$89,3,0)*VLOOKUP('Données projet'!$B$10,Paramètres!$A$1:$I$89,5,0)</f>
        <v>225.10799999999986</v>
      </c>
      <c r="AK124" s="14">
        <f t="shared" si="89"/>
        <v>55.223596878889587</v>
      </c>
      <c r="AL124" s="22">
        <f t="shared" si="58"/>
        <v>488.24419789739909</v>
      </c>
      <c r="AM124" s="62">
        <f t="shared" si="59"/>
        <v>781.57753123073235</v>
      </c>
      <c r="AN124" s="62">
        <f ca="1">AVERAGE(OFFSET($AM$3,0,0,'Données projet'!$E$10+1,1))-AVERAGE(OFFSET($H$3,0,0,'Données projet'!$E$10+1,1))</f>
        <v>364.69354394930866</v>
      </c>
      <c r="AO124" s="62">
        <f t="shared" si="90"/>
        <v>159.6134369231965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241.00707378755914</v>
      </c>
      <c r="BJ124" s="62">
        <f t="shared" si="92"/>
        <v>239.93573789765657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1.4210854715202004E-13</v>
      </c>
      <c r="BZ124" s="14">
        <f>BY124*VLOOKUP('Données projet'!$B$12,Paramètres!$A$1:$I$89,3,0)*VLOOKUP('Données projet'!$B$12,Paramètres!$A$1:$I$89,5,0)</f>
        <v>9.5326413429575044E-14</v>
      </c>
      <c r="CA124" s="14">
        <f t="shared" si="93"/>
        <v>1.4400742856080346E-12</v>
      </c>
      <c r="CB124" s="22">
        <f t="shared" si="64"/>
        <v>2.6741562174905032E-12</v>
      </c>
      <c r="CC124" s="62">
        <f t="shared" si="65"/>
        <v>293.33333333333599</v>
      </c>
      <c r="CD124" s="62">
        <f ca="1">AVERAGE(OFFSET($CC$3,0,0,'Données projet'!$E$12+1,1))-AVERAGE(OFFSET($H$3,0,0,'Données projet'!$E$12+1,1))</f>
        <v>207.91006140109965</v>
      </c>
      <c r="CE124" s="62">
        <f t="shared" si="94"/>
        <v>164.93317437647255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1.4210854715202004E-13</v>
      </c>
      <c r="CU124" s="18">
        <f>CT124*VLOOKUP('Données projet'!$B$13,Paramètres!$A$1:$I$89,3,0)*VLOOKUP('Données projet'!$B$13,Paramètres!$A$1:$I$89,5,0)</f>
        <v>1.2192913345643319E-13</v>
      </c>
      <c r="CV124" s="14">
        <f t="shared" si="95"/>
        <v>1.7899324464546674E-12</v>
      </c>
      <c r="CW124" s="22">
        <f t="shared" si="67"/>
        <v>3.3298255850118335E-12</v>
      </c>
      <c r="CX124" s="62">
        <f t="shared" si="68"/>
        <v>293.33333333333667</v>
      </c>
      <c r="CY124" s="62">
        <f ca="1">AVERAGE(OFFSET($CX$3,0,0,'Données projet'!$E$13+1,1))-AVERAGE(OFFSET($H$3,0,0,'Données projet'!$E$13+1,1))</f>
        <v>255.77222823147724</v>
      </c>
      <c r="CZ124" s="62">
        <f t="shared" si="96"/>
        <v>199.6931080052031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2.3333333333333335</v>
      </c>
      <c r="DO124" s="13">
        <f>IF('Données projet'!$A$166&gt;35,DO123+DN124-DW123,IF(A124&lt;'Données projet'!$A$166,$DL$205^A124,IF(A124='Données projet'!$A$166,'Données projet'!$B$166,DO123+DN124-DW123)))</f>
        <v>221.99999999999983</v>
      </c>
      <c r="DP124" s="18">
        <f>DO124*VLOOKUP('Données projet'!$B$14,Paramètres!$A$1:$I$89,3,0)*VLOOKUP('Données projet'!$B$14,Paramètres!$A$1:$I$89,5,0)</f>
        <v>214.71839999999986</v>
      </c>
      <c r="DQ124" s="14">
        <f t="shared" si="97"/>
        <v>52.965337627912696</v>
      </c>
      <c r="DR124" s="22">
        <f t="shared" si="70"/>
        <v>466.21584303528101</v>
      </c>
      <c r="DS124" s="62">
        <f t="shared" si="71"/>
        <v>759.54917636861433</v>
      </c>
      <c r="DT124" s="62">
        <f ca="1">AVERAGE(OFFSET($DS$3,0,0,'Données projet'!$E$14+1,1))-AVERAGE(OFFSET($H$3,0,0,'Données projet'!$E$14+1,1))</f>
        <v>349.73011349954953</v>
      </c>
      <c r="DU124" s="62">
        <f t="shared" si="98"/>
        <v>154.08406475869634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-1.7053025658242404E-13</v>
      </c>
      <c r="O125" s="14">
        <f>N125*VLOOKUP('Données projet'!$B$9,Paramètres!$A$1:$I$89,3,0)*VLOOKUP('Données projet'!$B$9,Paramètres!$A$1:$I$89,5,0)</f>
        <v>-1.0197709343628959E-13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203.63995177374335</v>
      </c>
      <c r="T125" s="62">
        <f t="shared" si="88"/>
        <v>268.97461244918378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2.2927611081048371</v>
      </c>
      <c r="AA125" s="23">
        <f>EXP(-LN(2)/25)*AA124+(1-EXP(-LN(2)/25))/(LN(2)/25)*Calculateur!V125*Calculateur!X125*VLOOKUP('Données projet'!$B$9,Paramètres!$A$1:$I$89,3,0)*0.475*44/12</f>
        <v>0.9776476663041298</v>
      </c>
      <c r="AB125" s="23">
        <f>EXP(-LN(2)/2)*AB124+(1-EXP(-LN(2)/2))/(LN(2)/2)*V125*Y125*VLOOKUP('Données projet'!$B$9,Paramètres!$A$1:$I$89,3,0)*0.475*44/12</f>
        <v>4.5504237652948656E-14</v>
      </c>
      <c r="AC125" s="24">
        <f t="shared" si="57"/>
        <v>3.2704087744090122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2.3333333333333335</v>
      </c>
      <c r="AI125" s="14">
        <f>IF('Données projet'!$A$62&gt;35,AI124+AH125-AQ124,IF(A125&lt;'Données projet'!$A$62,$AF$205^A125,IF(A125='Données projet'!$A$62,'Données projet'!$B$62,AI124+AH125-AQ124)))</f>
        <v>224.33333333333317</v>
      </c>
      <c r="AJ125" s="14">
        <f>AI125*VLOOKUP('Données projet'!$B$10,Paramètres!$A$1:$I$89,3,0)*VLOOKUP('Données projet'!$B$10,Paramètres!$A$1:$I$89,5,0)</f>
        <v>227.47399999999988</v>
      </c>
      <c r="AK125" s="14">
        <f t="shared" si="89"/>
        <v>55.736150726312978</v>
      </c>
      <c r="AL125" s="22">
        <f t="shared" si="58"/>
        <v>493.25767918166156</v>
      </c>
      <c r="AM125" s="62">
        <f t="shared" si="59"/>
        <v>786.59101251499487</v>
      </c>
      <c r="AN125" s="62">
        <f ca="1">AVERAGE(OFFSET($AM$3,0,0,'Données projet'!$E$10+1,1))-AVERAGE(OFFSET($H$3,0,0,'Données projet'!$E$10+1,1))</f>
        <v>364.69354394930866</v>
      </c>
      <c r="AO125" s="62">
        <f t="shared" si="90"/>
        <v>159.6134369231965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241.00707378755914</v>
      </c>
      <c r="BJ125" s="62">
        <f t="shared" si="92"/>
        <v>239.93573789765657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1.4210854715202004E-13</v>
      </c>
      <c r="BZ125" s="14">
        <f>BY125*VLOOKUP('Données projet'!$B$12,Paramètres!$A$1:$I$89,3,0)*VLOOKUP('Données projet'!$B$12,Paramètres!$A$1:$I$89,5,0)</f>
        <v>9.5326413429575044E-14</v>
      </c>
      <c r="CA125" s="14">
        <f t="shared" si="93"/>
        <v>1.4400742856080346E-12</v>
      </c>
      <c r="CB125" s="22">
        <f t="shared" si="64"/>
        <v>2.6741562174905032E-12</v>
      </c>
      <c r="CC125" s="62">
        <f t="shared" si="65"/>
        <v>293.33333333333599</v>
      </c>
      <c r="CD125" s="62">
        <f ca="1">AVERAGE(OFFSET($CC$3,0,0,'Données projet'!$E$12+1,1))-AVERAGE(OFFSET($H$3,0,0,'Données projet'!$E$12+1,1))</f>
        <v>207.91006140109965</v>
      </c>
      <c r="CE125" s="62">
        <f t="shared" si="94"/>
        <v>164.93317437647255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1.4210854715202004E-13</v>
      </c>
      <c r="CU125" s="18">
        <f>CT125*VLOOKUP('Données projet'!$B$13,Paramètres!$A$1:$I$89,3,0)*VLOOKUP('Données projet'!$B$13,Paramètres!$A$1:$I$89,5,0)</f>
        <v>1.2192913345643319E-13</v>
      </c>
      <c r="CV125" s="14">
        <f t="shared" si="95"/>
        <v>1.7899324464546674E-12</v>
      </c>
      <c r="CW125" s="22">
        <f t="shared" si="67"/>
        <v>3.3298255850118335E-12</v>
      </c>
      <c r="CX125" s="62">
        <f t="shared" si="68"/>
        <v>293.33333333333667</v>
      </c>
      <c r="CY125" s="62">
        <f ca="1">AVERAGE(OFFSET($CX$3,0,0,'Données projet'!$E$13+1,1))-AVERAGE(OFFSET($H$3,0,0,'Données projet'!$E$13+1,1))</f>
        <v>255.77222823147724</v>
      </c>
      <c r="CZ125" s="62">
        <f t="shared" si="96"/>
        <v>199.6931080052031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2.3333333333333335</v>
      </c>
      <c r="DO125" s="13">
        <f>IF('Données projet'!$A$166&gt;35,DO124+DN125-DW124,IF(A125&lt;'Données projet'!$A$166,$DL$205^A125,IF(A125='Données projet'!$A$166,'Données projet'!$B$166,DO124+DN125-DW124)))</f>
        <v>224.33333333333317</v>
      </c>
      <c r="DP125" s="18">
        <f>DO125*VLOOKUP('Données projet'!$B$14,Paramètres!$A$1:$I$89,3,0)*VLOOKUP('Données projet'!$B$14,Paramètres!$A$1:$I$89,5,0)</f>
        <v>216.97519999999983</v>
      </c>
      <c r="DQ125" s="14">
        <f t="shared" si="97"/>
        <v>53.456931604321014</v>
      </c>
      <c r="DR125" s="22">
        <f t="shared" si="70"/>
        <v>471.00262921085886</v>
      </c>
      <c r="DS125" s="62">
        <f t="shared" si="71"/>
        <v>764.33596254419217</v>
      </c>
      <c r="DT125" s="62">
        <f ca="1">AVERAGE(OFFSET($DS$3,0,0,'Données projet'!$E$14+1,1))-AVERAGE(OFFSET($H$3,0,0,'Données projet'!$E$14+1,1))</f>
        <v>349.73011349954953</v>
      </c>
      <c r="DU125" s="62">
        <f t="shared" si="98"/>
        <v>154.08406475869634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-1.7053025658242404E-13</v>
      </c>
      <c r="O126" s="14">
        <f>N126*VLOOKUP('Données projet'!$B$9,Paramètres!$A$1:$I$89,3,0)*VLOOKUP('Données projet'!$B$9,Paramètres!$A$1:$I$89,5,0)</f>
        <v>-1.0197709343628959E-13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203.63995177374335</v>
      </c>
      <c r="T126" s="62">
        <f t="shared" si="88"/>
        <v>268.97461244918378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2.2478014612210919</v>
      </c>
      <c r="AA126" s="23">
        <f>EXP(-LN(2)/25)*AA125+(1-EXP(-LN(2)/25))/(LN(2)/25)*Calculateur!V126*Calculateur!X126*VLOOKUP('Données projet'!$B$9,Paramètres!$A$1:$I$89,3,0)*0.475*44/12</f>
        <v>0.95091383945678709</v>
      </c>
      <c r="AB126" s="23">
        <f>EXP(-LN(2)/2)*AB125+(1-EXP(-LN(2)/2))/(LN(2)/2)*V126*Y126*VLOOKUP('Données projet'!$B$9,Paramètres!$A$1:$I$89,3,0)*0.475*44/12</f>
        <v>3.2176355017124222E-14</v>
      </c>
      <c r="AC126" s="24">
        <f t="shared" si="57"/>
        <v>3.198715300677911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2.3333333333333335</v>
      </c>
      <c r="AI126" s="14">
        <f>IF('Données projet'!$A$62&gt;35,AI125+AH126-AQ125,IF(A126&lt;'Données projet'!$A$62,$AF$205^A126,IF(A126='Données projet'!$A$62,'Données projet'!$B$62,AI125+AH126-AQ125)))</f>
        <v>226.66666666666652</v>
      </c>
      <c r="AJ126" s="14">
        <f>AI126*VLOOKUP('Données projet'!$B$10,Paramètres!$A$1:$I$89,3,0)*VLOOKUP('Données projet'!$B$10,Paramètres!$A$1:$I$89,5,0)</f>
        <v>229.83999999999983</v>
      </c>
      <c r="AK126" s="14">
        <f t="shared" si="89"/>
        <v>56.248084389301354</v>
      </c>
      <c r="AL126" s="22">
        <f t="shared" si="58"/>
        <v>498.2700803113662</v>
      </c>
      <c r="AM126" s="62">
        <f t="shared" si="59"/>
        <v>791.60341364469946</v>
      </c>
      <c r="AN126" s="62">
        <f ca="1">AVERAGE(OFFSET($AM$3,0,0,'Données projet'!$E$10+1,1))-AVERAGE(OFFSET($H$3,0,0,'Données projet'!$E$10+1,1))</f>
        <v>364.69354394930866</v>
      </c>
      <c r="AO126" s="62">
        <f t="shared" si="90"/>
        <v>159.6134369231965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241.00707378755914</v>
      </c>
      <c r="BJ126" s="62">
        <f t="shared" si="92"/>
        <v>239.93573789765657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1.4210854715202004E-13</v>
      </c>
      <c r="BZ126" s="14">
        <f>BY126*VLOOKUP('Données projet'!$B$12,Paramètres!$A$1:$I$89,3,0)*VLOOKUP('Données projet'!$B$12,Paramètres!$A$1:$I$89,5,0)</f>
        <v>9.5326413429575044E-14</v>
      </c>
      <c r="CA126" s="14">
        <f t="shared" si="93"/>
        <v>1.4400742856080346E-12</v>
      </c>
      <c r="CB126" s="22">
        <f t="shared" si="64"/>
        <v>2.6741562174905032E-12</v>
      </c>
      <c r="CC126" s="62">
        <f t="shared" si="65"/>
        <v>293.33333333333599</v>
      </c>
      <c r="CD126" s="62">
        <f ca="1">AVERAGE(OFFSET($CC$3,0,0,'Données projet'!$E$12+1,1))-AVERAGE(OFFSET($H$3,0,0,'Données projet'!$E$12+1,1))</f>
        <v>207.91006140109965</v>
      </c>
      <c r="CE126" s="62">
        <f t="shared" si="94"/>
        <v>164.93317437647255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1.4210854715202004E-13</v>
      </c>
      <c r="CU126" s="18">
        <f>CT126*VLOOKUP('Données projet'!$B$13,Paramètres!$A$1:$I$89,3,0)*VLOOKUP('Données projet'!$B$13,Paramètres!$A$1:$I$89,5,0)</f>
        <v>1.2192913345643319E-13</v>
      </c>
      <c r="CV126" s="14">
        <f t="shared" si="95"/>
        <v>1.7899324464546674E-12</v>
      </c>
      <c r="CW126" s="22">
        <f t="shared" si="67"/>
        <v>3.3298255850118335E-12</v>
      </c>
      <c r="CX126" s="62">
        <f t="shared" si="68"/>
        <v>293.33333333333667</v>
      </c>
      <c r="CY126" s="62">
        <f ca="1">AVERAGE(OFFSET($CX$3,0,0,'Données projet'!$E$13+1,1))-AVERAGE(OFFSET($H$3,0,0,'Données projet'!$E$13+1,1))</f>
        <v>255.77222823147724</v>
      </c>
      <c r="CZ126" s="62">
        <f t="shared" si="96"/>
        <v>199.6931080052031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2.3333333333333335</v>
      </c>
      <c r="DO126" s="13">
        <f>IF('Données projet'!$A$166&gt;35,DO125+DN126-DW125,IF(A126&lt;'Données projet'!$A$166,$DL$205^A126,IF(A126='Données projet'!$A$166,'Données projet'!$B$166,DO125+DN126-DW125)))</f>
        <v>226.66666666666652</v>
      </c>
      <c r="DP126" s="18">
        <f>DO126*VLOOKUP('Données projet'!$B$14,Paramètres!$A$1:$I$89,3,0)*VLOOKUP('Données projet'!$B$14,Paramètres!$A$1:$I$89,5,0)</f>
        <v>219.23199999999989</v>
      </c>
      <c r="DQ126" s="14">
        <f t="shared" si="97"/>
        <v>53.947930757504409</v>
      </c>
      <c r="DR126" s="22">
        <f t="shared" si="70"/>
        <v>475.78837940265322</v>
      </c>
      <c r="DS126" s="62">
        <f t="shared" si="71"/>
        <v>769.12171273598653</v>
      </c>
      <c r="DT126" s="62">
        <f ca="1">AVERAGE(OFFSET($DS$3,0,0,'Données projet'!$E$14+1,1))-AVERAGE(OFFSET($H$3,0,0,'Données projet'!$E$14+1,1))</f>
        <v>349.73011349954953</v>
      </c>
      <c r="DU126" s="62">
        <f t="shared" si="98"/>
        <v>154.08406475869634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-1.7053025658242404E-13</v>
      </c>
      <c r="O127" s="14">
        <f>N127*VLOOKUP('Données projet'!$B$9,Paramètres!$A$1:$I$89,3,0)*VLOOKUP('Données projet'!$B$9,Paramètres!$A$1:$I$89,5,0)</f>
        <v>-1.0197709343628959E-13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203.63995177374335</v>
      </c>
      <c r="T127" s="62">
        <f t="shared" si="88"/>
        <v>268.97461244918378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2.2037234455900605</v>
      </c>
      <c r="AA127" s="23">
        <f>EXP(-LN(2)/25)*AA126+(1-EXP(-LN(2)/25))/(LN(2)/25)*Calculateur!V127*Calculateur!X127*VLOOKUP('Données projet'!$B$9,Paramètres!$A$1:$I$89,3,0)*0.475*44/12</f>
        <v>0.92491105051045575</v>
      </c>
      <c r="AB127" s="23">
        <f>EXP(-LN(2)/2)*AB126+(1-EXP(-LN(2)/2))/(LN(2)/2)*V127*Y127*VLOOKUP('Données projet'!$B$9,Paramètres!$A$1:$I$89,3,0)*0.475*44/12</f>
        <v>2.2752118826474328E-14</v>
      </c>
      <c r="AC127" s="24">
        <f t="shared" si="57"/>
        <v>3.1286344961005388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2.3333333333333335</v>
      </c>
      <c r="AI127" s="14">
        <f>IF('Données projet'!$A$62&gt;35,AI126+AH127-AQ126,IF(A127&lt;'Données projet'!$A$62,$AF$205^A127,IF(A127='Données projet'!$A$62,'Données projet'!$B$62,AI126+AH127-AQ126)))</f>
        <v>228.99999999999986</v>
      </c>
      <c r="AJ127" s="14">
        <f>AI127*VLOOKUP('Données projet'!$B$10,Paramètres!$A$1:$I$89,3,0)*VLOOKUP('Données projet'!$B$10,Paramètres!$A$1:$I$89,5,0)</f>
        <v>232.20599999999988</v>
      </c>
      <c r="AK127" s="14">
        <f t="shared" si="89"/>
        <v>56.759404991217522</v>
      </c>
      <c r="AL127" s="22">
        <f t="shared" si="58"/>
        <v>503.28141369303694</v>
      </c>
      <c r="AM127" s="62">
        <f t="shared" si="59"/>
        <v>796.6147470263702</v>
      </c>
      <c r="AN127" s="62">
        <f ca="1">AVERAGE(OFFSET($AM$3,0,0,'Données projet'!$E$10+1,1))-AVERAGE(OFFSET($H$3,0,0,'Données projet'!$E$10+1,1))</f>
        <v>364.69354394930866</v>
      </c>
      <c r="AO127" s="62">
        <f t="shared" si="90"/>
        <v>159.6134369231965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241.00707378755914</v>
      </c>
      <c r="BJ127" s="62">
        <f t="shared" si="92"/>
        <v>239.93573789765657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1.4210854715202004E-13</v>
      </c>
      <c r="BZ127" s="14">
        <f>BY127*VLOOKUP('Données projet'!$B$12,Paramètres!$A$1:$I$89,3,0)*VLOOKUP('Données projet'!$B$12,Paramètres!$A$1:$I$89,5,0)</f>
        <v>9.5326413429575044E-14</v>
      </c>
      <c r="CA127" s="14">
        <f t="shared" si="93"/>
        <v>1.4400742856080346E-12</v>
      </c>
      <c r="CB127" s="22">
        <f t="shared" si="64"/>
        <v>2.6741562174905032E-12</v>
      </c>
      <c r="CC127" s="62">
        <f t="shared" si="65"/>
        <v>293.33333333333599</v>
      </c>
      <c r="CD127" s="62">
        <f ca="1">AVERAGE(OFFSET($CC$3,0,0,'Données projet'!$E$12+1,1))-AVERAGE(OFFSET($H$3,0,0,'Données projet'!$E$12+1,1))</f>
        <v>207.91006140109965</v>
      </c>
      <c r="CE127" s="62">
        <f t="shared" si="94"/>
        <v>164.93317437647255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1.4210854715202004E-13</v>
      </c>
      <c r="CU127" s="18">
        <f>CT127*VLOOKUP('Données projet'!$B$13,Paramètres!$A$1:$I$89,3,0)*VLOOKUP('Données projet'!$B$13,Paramètres!$A$1:$I$89,5,0)</f>
        <v>1.2192913345643319E-13</v>
      </c>
      <c r="CV127" s="14">
        <f t="shared" si="95"/>
        <v>1.7899324464546674E-12</v>
      </c>
      <c r="CW127" s="22">
        <f t="shared" si="67"/>
        <v>3.3298255850118335E-12</v>
      </c>
      <c r="CX127" s="62">
        <f t="shared" si="68"/>
        <v>293.33333333333667</v>
      </c>
      <c r="CY127" s="62">
        <f ca="1">AVERAGE(OFFSET($CX$3,0,0,'Données projet'!$E$13+1,1))-AVERAGE(OFFSET($H$3,0,0,'Données projet'!$E$13+1,1))</f>
        <v>255.77222823147724</v>
      </c>
      <c r="CZ127" s="62">
        <f t="shared" si="96"/>
        <v>199.6931080052031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2.3333333333333335</v>
      </c>
      <c r="DO127" s="13">
        <f>IF('Données projet'!$A$166&gt;35,DO126+DN127-DW126,IF(A127&lt;'Données projet'!$A$166,$DL$205^A127,IF(A127='Données projet'!$A$166,'Données projet'!$B$166,DO126+DN127-DW126)))</f>
        <v>228.99999999999986</v>
      </c>
      <c r="DP127" s="18">
        <f>DO127*VLOOKUP('Données projet'!$B$14,Paramètres!$A$1:$I$89,3,0)*VLOOKUP('Données projet'!$B$14,Paramètres!$A$1:$I$89,5,0)</f>
        <v>221.48879999999986</v>
      </c>
      <c r="DQ127" s="14">
        <f t="shared" si="97"/>
        <v>54.43834191952984</v>
      </c>
      <c r="DR127" s="22">
        <f t="shared" si="70"/>
        <v>480.57310550984749</v>
      </c>
      <c r="DS127" s="62">
        <f t="shared" si="71"/>
        <v>773.90643884318081</v>
      </c>
      <c r="DT127" s="62">
        <f ca="1">AVERAGE(OFFSET($DS$3,0,0,'Données projet'!$E$14+1,1))-AVERAGE(OFFSET($H$3,0,0,'Données projet'!$E$14+1,1))</f>
        <v>349.73011349954953</v>
      </c>
      <c r="DU127" s="62">
        <f t="shared" si="98"/>
        <v>154.08406475869634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-1.7053025658242404E-13</v>
      </c>
      <c r="O128" s="14">
        <f>N128*VLOOKUP('Données projet'!$B$9,Paramètres!$A$1:$I$89,3,0)*VLOOKUP('Données projet'!$B$9,Paramètres!$A$1:$I$89,5,0)</f>
        <v>-1.0197709343628959E-13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203.63995177374335</v>
      </c>
      <c r="T128" s="62">
        <f t="shared" si="88"/>
        <v>268.97461244918378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2.1605097729606184</v>
      </c>
      <c r="AA128" s="23">
        <f>EXP(-LN(2)/25)*AA127+(1-EXP(-LN(2)/25))/(LN(2)/25)*Calculateur!V128*Calculateur!X128*VLOOKUP('Données projet'!$B$9,Paramètres!$A$1:$I$89,3,0)*0.475*44/12</f>
        <v>0.8996193091952891</v>
      </c>
      <c r="AB128" s="23">
        <f>EXP(-LN(2)/2)*AB127+(1-EXP(-LN(2)/2))/(LN(2)/2)*V128*Y128*VLOOKUP('Données projet'!$B$9,Paramètres!$A$1:$I$89,3,0)*0.475*44/12</f>
        <v>1.6088177508562111E-14</v>
      </c>
      <c r="AC128" s="24">
        <f t="shared" si="57"/>
        <v>3.0601290821559237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2.3333333333333335</v>
      </c>
      <c r="AI128" s="14">
        <f>IF('Données projet'!$A$62&gt;35,AI127+AH128-AQ127,IF(A128&lt;'Données projet'!$A$62,$AF$205^A128,IF(A128='Données projet'!$A$62,'Données projet'!$B$62,AI127+AH128-AQ127)))</f>
        <v>231.3333333333332</v>
      </c>
      <c r="AJ128" s="14">
        <f>AI128*VLOOKUP('Données projet'!$B$10,Paramètres!$A$1:$I$89,3,0)*VLOOKUP('Données projet'!$B$10,Paramètres!$A$1:$I$89,5,0)</f>
        <v>234.57199999999989</v>
      </c>
      <c r="AK128" s="14">
        <f t="shared" si="89"/>
        <v>57.270119501895827</v>
      </c>
      <c r="AL128" s="22">
        <f t="shared" si="58"/>
        <v>508.29169146580165</v>
      </c>
      <c r="AM128" s="62">
        <f t="shared" si="59"/>
        <v>801.62502479913496</v>
      </c>
      <c r="AN128" s="62">
        <f ca="1">AVERAGE(OFFSET($AM$3,0,0,'Données projet'!$E$10+1,1))-AVERAGE(OFFSET($H$3,0,0,'Données projet'!$E$10+1,1))</f>
        <v>364.69354394930866</v>
      </c>
      <c r="AO128" s="62">
        <f t="shared" si="90"/>
        <v>159.6134369231965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241.00707378755914</v>
      </c>
      <c r="BJ128" s="62">
        <f t="shared" si="92"/>
        <v>239.93573789765657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1.4210854715202004E-13</v>
      </c>
      <c r="BZ128" s="14">
        <f>BY128*VLOOKUP('Données projet'!$B$12,Paramètres!$A$1:$I$89,3,0)*VLOOKUP('Données projet'!$B$12,Paramètres!$A$1:$I$89,5,0)</f>
        <v>9.5326413429575044E-14</v>
      </c>
      <c r="CA128" s="14">
        <f t="shared" si="93"/>
        <v>1.4400742856080346E-12</v>
      </c>
      <c r="CB128" s="22">
        <f t="shared" si="64"/>
        <v>2.6741562174905032E-12</v>
      </c>
      <c r="CC128" s="62">
        <f t="shared" si="65"/>
        <v>293.33333333333599</v>
      </c>
      <c r="CD128" s="62">
        <f ca="1">AVERAGE(OFFSET($CC$3,0,0,'Données projet'!$E$12+1,1))-AVERAGE(OFFSET($H$3,0,0,'Données projet'!$E$12+1,1))</f>
        <v>207.91006140109965</v>
      </c>
      <c r="CE128" s="62">
        <f t="shared" si="94"/>
        <v>164.93317437647255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1.4210854715202004E-13</v>
      </c>
      <c r="CU128" s="18">
        <f>CT128*VLOOKUP('Données projet'!$B$13,Paramètres!$A$1:$I$89,3,0)*VLOOKUP('Données projet'!$B$13,Paramètres!$A$1:$I$89,5,0)</f>
        <v>1.2192913345643319E-13</v>
      </c>
      <c r="CV128" s="14">
        <f t="shared" si="95"/>
        <v>1.7899324464546674E-12</v>
      </c>
      <c r="CW128" s="22">
        <f t="shared" si="67"/>
        <v>3.3298255850118335E-12</v>
      </c>
      <c r="CX128" s="62">
        <f t="shared" si="68"/>
        <v>293.33333333333667</v>
      </c>
      <c r="CY128" s="62">
        <f ca="1">AVERAGE(OFFSET($CX$3,0,0,'Données projet'!$E$13+1,1))-AVERAGE(OFFSET($H$3,0,0,'Données projet'!$E$13+1,1))</f>
        <v>255.77222823147724</v>
      </c>
      <c r="CZ128" s="62">
        <f t="shared" si="96"/>
        <v>199.6931080052031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2.3333333333333335</v>
      </c>
      <c r="DO128" s="13">
        <f>IF('Données projet'!$A$166&gt;35,DO127+DN128-DW127,IF(A128&lt;'Données projet'!$A$166,$DL$205^A128,IF(A128='Données projet'!$A$166,'Données projet'!$B$166,DO127+DN128-DW127)))</f>
        <v>231.3333333333332</v>
      </c>
      <c r="DP128" s="18">
        <f>DO128*VLOOKUP('Données projet'!$B$14,Paramètres!$A$1:$I$89,3,0)*VLOOKUP('Données projet'!$B$14,Paramètres!$A$1:$I$89,5,0)</f>
        <v>223.74559999999988</v>
      </c>
      <c r="DQ128" s="14">
        <f t="shared" si="97"/>
        <v>54.928171775214018</v>
      </c>
      <c r="DR128" s="22">
        <f t="shared" si="70"/>
        <v>485.35681917516405</v>
      </c>
      <c r="DS128" s="62">
        <f t="shared" si="71"/>
        <v>778.69015250849736</v>
      </c>
      <c r="DT128" s="62">
        <f ca="1">AVERAGE(OFFSET($DS$3,0,0,'Données projet'!$E$14+1,1))-AVERAGE(OFFSET($H$3,0,0,'Données projet'!$E$14+1,1))</f>
        <v>349.73011349954953</v>
      </c>
      <c r="DU128" s="62">
        <f t="shared" si="98"/>
        <v>154.08406475869634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-1.7053025658242404E-13</v>
      </c>
      <c r="O129" s="14">
        <f>N129*VLOOKUP('Données projet'!$B$9,Paramètres!$A$1:$I$89,3,0)*VLOOKUP('Données projet'!$B$9,Paramètres!$A$1:$I$89,5,0)</f>
        <v>-1.0197709343628959E-13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203.63995177374335</v>
      </c>
      <c r="T129" s="62">
        <f t="shared" si="88"/>
        <v>268.97461244918378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2.1181434940937023</v>
      </c>
      <c r="AA129" s="23">
        <f>EXP(-LN(2)/25)*AA128+(1-EXP(-LN(2)/25))/(LN(2)/25)*Calculateur!V129*Calculateur!X129*VLOOKUP('Données projet'!$B$9,Paramètres!$A$1:$I$89,3,0)*0.475*44/12</f>
        <v>0.87501917187642053</v>
      </c>
      <c r="AB129" s="23">
        <f>EXP(-LN(2)/2)*AB128+(1-EXP(-LN(2)/2))/(LN(2)/2)*V129*Y129*VLOOKUP('Données projet'!$B$9,Paramètres!$A$1:$I$89,3,0)*0.475*44/12</f>
        <v>1.1376059413237164E-14</v>
      </c>
      <c r="AC129" s="24">
        <f t="shared" si="57"/>
        <v>2.9931626659701345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2.3333333333333335</v>
      </c>
      <c r="AI129" s="14">
        <f>IF('Données projet'!$A$62&gt;35,AI128+AH129-AQ128,IF(A129&lt;'Données projet'!$A$62,$AF$205^A129,IF(A129='Données projet'!$A$62,'Données projet'!$B$62,AI128+AH129-AQ128)))</f>
        <v>233.66666666666654</v>
      </c>
      <c r="AJ129" s="14">
        <f>AI129*VLOOKUP('Données projet'!$B$10,Paramètres!$A$1:$I$89,3,0)*VLOOKUP('Données projet'!$B$10,Paramètres!$A$1:$I$89,5,0)</f>
        <v>236.9379999999999</v>
      </c>
      <c r="AK129" s="14">
        <f t="shared" si="89"/>
        <v>57.780234742465467</v>
      </c>
      <c r="AL129" s="22">
        <f t="shared" si="58"/>
        <v>513.30092550979384</v>
      </c>
      <c r="AM129" s="62">
        <f t="shared" si="59"/>
        <v>806.6342588431271</v>
      </c>
      <c r="AN129" s="62">
        <f ca="1">AVERAGE(OFFSET($AM$3,0,0,'Données projet'!$E$10+1,1))-AVERAGE(OFFSET($H$3,0,0,'Données projet'!$E$10+1,1))</f>
        <v>364.69354394930866</v>
      </c>
      <c r="AO129" s="62">
        <f t="shared" si="90"/>
        <v>159.6134369231965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241.00707378755914</v>
      </c>
      <c r="BJ129" s="62">
        <f t="shared" si="92"/>
        <v>239.93573789765657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1.4210854715202004E-13</v>
      </c>
      <c r="BZ129" s="14">
        <f>BY129*VLOOKUP('Données projet'!$B$12,Paramètres!$A$1:$I$89,3,0)*VLOOKUP('Données projet'!$B$12,Paramètres!$A$1:$I$89,5,0)</f>
        <v>9.5326413429575044E-14</v>
      </c>
      <c r="CA129" s="14">
        <f t="shared" si="93"/>
        <v>1.4400742856080346E-12</v>
      </c>
      <c r="CB129" s="22">
        <f t="shared" si="64"/>
        <v>2.6741562174905032E-12</v>
      </c>
      <c r="CC129" s="62">
        <f t="shared" si="65"/>
        <v>293.33333333333599</v>
      </c>
      <c r="CD129" s="62">
        <f ca="1">AVERAGE(OFFSET($CC$3,0,0,'Données projet'!$E$12+1,1))-AVERAGE(OFFSET($H$3,0,0,'Données projet'!$E$12+1,1))</f>
        <v>207.91006140109965</v>
      </c>
      <c r="CE129" s="62">
        <f t="shared" si="94"/>
        <v>164.93317437647255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1.4210854715202004E-13</v>
      </c>
      <c r="CU129" s="18">
        <f>CT129*VLOOKUP('Données projet'!$B$13,Paramètres!$A$1:$I$89,3,0)*VLOOKUP('Données projet'!$B$13,Paramètres!$A$1:$I$89,5,0)</f>
        <v>1.2192913345643319E-13</v>
      </c>
      <c r="CV129" s="14">
        <f t="shared" si="95"/>
        <v>1.7899324464546674E-12</v>
      </c>
      <c r="CW129" s="22">
        <f t="shared" si="67"/>
        <v>3.3298255850118335E-12</v>
      </c>
      <c r="CX129" s="62">
        <f t="shared" si="68"/>
        <v>293.33333333333667</v>
      </c>
      <c r="CY129" s="62">
        <f ca="1">AVERAGE(OFFSET($CX$3,0,0,'Données projet'!$E$13+1,1))-AVERAGE(OFFSET($H$3,0,0,'Données projet'!$E$13+1,1))</f>
        <v>255.77222823147724</v>
      </c>
      <c r="CZ129" s="62">
        <f t="shared" si="96"/>
        <v>199.6931080052031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2.3333333333333335</v>
      </c>
      <c r="DO129" s="13">
        <f>IF('Données projet'!$A$166&gt;35,DO128+DN129-DW128,IF(A129&lt;'Données projet'!$A$166,$DL$205^A129,IF(A129='Données projet'!$A$166,'Données projet'!$B$166,DO128+DN129-DW128)))</f>
        <v>233.66666666666654</v>
      </c>
      <c r="DP129" s="18">
        <f>DO129*VLOOKUP('Données projet'!$B$14,Paramètres!$A$1:$I$89,3,0)*VLOOKUP('Données projet'!$B$14,Paramètres!$A$1:$I$89,5,0)</f>
        <v>226.00239999999988</v>
      </c>
      <c r="DQ129" s="14">
        <f t="shared" si="97"/>
        <v>55.417426866749778</v>
      </c>
      <c r="DR129" s="22">
        <f t="shared" si="70"/>
        <v>490.1395317929223</v>
      </c>
      <c r="DS129" s="62">
        <f t="shared" si="71"/>
        <v>783.47286512625556</v>
      </c>
      <c r="DT129" s="62">
        <f ca="1">AVERAGE(OFFSET($DS$3,0,0,'Données projet'!$E$14+1,1))-AVERAGE(OFFSET($H$3,0,0,'Données projet'!$E$14+1,1))</f>
        <v>349.73011349954953</v>
      </c>
      <c r="DU129" s="62">
        <f t="shared" si="98"/>
        <v>154.08406475869634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-1.7053025658242404E-13</v>
      </c>
      <c r="O130" s="14">
        <f>N130*VLOOKUP('Données projet'!$B$9,Paramètres!$A$1:$I$89,3,0)*VLOOKUP('Données projet'!$B$9,Paramètres!$A$1:$I$89,5,0)</f>
        <v>-1.0197709343628959E-13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203.63995177374335</v>
      </c>
      <c r="T130" s="62">
        <f t="shared" si="88"/>
        <v>268.97461244918378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2.0766079921144875</v>
      </c>
      <c r="AA130" s="23">
        <f>EXP(-LN(2)/25)*AA129+(1-EXP(-LN(2)/25))/(LN(2)/25)*Calculateur!V130*Calculateur!X130*VLOOKUP('Données projet'!$B$9,Paramètres!$A$1:$I$89,3,0)*0.475*44/12</f>
        <v>0.85109172660620147</v>
      </c>
      <c r="AB130" s="23">
        <f>EXP(-LN(2)/2)*AB129+(1-EXP(-LN(2)/2))/(LN(2)/2)*V130*Y130*VLOOKUP('Données projet'!$B$9,Paramètres!$A$1:$I$89,3,0)*0.475*44/12</f>
        <v>8.0440887542810554E-15</v>
      </c>
      <c r="AC130" s="24">
        <f t="shared" si="57"/>
        <v>2.9276997187206968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2.3333333333333335</v>
      </c>
      <c r="AI130" s="14">
        <f>IF('Données projet'!$A$62&gt;35,AI129+AH130-AQ129,IF(A130&lt;'Données projet'!$A$62,$AF$205^A130,IF(A130='Données projet'!$A$62,'Données projet'!$B$62,AI129+AH130-AQ129)))</f>
        <v>235.99999999999989</v>
      </c>
      <c r="AJ130" s="14">
        <f>AI130*VLOOKUP('Données projet'!$B$10,Paramètres!$A$1:$I$89,3,0)*VLOOKUP('Données projet'!$B$10,Paramètres!$A$1:$I$89,5,0)</f>
        <v>239.30399999999989</v>
      </c>
      <c r="AK130" s="14">
        <f t="shared" si="89"/>
        <v>58.289757389975783</v>
      </c>
      <c r="AL130" s="22">
        <f t="shared" si="58"/>
        <v>518.30912745420756</v>
      </c>
      <c r="AM130" s="62">
        <f t="shared" si="59"/>
        <v>811.64246078754081</v>
      </c>
      <c r="AN130" s="62">
        <f ca="1">AVERAGE(OFFSET($AM$3,0,0,'Données projet'!$E$10+1,1))-AVERAGE(OFFSET($H$3,0,0,'Données projet'!$E$10+1,1))</f>
        <v>364.69354394930866</v>
      </c>
      <c r="AO130" s="62">
        <f t="shared" si="90"/>
        <v>159.6134369231965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241.00707378755914</v>
      </c>
      <c r="BJ130" s="62">
        <f t="shared" si="92"/>
        <v>239.93573789765657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1.4210854715202004E-13</v>
      </c>
      <c r="BZ130" s="14">
        <f>BY130*VLOOKUP('Données projet'!$B$12,Paramètres!$A$1:$I$89,3,0)*VLOOKUP('Données projet'!$B$12,Paramètres!$A$1:$I$89,5,0)</f>
        <v>9.5326413429575044E-14</v>
      </c>
      <c r="CA130" s="14">
        <f t="shared" si="93"/>
        <v>1.4400742856080346E-12</v>
      </c>
      <c r="CB130" s="22">
        <f t="shared" si="64"/>
        <v>2.6741562174905032E-12</v>
      </c>
      <c r="CC130" s="62">
        <f t="shared" si="65"/>
        <v>293.33333333333599</v>
      </c>
      <c r="CD130" s="62">
        <f ca="1">AVERAGE(OFFSET($CC$3,0,0,'Données projet'!$E$12+1,1))-AVERAGE(OFFSET($H$3,0,0,'Données projet'!$E$12+1,1))</f>
        <v>207.91006140109965</v>
      </c>
      <c r="CE130" s="62">
        <f t="shared" si="94"/>
        <v>164.93317437647255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1.4210854715202004E-13</v>
      </c>
      <c r="CU130" s="18">
        <f>CT130*VLOOKUP('Données projet'!$B$13,Paramètres!$A$1:$I$89,3,0)*VLOOKUP('Données projet'!$B$13,Paramètres!$A$1:$I$89,5,0)</f>
        <v>1.2192913345643319E-13</v>
      </c>
      <c r="CV130" s="14">
        <f t="shared" si="95"/>
        <v>1.7899324464546674E-12</v>
      </c>
      <c r="CW130" s="22">
        <f t="shared" si="67"/>
        <v>3.3298255850118335E-12</v>
      </c>
      <c r="CX130" s="62">
        <f t="shared" si="68"/>
        <v>293.33333333333667</v>
      </c>
      <c r="CY130" s="62">
        <f ca="1">AVERAGE(OFFSET($CX$3,0,0,'Données projet'!$E$13+1,1))-AVERAGE(OFFSET($H$3,0,0,'Données projet'!$E$13+1,1))</f>
        <v>255.77222823147724</v>
      </c>
      <c r="CZ130" s="62">
        <f t="shared" si="96"/>
        <v>199.6931080052031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2.3333333333333335</v>
      </c>
      <c r="DO130" s="13">
        <f>IF('Données projet'!$A$166&gt;35,DO129+DN130-DW129,IF(A130&lt;'Données projet'!$A$166,$DL$205^A130,IF(A130='Données projet'!$A$166,'Données projet'!$B$166,DO129+DN130-DW129)))</f>
        <v>235.99999999999989</v>
      </c>
      <c r="DP130" s="18">
        <f>DO130*VLOOKUP('Données projet'!$B$14,Paramètres!$A$1:$I$89,3,0)*VLOOKUP('Données projet'!$B$14,Paramètres!$A$1:$I$89,5,0)</f>
        <v>228.25919999999991</v>
      </c>
      <c r="DQ130" s="14">
        <f t="shared" si="97"/>
        <v>55.906113598141786</v>
      </c>
      <c r="DR130" s="22">
        <f t="shared" si="70"/>
        <v>494.92125451676338</v>
      </c>
      <c r="DS130" s="62">
        <f t="shared" si="71"/>
        <v>788.25458785009664</v>
      </c>
      <c r="DT130" s="62">
        <f ca="1">AVERAGE(OFFSET($DS$3,0,0,'Données projet'!$E$14+1,1))-AVERAGE(OFFSET($H$3,0,0,'Données projet'!$E$14+1,1))</f>
        <v>349.73011349954953</v>
      </c>
      <c r="DU130" s="62">
        <f t="shared" si="98"/>
        <v>154.08406475869634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-1.7053025658242404E-13</v>
      </c>
      <c r="O131" s="14">
        <f>N131*VLOOKUP('Données projet'!$B$9,Paramètres!$A$1:$I$89,3,0)*VLOOKUP('Données projet'!$B$9,Paramètres!$A$1:$I$89,5,0)</f>
        <v>-1.0197709343628959E-13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203.63995177374335</v>
      </c>
      <c r="T131" s="62">
        <f t="shared" si="88"/>
        <v>268.97461244918378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2.0358869759949307</v>
      </c>
      <c r="AA131" s="23">
        <f>EXP(-LN(2)/25)*AA130+(1-EXP(-LN(2)/25))/(LN(2)/25)*Calculateur!V131*Calculateur!X131*VLOOKUP('Données projet'!$B$9,Paramètres!$A$1:$I$89,3,0)*0.475*44/12</f>
        <v>0.82781857858518615</v>
      </c>
      <c r="AB131" s="23">
        <f>EXP(-LN(2)/2)*AB130+(1-EXP(-LN(2)/2))/(LN(2)/2)*V131*Y131*VLOOKUP('Données projet'!$B$9,Paramètres!$A$1:$I$89,3,0)*0.475*44/12</f>
        <v>5.688029706618582E-15</v>
      </c>
      <c r="AC131" s="24">
        <f t="shared" si="57"/>
        <v>2.8637055545801227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2.3333333333333335</v>
      </c>
      <c r="AI131" s="14">
        <f>IF('Données projet'!$A$62&gt;35,AI130+AH131-AQ130,IF(A131&lt;'Données projet'!$A$62,$AF$205^A131,IF(A131='Données projet'!$A$62,'Données projet'!$B$62,AI130+AH131-AQ130)))</f>
        <v>238.33333333333323</v>
      </c>
      <c r="AJ131" s="14">
        <f>AI131*VLOOKUP('Données projet'!$B$10,Paramètres!$A$1:$I$89,3,0)*VLOOKUP('Données projet'!$B$10,Paramètres!$A$1:$I$89,5,0)</f>
        <v>241.6699999999999</v>
      </c>
      <c r="AK131" s="14">
        <f t="shared" si="89"/>
        <v>58.798693981833658</v>
      </c>
      <c r="AL131" s="22">
        <f t="shared" si="58"/>
        <v>523.31630868502668</v>
      </c>
      <c r="AM131" s="62">
        <f t="shared" si="59"/>
        <v>816.64964201836005</v>
      </c>
      <c r="AN131" s="62">
        <f ca="1">AVERAGE(OFFSET($AM$3,0,0,'Données projet'!$E$10+1,1))-AVERAGE(OFFSET($H$3,0,0,'Données projet'!$E$10+1,1))</f>
        <v>364.69354394930866</v>
      </c>
      <c r="AO131" s="62">
        <f t="shared" si="90"/>
        <v>159.6134369231965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241.00707378755914</v>
      </c>
      <c r="BJ131" s="62">
        <f t="shared" si="92"/>
        <v>239.93573789765657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1.4210854715202004E-13</v>
      </c>
      <c r="BZ131" s="14">
        <f>BY131*VLOOKUP('Données projet'!$B$12,Paramètres!$A$1:$I$89,3,0)*VLOOKUP('Données projet'!$B$12,Paramètres!$A$1:$I$89,5,0)</f>
        <v>9.5326413429575044E-14</v>
      </c>
      <c r="CA131" s="14">
        <f t="shared" si="93"/>
        <v>1.4400742856080346E-12</v>
      </c>
      <c r="CB131" s="22">
        <f t="shared" si="64"/>
        <v>2.6741562174905032E-12</v>
      </c>
      <c r="CC131" s="62">
        <f t="shared" si="65"/>
        <v>293.33333333333599</v>
      </c>
      <c r="CD131" s="62">
        <f ca="1">AVERAGE(OFFSET($CC$3,0,0,'Données projet'!$E$12+1,1))-AVERAGE(OFFSET($H$3,0,0,'Données projet'!$E$12+1,1))</f>
        <v>207.91006140109965</v>
      </c>
      <c r="CE131" s="62">
        <f t="shared" si="94"/>
        <v>164.93317437647255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1.4210854715202004E-13</v>
      </c>
      <c r="CU131" s="18">
        <f>CT131*VLOOKUP('Données projet'!$B$13,Paramètres!$A$1:$I$89,3,0)*VLOOKUP('Données projet'!$B$13,Paramètres!$A$1:$I$89,5,0)</f>
        <v>1.2192913345643319E-13</v>
      </c>
      <c r="CV131" s="14">
        <f t="shared" si="95"/>
        <v>1.7899324464546674E-12</v>
      </c>
      <c r="CW131" s="22">
        <f t="shared" si="67"/>
        <v>3.3298255850118335E-12</v>
      </c>
      <c r="CX131" s="62">
        <f t="shared" si="68"/>
        <v>293.33333333333667</v>
      </c>
      <c r="CY131" s="62">
        <f ca="1">AVERAGE(OFFSET($CX$3,0,0,'Données projet'!$E$13+1,1))-AVERAGE(OFFSET($H$3,0,0,'Données projet'!$E$13+1,1))</f>
        <v>255.77222823147724</v>
      </c>
      <c r="CZ131" s="62">
        <f t="shared" si="96"/>
        <v>199.6931080052031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2.3333333333333335</v>
      </c>
      <c r="DO131" s="13">
        <f>IF('Données projet'!$A$166&gt;35,DO130+DN131-DW130,IF(A131&lt;'Données projet'!$A$166,$DL$205^A131,IF(A131='Données projet'!$A$166,'Données projet'!$B$166,DO130+DN131-DW130)))</f>
        <v>238.33333333333323</v>
      </c>
      <c r="DP131" s="18">
        <f>DO131*VLOOKUP('Données projet'!$B$14,Paramètres!$A$1:$I$89,3,0)*VLOOKUP('Données projet'!$B$14,Paramètres!$A$1:$I$89,5,0)</f>
        <v>230.51599999999991</v>
      </c>
      <c r="DQ131" s="14">
        <f t="shared" si="97"/>
        <v>56.394238239462517</v>
      </c>
      <c r="DR131" s="22">
        <f t="shared" si="70"/>
        <v>499.70199826706374</v>
      </c>
      <c r="DS131" s="62">
        <f t="shared" si="71"/>
        <v>793.03533160039706</v>
      </c>
      <c r="DT131" s="62">
        <f ca="1">AVERAGE(OFFSET($DS$3,0,0,'Données projet'!$E$14+1,1))-AVERAGE(OFFSET($H$3,0,0,'Données projet'!$E$14+1,1))</f>
        <v>349.73011349954953</v>
      </c>
      <c r="DU131" s="62">
        <f t="shared" si="98"/>
        <v>154.08406475869634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-1.7053025658242404E-13</v>
      </c>
      <c r="O132" s="14">
        <f>N132*VLOOKUP('Données projet'!$B$9,Paramètres!$A$1:$I$89,3,0)*VLOOKUP('Données projet'!$B$9,Paramètres!$A$1:$I$89,5,0)</f>
        <v>-1.0197709343628959E-13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203.63995177374335</v>
      </c>
      <c r="T132" s="62">
        <f t="shared" si="88"/>
        <v>268.97461244918378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1.9959644741641112</v>
      </c>
      <c r="AA132" s="23">
        <f>EXP(-LN(2)/25)*AA131+(1-EXP(-LN(2)/25))/(LN(2)/25)*Calculateur!V132*Calculateur!X132*VLOOKUP('Données projet'!$B$9,Paramètres!$A$1:$I$89,3,0)*0.475*44/12</f>
        <v>0.80518183602068716</v>
      </c>
      <c r="AB132" s="23">
        <f>EXP(-LN(2)/2)*AB131+(1-EXP(-LN(2)/2))/(LN(2)/2)*V132*Y132*VLOOKUP('Données projet'!$B$9,Paramètres!$A$1:$I$89,3,0)*0.475*44/12</f>
        <v>4.0220443771405277E-15</v>
      </c>
      <c r="AC132" s="24">
        <f t="shared" ref="AC132:AC153" si="111">SUM(Z132:AB132)</f>
        <v>2.8011463101848024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2.3333333333333335</v>
      </c>
      <c r="AI132" s="14">
        <f>IF('Données projet'!$A$62&gt;35,AI131+AH132-AQ131,IF(A132&lt;'Données projet'!$A$62,$AF$205^A132,IF(A132='Données projet'!$A$62,'Données projet'!$B$62,AI131+AH132-AQ131)))</f>
        <v>240.66666666666657</v>
      </c>
      <c r="AJ132" s="14">
        <f>AI132*VLOOKUP('Données projet'!$B$10,Paramètres!$A$1:$I$89,3,0)*VLOOKUP('Données projet'!$B$10,Paramètres!$A$1:$I$89,5,0)</f>
        <v>244.03599999999992</v>
      </c>
      <c r="AK132" s="14">
        <f t="shared" si="89"/>
        <v>59.307050920061414</v>
      </c>
      <c r="AL132" s="22">
        <f t="shared" ref="AL132:AL153" si="112">(AJ132+AK132)*0.475*44/12</f>
        <v>528.32248035244015</v>
      </c>
      <c r="AM132" s="62">
        <f t="shared" ref="AM132:AM195" si="113">AL132+(AD132+AE132)*44/12</f>
        <v>821.65581368577341</v>
      </c>
      <c r="AN132" s="62">
        <f ca="1">AVERAGE(OFFSET($AM$3,0,0,'Données projet'!$E$10+1,1))-AVERAGE(OFFSET($H$3,0,0,'Données projet'!$E$10+1,1))</f>
        <v>364.69354394930866</v>
      </c>
      <c r="AO132" s="62">
        <f t="shared" si="90"/>
        <v>159.6134369231965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241.00707378755914</v>
      </c>
      <c r="BJ132" s="62">
        <f t="shared" si="92"/>
        <v>239.93573789765657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1.4210854715202004E-13</v>
      </c>
      <c r="BZ132" s="14">
        <f>BY132*VLOOKUP('Données projet'!$B$12,Paramètres!$A$1:$I$89,3,0)*VLOOKUP('Données projet'!$B$12,Paramètres!$A$1:$I$89,5,0)</f>
        <v>9.5326413429575044E-14</v>
      </c>
      <c r="CA132" s="14">
        <f t="shared" si="93"/>
        <v>1.4400742856080346E-12</v>
      </c>
      <c r="CB132" s="22">
        <f t="shared" ref="CB132:CB153" si="118">(BZ132+CA132)*0.475*44/12</f>
        <v>2.6741562174905032E-12</v>
      </c>
      <c r="CC132" s="62">
        <f t="shared" ref="CC132:CC195" si="119">CB132+(BT132+BU132)*44/12</f>
        <v>293.33333333333599</v>
      </c>
      <c r="CD132" s="62">
        <f ca="1">AVERAGE(OFFSET($CC$3,0,0,'Données projet'!$E$12+1,1))-AVERAGE(OFFSET($H$3,0,0,'Données projet'!$E$12+1,1))</f>
        <v>207.91006140109965</v>
      </c>
      <c r="CE132" s="62">
        <f t="shared" si="94"/>
        <v>164.93317437647255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1.4210854715202004E-13</v>
      </c>
      <c r="CU132" s="18">
        <f>CT132*VLOOKUP('Données projet'!$B$13,Paramètres!$A$1:$I$89,3,0)*VLOOKUP('Données projet'!$B$13,Paramètres!$A$1:$I$89,5,0)</f>
        <v>1.2192913345643319E-13</v>
      </c>
      <c r="CV132" s="14">
        <f t="shared" si="95"/>
        <v>1.7899324464546674E-12</v>
      </c>
      <c r="CW132" s="22">
        <f t="shared" ref="CW132:CW153" si="121">(CU132+CV132)*0.475*44/12</f>
        <v>3.3298255850118335E-12</v>
      </c>
      <c r="CX132" s="62">
        <f t="shared" ref="CX132:CX195" si="122">CW132+(CO132+CP132)*44/12</f>
        <v>293.33333333333667</v>
      </c>
      <c r="CY132" s="62">
        <f ca="1">AVERAGE(OFFSET($CX$3,0,0,'Données projet'!$E$13+1,1))-AVERAGE(OFFSET($H$3,0,0,'Données projet'!$E$13+1,1))</f>
        <v>255.77222823147724</v>
      </c>
      <c r="CZ132" s="62">
        <f t="shared" si="96"/>
        <v>199.6931080052031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2.3333333333333335</v>
      </c>
      <c r="DO132" s="13">
        <f>IF('Données projet'!$A$166&gt;35,DO131+DN132-DW131,IF(A132&lt;'Données projet'!$A$166,$DL$205^A132,IF(A132='Données projet'!$A$166,'Données projet'!$B$166,DO131+DN132-DW131)))</f>
        <v>240.66666666666657</v>
      </c>
      <c r="DP132" s="18">
        <f>DO132*VLOOKUP('Données projet'!$B$14,Paramètres!$A$1:$I$89,3,0)*VLOOKUP('Données projet'!$B$14,Paramètres!$A$1:$I$89,5,0)</f>
        <v>232.77279999999993</v>
      </c>
      <c r="DQ132" s="14">
        <f t="shared" si="97"/>
        <v>56.88180693093642</v>
      </c>
      <c r="DR132" s="22">
        <f t="shared" ref="DR132:DR153" si="124">(DP132+DQ132)*0.475*44/12</f>
        <v>504.48177373804742</v>
      </c>
      <c r="DS132" s="62">
        <f t="shared" ref="DS132:DS195" si="125">DR132+(DJ132+DK132)*44/12</f>
        <v>797.81510707138068</v>
      </c>
      <c r="DT132" s="62">
        <f ca="1">AVERAGE(OFFSET($DS$3,0,0,'Données projet'!$E$14+1,1))-AVERAGE(OFFSET($H$3,0,0,'Données projet'!$E$14+1,1))</f>
        <v>349.73011349954953</v>
      </c>
      <c r="DU132" s="62">
        <f t="shared" si="98"/>
        <v>154.08406475869634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-1.7053025658242404E-13</v>
      </c>
      <c r="O133" s="14">
        <f>N133*VLOOKUP('Données projet'!$B$9,Paramètres!$A$1:$I$89,3,0)*VLOOKUP('Données projet'!$B$9,Paramètres!$A$1:$I$89,5,0)</f>
        <v>-1.0197709343628959E-13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203.63995177374335</v>
      </c>
      <c r="T133" s="62">
        <f t="shared" ref="T133:T196" si="142">$T$3</f>
        <v>268.97461244918378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1.956824828243872</v>
      </c>
      <c r="AA133" s="23">
        <f>EXP(-LN(2)/25)*AA132+(1-EXP(-LN(2)/25))/(LN(2)/25)*Calculateur!V133*Calculateur!X133*VLOOKUP('Données projet'!$B$9,Paramètres!$A$1:$I$89,3,0)*0.475*44/12</f>
        <v>0.78316409637202899</v>
      </c>
      <c r="AB133" s="23">
        <f>EXP(-LN(2)/2)*AB132+(1-EXP(-LN(2)/2))/(LN(2)/2)*V133*Y133*VLOOKUP('Données projet'!$B$9,Paramètres!$A$1:$I$89,3,0)*0.475*44/12</f>
        <v>2.844014853309291E-15</v>
      </c>
      <c r="AC133" s="24">
        <f t="shared" si="111"/>
        <v>2.7399889246159037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243</v>
      </c>
      <c r="AG133" s="13">
        <f>VLOOKUP(A133,'Données projet'!$A$61:$I$81,9,0)</f>
        <v>2.3333333333333335</v>
      </c>
      <c r="AH133" s="13">
        <f t="array" ref="AH133">INDEX(AG:AG,MIN(IF(ISNUMBER(AG133:AG329),ROW(AG133:AG329),"")))</f>
        <v>2.3333333333333335</v>
      </c>
      <c r="AI133" s="14">
        <f>IF('Données projet'!$A$62&gt;35,AI132+AH133-AQ132,IF(A133&lt;'Données projet'!$A$62,$AF$205^A133,IF(A133='Données projet'!$A$62,'Données projet'!$B$62,AI132+AH133-AQ132)))</f>
        <v>242.99999999999991</v>
      </c>
      <c r="AJ133" s="14">
        <f>AI133*VLOOKUP('Données projet'!$B$10,Paramètres!$A$1:$I$89,3,0)*VLOOKUP('Données projet'!$B$10,Paramètres!$A$1:$I$89,5,0)</f>
        <v>246.40199999999996</v>
      </c>
      <c r="AK133" s="14">
        <f t="shared" ref="AK133:AK153" si="143">EXP(-1.0587+0.8836*LN(AJ133)+0.284)</f>
        <v>59.814834475385474</v>
      </c>
      <c r="AL133" s="22">
        <f t="shared" si="112"/>
        <v>533.32765337796297</v>
      </c>
      <c r="AM133" s="62">
        <f t="shared" si="113"/>
        <v>826.66098671129635</v>
      </c>
      <c r="AN133" s="62">
        <f ca="1">AVERAGE(OFFSET($AM$3,0,0,'Données projet'!$E$10+1,1))-AVERAGE(OFFSET($H$3,0,0,'Données projet'!$E$10+1,1))</f>
        <v>364.69354394930866</v>
      </c>
      <c r="AO133" s="62">
        <f t="shared" ref="AO133:AO196" si="144">$AO$3</f>
        <v>159.6134369231965</v>
      </c>
      <c r="AP133" s="16">
        <f>IF(ISNA(VLOOKUP(A133,'Données projet'!$A$61:$I$81,3,0)),0,VLOOKUP(A133,'Données projet'!$A$61:$I$81,3,0))</f>
        <v>9</v>
      </c>
      <c r="AQ133" s="16">
        <f>IF(ISNA(VLOOKUP(A133,'Données projet'!$A$61:$I$81,4,0)),0,VLOOKUP(A133,'Données projet'!$A$61:$I$81,4,0))</f>
        <v>33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241.00707378755914</v>
      </c>
      <c r="BJ133" s="62">
        <f t="shared" ref="BJ133:BJ196" si="146">$BJ$3</f>
        <v>239.93573789765657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1.4210854715202004E-13</v>
      </c>
      <c r="BZ133" s="14">
        <f>BY133*VLOOKUP('Données projet'!$B$12,Paramètres!$A$1:$I$89,3,0)*VLOOKUP('Données projet'!$B$12,Paramètres!$A$1:$I$89,5,0)</f>
        <v>9.5326413429575044E-14</v>
      </c>
      <c r="CA133" s="14">
        <f t="shared" ref="CA133:CA153" si="147">EXP(-1.0587+0.8836*LN(BZ133)+0.284)</f>
        <v>1.4400742856080346E-12</v>
      </c>
      <c r="CB133" s="22">
        <f t="shared" si="118"/>
        <v>2.6741562174905032E-12</v>
      </c>
      <c r="CC133" s="62">
        <f t="shared" si="119"/>
        <v>293.33333333333599</v>
      </c>
      <c r="CD133" s="62">
        <f ca="1">AVERAGE(OFFSET($CC$3,0,0,'Données projet'!$E$12+1,1))-AVERAGE(OFFSET($H$3,0,0,'Données projet'!$E$12+1,1))</f>
        <v>207.91006140109965</v>
      </c>
      <c r="CE133" s="62">
        <f t="shared" ref="CE133:CE196" si="148">$CE$3</f>
        <v>164.93317437647255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1.4210854715202004E-13</v>
      </c>
      <c r="CU133" s="18">
        <f>CT133*VLOOKUP('Données projet'!$B$13,Paramètres!$A$1:$I$89,3,0)*VLOOKUP('Données projet'!$B$13,Paramètres!$A$1:$I$89,5,0)</f>
        <v>1.2192913345643319E-13</v>
      </c>
      <c r="CV133" s="14">
        <f t="shared" ref="CV133:CV153" si="149">EXP(-1.0587+0.8836*LN(CU133)+0.284)</f>
        <v>1.7899324464546674E-12</v>
      </c>
      <c r="CW133" s="22">
        <f t="shared" si="121"/>
        <v>3.3298255850118335E-12</v>
      </c>
      <c r="CX133" s="62">
        <f t="shared" si="122"/>
        <v>293.33333333333667</v>
      </c>
      <c r="CY133" s="62">
        <f ca="1">AVERAGE(OFFSET($CX$3,0,0,'Données projet'!$E$13+1,1))-AVERAGE(OFFSET($H$3,0,0,'Données projet'!$E$13+1,1))</f>
        <v>255.77222823147724</v>
      </c>
      <c r="CZ133" s="62">
        <f t="shared" ref="CZ133:CZ196" si="150">$CZ$3</f>
        <v>199.6931080052031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243</v>
      </c>
      <c r="DM133" s="13">
        <f>VLOOKUP(A133,'Données projet'!$A$165:$I$185,9,0)</f>
        <v>2.3333333333333335</v>
      </c>
      <c r="DN133" s="13">
        <f t="array" ref="DN133">INDEX(DM:DM,MIN(IF(ISNUMBER(DM133:DM329),ROW(DM133:DM329),"")))</f>
        <v>2.3333333333333335</v>
      </c>
      <c r="DO133" s="13">
        <f>IF('Données projet'!$A$166&gt;35,DO132+DN133-DW132,IF(A133&lt;'Données projet'!$A$166,$DL$205^A133,IF(A133='Données projet'!$A$166,'Données projet'!$B$166,DO132+DN133-DW132)))</f>
        <v>242.99999999999991</v>
      </c>
      <c r="DP133" s="18">
        <f>DO133*VLOOKUP('Données projet'!$B$14,Paramètres!$A$1:$I$89,3,0)*VLOOKUP('Données projet'!$B$14,Paramètres!$A$1:$I$89,5,0)</f>
        <v>235.0295999999999</v>
      </c>
      <c r="DQ133" s="14">
        <f t="shared" ref="DQ133:DQ153" si="151">EXP(-1.0587+0.8836*LN(DP133)+0.284)</f>
        <v>57.368825686861157</v>
      </c>
      <c r="DR133" s="22">
        <f t="shared" si="124"/>
        <v>509.26059140461626</v>
      </c>
      <c r="DS133" s="62">
        <f t="shared" si="125"/>
        <v>802.59392473794958</v>
      </c>
      <c r="DT133" s="62">
        <f ca="1">AVERAGE(OFFSET($DS$3,0,0,'Données projet'!$E$14+1,1))-AVERAGE(OFFSET($H$3,0,0,'Données projet'!$E$14+1,1))</f>
        <v>349.73011349954953</v>
      </c>
      <c r="DU133" s="62">
        <f t="shared" ref="DU133:DU196" si="152">$DU$3</f>
        <v>154.08406475869634</v>
      </c>
      <c r="DV133" s="16">
        <f>IF(ISNA(VLOOKUP(A133,'Données projet'!$A$165:$I$185,3,0)),0,VLOOKUP(A133,'Données projet'!$A$165:$I$185,3,0))</f>
        <v>9</v>
      </c>
      <c r="DW133" s="16">
        <f>IF(ISNA(VLOOKUP(A133,'Données projet'!$A$165:$I$185,4,0)),0,VLOOKUP(A133,'Données projet'!$A$165:$I$185,4,0))</f>
        <v>33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-1.7053025658242404E-13</v>
      </c>
      <c r="O134" s="14">
        <f>N134*VLOOKUP('Données projet'!$B$9,Paramètres!$A$1:$I$89,3,0)*VLOOKUP('Données projet'!$B$9,Paramètres!$A$1:$I$89,5,0)</f>
        <v>-1.0197709343628959E-13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203.63995177374335</v>
      </c>
      <c r="T134" s="62">
        <f t="shared" si="142"/>
        <v>268.97461244918378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1.9184526869073022</v>
      </c>
      <c r="AA134" s="23">
        <f>EXP(-LN(2)/25)*AA133+(1-EXP(-LN(2)/25))/(LN(2)/25)*Calculateur!V134*Calculateur!X134*VLOOKUP('Données projet'!$B$9,Paramètres!$A$1:$I$89,3,0)*0.475*44/12</f>
        <v>0.76174843297192596</v>
      </c>
      <c r="AB134" s="23">
        <f>EXP(-LN(2)/2)*AB133+(1-EXP(-LN(2)/2))/(LN(2)/2)*V134*Y134*VLOOKUP('Données projet'!$B$9,Paramètres!$A$1:$I$89,3,0)*0.475*44/12</f>
        <v>2.0110221885702638E-15</v>
      </c>
      <c r="AC134" s="24">
        <f t="shared" si="111"/>
        <v>2.6802011198792304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1.1000000000000001</v>
      </c>
      <c r="AI134" s="14">
        <f>IF('Données projet'!$A$62&gt;35,AI133+AH134-AQ133,IF(A134&lt;'Données projet'!$A$62,$AF$205^A134,IF(A134='Données projet'!$A$62,'Données projet'!$B$62,AI133+AH134-AQ133)))</f>
        <v>211.09999999999991</v>
      </c>
      <c r="AJ134" s="14">
        <f>AI134*VLOOKUP('Données projet'!$B$10,Paramètres!$A$1:$I$89,3,0)*VLOOKUP('Données projet'!$B$10,Paramètres!$A$1:$I$89,5,0)</f>
        <v>214.05539999999993</v>
      </c>
      <c r="AK134" s="14">
        <f t="shared" si="143"/>
        <v>52.820803686054965</v>
      </c>
      <c r="AL134" s="22">
        <f t="shared" si="112"/>
        <v>464.8093880865456</v>
      </c>
      <c r="AM134" s="62">
        <f t="shared" si="113"/>
        <v>758.14272141987885</v>
      </c>
      <c r="AN134" s="62">
        <f ca="1">AVERAGE(OFFSET($AM$3,0,0,'Données projet'!$E$10+1,1))-AVERAGE(OFFSET($H$3,0,0,'Données projet'!$E$10+1,1))</f>
        <v>364.69354394930866</v>
      </c>
      <c r="AO134" s="62">
        <f t="shared" si="144"/>
        <v>159.6134369231965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241.00707378755914</v>
      </c>
      <c r="BJ134" s="62">
        <f t="shared" si="146"/>
        <v>239.93573789765657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1.4210854715202004E-13</v>
      </c>
      <c r="BZ134" s="14">
        <f>BY134*VLOOKUP('Données projet'!$B$12,Paramètres!$A$1:$I$89,3,0)*VLOOKUP('Données projet'!$B$12,Paramètres!$A$1:$I$89,5,0)</f>
        <v>9.5326413429575044E-14</v>
      </c>
      <c r="CA134" s="14">
        <f t="shared" si="147"/>
        <v>1.4400742856080346E-12</v>
      </c>
      <c r="CB134" s="22">
        <f t="shared" si="118"/>
        <v>2.6741562174905032E-12</v>
      </c>
      <c r="CC134" s="62">
        <f t="shared" si="119"/>
        <v>293.33333333333599</v>
      </c>
      <c r="CD134" s="62">
        <f ca="1">AVERAGE(OFFSET($CC$3,0,0,'Données projet'!$E$12+1,1))-AVERAGE(OFFSET($H$3,0,0,'Données projet'!$E$12+1,1))</f>
        <v>207.91006140109965</v>
      </c>
      <c r="CE134" s="62">
        <f t="shared" si="148"/>
        <v>164.93317437647255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1.4210854715202004E-13</v>
      </c>
      <c r="CU134" s="18">
        <f>CT134*VLOOKUP('Données projet'!$B$13,Paramètres!$A$1:$I$89,3,0)*VLOOKUP('Données projet'!$B$13,Paramètres!$A$1:$I$89,5,0)</f>
        <v>1.2192913345643319E-13</v>
      </c>
      <c r="CV134" s="14">
        <f t="shared" si="149"/>
        <v>1.7899324464546674E-12</v>
      </c>
      <c r="CW134" s="22">
        <f t="shared" si="121"/>
        <v>3.3298255850118335E-12</v>
      </c>
      <c r="CX134" s="62">
        <f t="shared" si="122"/>
        <v>293.33333333333667</v>
      </c>
      <c r="CY134" s="62">
        <f ca="1">AVERAGE(OFFSET($CX$3,0,0,'Données projet'!$E$13+1,1))-AVERAGE(OFFSET($H$3,0,0,'Données projet'!$E$13+1,1))</f>
        <v>255.77222823147724</v>
      </c>
      <c r="CZ134" s="62">
        <f t="shared" si="150"/>
        <v>199.6931080052031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1.1000000000000001</v>
      </c>
      <c r="DO134" s="13">
        <f>IF('Données projet'!$A$166&gt;35,DO133+DN134-DW133,IF(A134&lt;'Données projet'!$A$166,$DL$205^A134,IF(A134='Données projet'!$A$166,'Données projet'!$B$166,DO133+DN134-DW133)))</f>
        <v>211.09999999999991</v>
      </c>
      <c r="DP134" s="18">
        <f>DO134*VLOOKUP('Données projet'!$B$14,Paramètres!$A$1:$I$89,3,0)*VLOOKUP('Données projet'!$B$14,Paramètres!$A$1:$I$89,5,0)</f>
        <v>204.17591999999993</v>
      </c>
      <c r="DQ134" s="14">
        <f t="shared" si="151"/>
        <v>50.660801887735516</v>
      </c>
      <c r="DR134" s="22">
        <f t="shared" si="124"/>
        <v>443.84062395447262</v>
      </c>
      <c r="DS134" s="62">
        <f t="shared" si="125"/>
        <v>737.17395728780593</v>
      </c>
      <c r="DT134" s="62">
        <f ca="1">AVERAGE(OFFSET($DS$3,0,0,'Données projet'!$E$14+1,1))-AVERAGE(OFFSET($H$3,0,0,'Données projet'!$E$14+1,1))</f>
        <v>349.73011349954953</v>
      </c>
      <c r="DU134" s="62">
        <f t="shared" si="152"/>
        <v>154.08406475869634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-1.7053025658242404E-13</v>
      </c>
      <c r="O135" s="14">
        <f>N135*VLOOKUP('Données projet'!$B$9,Paramètres!$A$1:$I$89,3,0)*VLOOKUP('Données projet'!$B$9,Paramètres!$A$1:$I$89,5,0)</f>
        <v>-1.0197709343628959E-13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203.63995177374335</v>
      </c>
      <c r="T135" s="62">
        <f t="shared" si="142"/>
        <v>268.97461244918378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1.8808329998576472</v>
      </c>
      <c r="AA135" s="23">
        <f>EXP(-LN(2)/25)*AA134+(1-EXP(-LN(2)/25))/(LN(2)/25)*Calculateur!V135*Calculateur!X135*VLOOKUP('Données projet'!$B$9,Paramètres!$A$1:$I$89,3,0)*0.475*44/12</f>
        <v>0.74091838201369953</v>
      </c>
      <c r="AB135" s="23">
        <f>EXP(-LN(2)/2)*AB134+(1-EXP(-LN(2)/2))/(LN(2)/2)*V135*Y135*VLOOKUP('Données projet'!$B$9,Paramètres!$A$1:$I$89,3,0)*0.475*44/12</f>
        <v>1.4220074266546455E-15</v>
      </c>
      <c r="AC135" s="24">
        <f t="shared" si="111"/>
        <v>2.621751381871348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1.1000000000000001</v>
      </c>
      <c r="AI135" s="14">
        <f>IF('Données projet'!$A$62&gt;35,AI134+AH135-AQ134,IF(A135&lt;'Données projet'!$A$62,$AF$205^A135,IF(A135='Données projet'!$A$62,'Données projet'!$B$62,AI134+AH135-AQ134)))</f>
        <v>212.1999999999999</v>
      </c>
      <c r="AJ135" s="14">
        <f>AI135*VLOOKUP('Données projet'!$B$10,Paramètres!$A$1:$I$89,3,0)*VLOOKUP('Données projet'!$B$10,Paramètres!$A$1:$I$89,5,0)</f>
        <v>215.17079999999993</v>
      </c>
      <c r="AK135" s="14">
        <f t="shared" si="143"/>
        <v>53.063930965723564</v>
      </c>
      <c r="AL135" s="22">
        <f t="shared" si="112"/>
        <v>467.17548976530173</v>
      </c>
      <c r="AM135" s="62">
        <f t="shared" si="113"/>
        <v>760.50882309863505</v>
      </c>
      <c r="AN135" s="62">
        <f ca="1">AVERAGE(OFFSET($AM$3,0,0,'Données projet'!$E$10+1,1))-AVERAGE(OFFSET($H$3,0,0,'Données projet'!$E$10+1,1))</f>
        <v>364.69354394930866</v>
      </c>
      <c r="AO135" s="62">
        <f t="shared" si="144"/>
        <v>159.6134369231965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241.00707378755914</v>
      </c>
      <c r="BJ135" s="62">
        <f t="shared" si="146"/>
        <v>239.93573789765657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1.4210854715202004E-13</v>
      </c>
      <c r="BZ135" s="14">
        <f>BY135*VLOOKUP('Données projet'!$B$12,Paramètres!$A$1:$I$89,3,0)*VLOOKUP('Données projet'!$B$12,Paramètres!$A$1:$I$89,5,0)</f>
        <v>9.5326413429575044E-14</v>
      </c>
      <c r="CA135" s="14">
        <f t="shared" si="147"/>
        <v>1.4400742856080346E-12</v>
      </c>
      <c r="CB135" s="22">
        <f t="shared" si="118"/>
        <v>2.6741562174905032E-12</v>
      </c>
      <c r="CC135" s="62">
        <f t="shared" si="119"/>
        <v>293.33333333333599</v>
      </c>
      <c r="CD135" s="62">
        <f ca="1">AVERAGE(OFFSET($CC$3,0,0,'Données projet'!$E$12+1,1))-AVERAGE(OFFSET($H$3,0,0,'Données projet'!$E$12+1,1))</f>
        <v>207.91006140109965</v>
      </c>
      <c r="CE135" s="62">
        <f t="shared" si="148"/>
        <v>164.93317437647255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1.4210854715202004E-13</v>
      </c>
      <c r="CU135" s="18">
        <f>CT135*VLOOKUP('Données projet'!$B$13,Paramètres!$A$1:$I$89,3,0)*VLOOKUP('Données projet'!$B$13,Paramètres!$A$1:$I$89,5,0)</f>
        <v>1.2192913345643319E-13</v>
      </c>
      <c r="CV135" s="14">
        <f t="shared" si="149"/>
        <v>1.7899324464546674E-12</v>
      </c>
      <c r="CW135" s="22">
        <f t="shared" si="121"/>
        <v>3.3298255850118335E-12</v>
      </c>
      <c r="CX135" s="62">
        <f t="shared" si="122"/>
        <v>293.33333333333667</v>
      </c>
      <c r="CY135" s="62">
        <f ca="1">AVERAGE(OFFSET($CX$3,0,0,'Données projet'!$E$13+1,1))-AVERAGE(OFFSET($H$3,0,0,'Données projet'!$E$13+1,1))</f>
        <v>255.77222823147724</v>
      </c>
      <c r="CZ135" s="62">
        <f t="shared" si="150"/>
        <v>199.6931080052031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1.1000000000000001</v>
      </c>
      <c r="DO135" s="13">
        <f>IF('Données projet'!$A$166&gt;35,DO134+DN135-DW134,IF(A135&lt;'Données projet'!$A$166,$DL$205^A135,IF(A135='Données projet'!$A$166,'Données projet'!$B$166,DO134+DN135-DW134)))</f>
        <v>212.1999999999999</v>
      </c>
      <c r="DP135" s="18">
        <f>DO135*VLOOKUP('Données projet'!$B$14,Paramètres!$A$1:$I$89,3,0)*VLOOKUP('Données projet'!$B$14,Paramètres!$A$1:$I$89,5,0)</f>
        <v>205.2398399999999</v>
      </c>
      <c r="DQ135" s="14">
        <f t="shared" si="151"/>
        <v>50.893986960458122</v>
      </c>
      <c r="DR135" s="22">
        <f t="shared" si="124"/>
        <v>446.09974862279768</v>
      </c>
      <c r="DS135" s="62">
        <f t="shared" si="125"/>
        <v>739.43308195613099</v>
      </c>
      <c r="DT135" s="62">
        <f ca="1">AVERAGE(OFFSET($DS$3,0,0,'Données projet'!$E$14+1,1))-AVERAGE(OFFSET($H$3,0,0,'Données projet'!$E$14+1,1))</f>
        <v>349.73011349954953</v>
      </c>
      <c r="DU135" s="62">
        <f t="shared" si="152"/>
        <v>154.08406475869634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-1.7053025658242404E-13</v>
      </c>
      <c r="O136" s="14">
        <f>N136*VLOOKUP('Données projet'!$B$9,Paramètres!$A$1:$I$89,3,0)*VLOOKUP('Données projet'!$B$9,Paramètres!$A$1:$I$89,5,0)</f>
        <v>-1.0197709343628959E-13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203.63995177374335</v>
      </c>
      <c r="T136" s="62">
        <f t="shared" si="142"/>
        <v>268.97461244918378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1.8439510119252926</v>
      </c>
      <c r="AA136" s="23">
        <f>EXP(-LN(2)/25)*AA135+(1-EXP(-LN(2)/25))/(LN(2)/25)*Calculateur!V136*Calculateur!X136*VLOOKUP('Données projet'!$B$9,Paramètres!$A$1:$I$89,3,0)*0.475*44/12</f>
        <v>0.72065792989433064</v>
      </c>
      <c r="AB136" s="23">
        <f>EXP(-LN(2)/2)*AB135+(1-EXP(-LN(2)/2))/(LN(2)/2)*V136*Y136*VLOOKUP('Données projet'!$B$9,Paramètres!$A$1:$I$89,3,0)*0.475*44/12</f>
        <v>1.0055110942851319E-15</v>
      </c>
      <c r="AC136" s="24">
        <f t="shared" si="111"/>
        <v>2.5646089418196243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1.1000000000000001</v>
      </c>
      <c r="AI136" s="14">
        <f>IF('Données projet'!$A$62&gt;35,AI135+AH136-AQ135,IF(A136&lt;'Données projet'!$A$62,$AF$205^A136,IF(A136='Données projet'!$A$62,'Données projet'!$B$62,AI135+AH136-AQ135)))</f>
        <v>213.2999999999999</v>
      </c>
      <c r="AJ136" s="14">
        <f>AI136*VLOOKUP('Données projet'!$B$10,Paramètres!$A$1:$I$89,3,0)*VLOOKUP('Données projet'!$B$10,Paramètres!$A$1:$I$89,5,0)</f>
        <v>216.28619999999989</v>
      </c>
      <c r="AK136" s="14">
        <f t="shared" si="143"/>
        <v>53.306911587642915</v>
      </c>
      <c r="AL136" s="22">
        <f t="shared" si="112"/>
        <v>469.54133601514451</v>
      </c>
      <c r="AM136" s="62">
        <f t="shared" si="113"/>
        <v>762.87466934847782</v>
      </c>
      <c r="AN136" s="62">
        <f ca="1">AVERAGE(OFFSET($AM$3,0,0,'Données projet'!$E$10+1,1))-AVERAGE(OFFSET($H$3,0,0,'Données projet'!$E$10+1,1))</f>
        <v>364.69354394930866</v>
      </c>
      <c r="AO136" s="62">
        <f t="shared" si="144"/>
        <v>159.6134369231965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241.00707378755914</v>
      </c>
      <c r="BJ136" s="62">
        <f t="shared" si="146"/>
        <v>239.93573789765657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1.4210854715202004E-13</v>
      </c>
      <c r="BZ136" s="14">
        <f>BY136*VLOOKUP('Données projet'!$B$12,Paramètres!$A$1:$I$89,3,0)*VLOOKUP('Données projet'!$B$12,Paramètres!$A$1:$I$89,5,0)</f>
        <v>9.5326413429575044E-14</v>
      </c>
      <c r="CA136" s="14">
        <f t="shared" si="147"/>
        <v>1.4400742856080346E-12</v>
      </c>
      <c r="CB136" s="22">
        <f t="shared" si="118"/>
        <v>2.6741562174905032E-12</v>
      </c>
      <c r="CC136" s="62">
        <f t="shared" si="119"/>
        <v>293.33333333333599</v>
      </c>
      <c r="CD136" s="62">
        <f ca="1">AVERAGE(OFFSET($CC$3,0,0,'Données projet'!$E$12+1,1))-AVERAGE(OFFSET($H$3,0,0,'Données projet'!$E$12+1,1))</f>
        <v>207.91006140109965</v>
      </c>
      <c r="CE136" s="62">
        <f t="shared" si="148"/>
        <v>164.93317437647255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1.4210854715202004E-13</v>
      </c>
      <c r="CU136" s="18">
        <f>CT136*VLOOKUP('Données projet'!$B$13,Paramètres!$A$1:$I$89,3,0)*VLOOKUP('Données projet'!$B$13,Paramètres!$A$1:$I$89,5,0)</f>
        <v>1.2192913345643319E-13</v>
      </c>
      <c r="CV136" s="14">
        <f t="shared" si="149"/>
        <v>1.7899324464546674E-12</v>
      </c>
      <c r="CW136" s="22">
        <f t="shared" si="121"/>
        <v>3.3298255850118335E-12</v>
      </c>
      <c r="CX136" s="62">
        <f t="shared" si="122"/>
        <v>293.33333333333667</v>
      </c>
      <c r="CY136" s="62">
        <f ca="1">AVERAGE(OFFSET($CX$3,0,0,'Données projet'!$E$13+1,1))-AVERAGE(OFFSET($H$3,0,0,'Données projet'!$E$13+1,1))</f>
        <v>255.77222823147724</v>
      </c>
      <c r="CZ136" s="62">
        <f t="shared" si="150"/>
        <v>199.6931080052031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1.1000000000000001</v>
      </c>
      <c r="DO136" s="13">
        <f>IF('Données projet'!$A$166&gt;35,DO135+DN136-DW135,IF(A136&lt;'Données projet'!$A$166,$DL$205^A136,IF(A136='Données projet'!$A$166,'Données projet'!$B$166,DO135+DN136-DW135)))</f>
        <v>213.2999999999999</v>
      </c>
      <c r="DP136" s="18">
        <f>DO136*VLOOKUP('Données projet'!$B$14,Paramètres!$A$1:$I$89,3,0)*VLOOKUP('Données projet'!$B$14,Paramètres!$A$1:$I$89,5,0)</f>
        <v>206.3037599999999</v>
      </c>
      <c r="DQ136" s="14">
        <f t="shared" si="151"/>
        <v>51.127031372708522</v>
      </c>
      <c r="DR136" s="22">
        <f t="shared" si="124"/>
        <v>448.35862830746714</v>
      </c>
      <c r="DS136" s="62">
        <f t="shared" si="125"/>
        <v>741.6919616408004</v>
      </c>
      <c r="DT136" s="62">
        <f ca="1">AVERAGE(OFFSET($DS$3,0,0,'Données projet'!$E$14+1,1))-AVERAGE(OFFSET($H$3,0,0,'Données projet'!$E$14+1,1))</f>
        <v>349.73011349954953</v>
      </c>
      <c r="DU136" s="62">
        <f t="shared" si="152"/>
        <v>154.08406475869634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-1.7053025658242404E-13</v>
      </c>
      <c r="O137" s="14">
        <f>N137*VLOOKUP('Données projet'!$B$9,Paramètres!$A$1:$I$89,3,0)*VLOOKUP('Données projet'!$B$9,Paramètres!$A$1:$I$89,5,0)</f>
        <v>-1.0197709343628959E-13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203.63995177374335</v>
      </c>
      <c r="T137" s="62">
        <f t="shared" si="142"/>
        <v>268.97461244918378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1.8077922572805001</v>
      </c>
      <c r="AA137" s="23">
        <f>EXP(-LN(2)/25)*AA136+(1-EXP(-LN(2)/25))/(LN(2)/25)*Calculateur!V137*Calculateur!X137*VLOOKUP('Données projet'!$B$9,Paramètres!$A$1:$I$89,3,0)*0.475*44/12</f>
        <v>0.70095150090361669</v>
      </c>
      <c r="AB137" s="23">
        <f>EXP(-LN(2)/2)*AB136+(1-EXP(-LN(2)/2))/(LN(2)/2)*V137*Y137*VLOOKUP('Données projet'!$B$9,Paramètres!$A$1:$I$89,3,0)*0.475*44/12</f>
        <v>7.1100371332732274E-16</v>
      </c>
      <c r="AC137" s="24">
        <f t="shared" si="111"/>
        <v>2.5087437581841177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1.1000000000000001</v>
      </c>
      <c r="AI137" s="14">
        <f>IF('Données projet'!$A$62&gt;35,AI136+AH137-AQ136,IF(A137&lt;'Données projet'!$A$62,$AF$205^A137,IF(A137='Données projet'!$A$62,'Données projet'!$B$62,AI136+AH137-AQ136)))</f>
        <v>214.39999999999989</v>
      </c>
      <c r="AJ137" s="14">
        <f>AI137*VLOOKUP('Données projet'!$B$10,Paramètres!$A$1:$I$89,3,0)*VLOOKUP('Données projet'!$B$10,Paramètres!$A$1:$I$89,5,0)</f>
        <v>217.40159999999989</v>
      </c>
      <c r="AK137" s="14">
        <f t="shared" si="143"/>
        <v>53.549746395925119</v>
      </c>
      <c r="AL137" s="22">
        <f t="shared" si="112"/>
        <v>471.90692830623601</v>
      </c>
      <c r="AM137" s="62">
        <f t="shared" si="113"/>
        <v>765.24026163956933</v>
      </c>
      <c r="AN137" s="62">
        <f ca="1">AVERAGE(OFFSET($AM$3,0,0,'Données projet'!$E$10+1,1))-AVERAGE(OFFSET($H$3,0,0,'Données projet'!$E$10+1,1))</f>
        <v>364.69354394930866</v>
      </c>
      <c r="AO137" s="62">
        <f t="shared" si="144"/>
        <v>159.6134369231965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241.00707378755914</v>
      </c>
      <c r="BJ137" s="62">
        <f t="shared" si="146"/>
        <v>239.93573789765657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1.4210854715202004E-13</v>
      </c>
      <c r="BZ137" s="14">
        <f>BY137*VLOOKUP('Données projet'!$B$12,Paramètres!$A$1:$I$89,3,0)*VLOOKUP('Données projet'!$B$12,Paramètres!$A$1:$I$89,5,0)</f>
        <v>9.5326413429575044E-14</v>
      </c>
      <c r="CA137" s="14">
        <f t="shared" si="147"/>
        <v>1.4400742856080346E-12</v>
      </c>
      <c r="CB137" s="22">
        <f t="shared" si="118"/>
        <v>2.6741562174905032E-12</v>
      </c>
      <c r="CC137" s="62">
        <f t="shared" si="119"/>
        <v>293.33333333333599</v>
      </c>
      <c r="CD137" s="62">
        <f ca="1">AVERAGE(OFFSET($CC$3,0,0,'Données projet'!$E$12+1,1))-AVERAGE(OFFSET($H$3,0,0,'Données projet'!$E$12+1,1))</f>
        <v>207.91006140109965</v>
      </c>
      <c r="CE137" s="62">
        <f t="shared" si="148"/>
        <v>164.93317437647255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1.4210854715202004E-13</v>
      </c>
      <c r="CU137" s="18">
        <f>CT137*VLOOKUP('Données projet'!$B$13,Paramètres!$A$1:$I$89,3,0)*VLOOKUP('Données projet'!$B$13,Paramètres!$A$1:$I$89,5,0)</f>
        <v>1.2192913345643319E-13</v>
      </c>
      <c r="CV137" s="14">
        <f t="shared" si="149"/>
        <v>1.7899324464546674E-12</v>
      </c>
      <c r="CW137" s="22">
        <f t="shared" si="121"/>
        <v>3.3298255850118335E-12</v>
      </c>
      <c r="CX137" s="62">
        <f t="shared" si="122"/>
        <v>293.33333333333667</v>
      </c>
      <c r="CY137" s="62">
        <f ca="1">AVERAGE(OFFSET($CX$3,0,0,'Données projet'!$E$13+1,1))-AVERAGE(OFFSET($H$3,0,0,'Données projet'!$E$13+1,1))</f>
        <v>255.77222823147724</v>
      </c>
      <c r="CZ137" s="62">
        <f t="shared" si="150"/>
        <v>199.6931080052031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1.1000000000000001</v>
      </c>
      <c r="DO137" s="13">
        <f>IF('Données projet'!$A$166&gt;35,DO136+DN137-DW136,IF(A137&lt;'Données projet'!$A$166,$DL$205^A137,IF(A137='Données projet'!$A$166,'Données projet'!$B$166,DO136+DN137-DW136)))</f>
        <v>214.39999999999989</v>
      </c>
      <c r="DP137" s="18">
        <f>DO137*VLOOKUP('Données projet'!$B$14,Paramètres!$A$1:$I$89,3,0)*VLOOKUP('Données projet'!$B$14,Paramètres!$A$1:$I$89,5,0)</f>
        <v>207.36767999999992</v>
      </c>
      <c r="DQ137" s="14">
        <f t="shared" si="151"/>
        <v>51.359935934080831</v>
      </c>
      <c r="DR137" s="22">
        <f t="shared" si="124"/>
        <v>450.61726441852397</v>
      </c>
      <c r="DS137" s="62">
        <f t="shared" si="125"/>
        <v>743.95059775185723</v>
      </c>
      <c r="DT137" s="62">
        <f ca="1">AVERAGE(OFFSET($DS$3,0,0,'Données projet'!$E$14+1,1))-AVERAGE(OFFSET($H$3,0,0,'Données projet'!$E$14+1,1))</f>
        <v>349.73011349954953</v>
      </c>
      <c r="DU137" s="62">
        <f t="shared" si="152"/>
        <v>154.08406475869634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-1.7053025658242404E-13</v>
      </c>
      <c r="O138" s="14">
        <f>N138*VLOOKUP('Données projet'!$B$9,Paramètres!$A$1:$I$89,3,0)*VLOOKUP('Données projet'!$B$9,Paramètres!$A$1:$I$89,5,0)</f>
        <v>-1.0197709343628959E-13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203.63995177374335</v>
      </c>
      <c r="T138" s="62">
        <f t="shared" si="142"/>
        <v>268.97461244918378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1.7723425537596293</v>
      </c>
      <c r="AA138" s="23">
        <f>EXP(-LN(2)/25)*AA137+(1-EXP(-LN(2)/25))/(LN(2)/25)*Calculateur!V138*Calculateur!X138*VLOOKUP('Données projet'!$B$9,Paramètres!$A$1:$I$89,3,0)*0.475*44/12</f>
        <v>0.68178394524996988</v>
      </c>
      <c r="AB138" s="23">
        <f>EXP(-LN(2)/2)*AB137+(1-EXP(-LN(2)/2))/(LN(2)/2)*V138*Y138*VLOOKUP('Données projet'!$B$9,Paramètres!$A$1:$I$89,3,0)*0.475*44/12</f>
        <v>5.0275554714256596E-16</v>
      </c>
      <c r="AC138" s="24">
        <f t="shared" si="111"/>
        <v>2.4541264990095999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1.1000000000000001</v>
      </c>
      <c r="AI138" s="14">
        <f>IF('Données projet'!$A$62&gt;35,AI137+AH138-AQ137,IF(A138&lt;'Données projet'!$A$62,$AF$205^A138,IF(A138='Données projet'!$A$62,'Données projet'!$B$62,AI137+AH138-AQ137)))</f>
        <v>215.49999999999989</v>
      </c>
      <c r="AJ138" s="14">
        <f>AI138*VLOOKUP('Données projet'!$B$10,Paramètres!$A$1:$I$89,3,0)*VLOOKUP('Données projet'!$B$10,Paramètres!$A$1:$I$89,5,0)</f>
        <v>218.51699999999991</v>
      </c>
      <c r="AK138" s="14">
        <f t="shared" si="143"/>
        <v>53.792436225519388</v>
      </c>
      <c r="AL138" s="22">
        <f t="shared" si="112"/>
        <v>474.27226809277937</v>
      </c>
      <c r="AM138" s="62">
        <f t="shared" si="113"/>
        <v>767.60560142611268</v>
      </c>
      <c r="AN138" s="62">
        <f ca="1">AVERAGE(OFFSET($AM$3,0,0,'Données projet'!$E$10+1,1))-AVERAGE(OFFSET($H$3,0,0,'Données projet'!$E$10+1,1))</f>
        <v>364.69354394930866</v>
      </c>
      <c r="AO138" s="62">
        <f t="shared" si="144"/>
        <v>159.6134369231965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241.00707378755914</v>
      </c>
      <c r="BJ138" s="62">
        <f t="shared" si="146"/>
        <v>239.93573789765657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1.4210854715202004E-13</v>
      </c>
      <c r="BZ138" s="14">
        <f>BY138*VLOOKUP('Données projet'!$B$12,Paramètres!$A$1:$I$89,3,0)*VLOOKUP('Données projet'!$B$12,Paramètres!$A$1:$I$89,5,0)</f>
        <v>9.5326413429575044E-14</v>
      </c>
      <c r="CA138" s="14">
        <f t="shared" si="147"/>
        <v>1.4400742856080346E-12</v>
      </c>
      <c r="CB138" s="22">
        <f t="shared" si="118"/>
        <v>2.6741562174905032E-12</v>
      </c>
      <c r="CC138" s="62">
        <f t="shared" si="119"/>
        <v>293.33333333333599</v>
      </c>
      <c r="CD138" s="62">
        <f ca="1">AVERAGE(OFFSET($CC$3,0,0,'Données projet'!$E$12+1,1))-AVERAGE(OFFSET($H$3,0,0,'Données projet'!$E$12+1,1))</f>
        <v>207.91006140109965</v>
      </c>
      <c r="CE138" s="62">
        <f t="shared" si="148"/>
        <v>164.93317437647255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1.4210854715202004E-13</v>
      </c>
      <c r="CU138" s="18">
        <f>CT138*VLOOKUP('Données projet'!$B$13,Paramètres!$A$1:$I$89,3,0)*VLOOKUP('Données projet'!$B$13,Paramètres!$A$1:$I$89,5,0)</f>
        <v>1.2192913345643319E-13</v>
      </c>
      <c r="CV138" s="14">
        <f t="shared" si="149"/>
        <v>1.7899324464546674E-12</v>
      </c>
      <c r="CW138" s="22">
        <f t="shared" si="121"/>
        <v>3.3298255850118335E-12</v>
      </c>
      <c r="CX138" s="62">
        <f t="shared" si="122"/>
        <v>293.33333333333667</v>
      </c>
      <c r="CY138" s="62">
        <f ca="1">AVERAGE(OFFSET($CX$3,0,0,'Données projet'!$E$13+1,1))-AVERAGE(OFFSET($H$3,0,0,'Données projet'!$E$13+1,1))</f>
        <v>255.77222823147724</v>
      </c>
      <c r="CZ138" s="62">
        <f t="shared" si="150"/>
        <v>199.6931080052031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1.1000000000000001</v>
      </c>
      <c r="DO138" s="13">
        <f>IF('Données projet'!$A$166&gt;35,DO137+DN138-DW137,IF(A138&lt;'Données projet'!$A$166,$DL$205^A138,IF(A138='Données projet'!$A$166,'Données projet'!$B$166,DO137+DN138-DW137)))</f>
        <v>215.49999999999989</v>
      </c>
      <c r="DP138" s="18">
        <f>DO138*VLOOKUP('Données projet'!$B$14,Paramètres!$A$1:$I$89,3,0)*VLOOKUP('Données projet'!$B$14,Paramètres!$A$1:$I$89,5,0)</f>
        <v>208.43159999999989</v>
      </c>
      <c r="DQ138" s="14">
        <f t="shared" si="151"/>
        <v>51.592701445380492</v>
      </c>
      <c r="DR138" s="22">
        <f t="shared" si="124"/>
        <v>452.87565835070421</v>
      </c>
      <c r="DS138" s="62">
        <f t="shared" si="125"/>
        <v>746.20899168403753</v>
      </c>
      <c r="DT138" s="62">
        <f ca="1">AVERAGE(OFFSET($DS$3,0,0,'Données projet'!$E$14+1,1))-AVERAGE(OFFSET($H$3,0,0,'Données projet'!$E$14+1,1))</f>
        <v>349.73011349954953</v>
      </c>
      <c r="DU138" s="62">
        <f t="shared" si="152"/>
        <v>154.08406475869634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-1.7053025658242404E-13</v>
      </c>
      <c r="O139" s="14">
        <f>N139*VLOOKUP('Données projet'!$B$9,Paramètres!$A$1:$I$89,3,0)*VLOOKUP('Données projet'!$B$9,Paramètres!$A$1:$I$89,5,0)</f>
        <v>-1.0197709343628959E-13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203.63995177374335</v>
      </c>
      <c r="T139" s="62">
        <f t="shared" si="142"/>
        <v>268.97461244918378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1.7375879973026187</v>
      </c>
      <c r="AA139" s="23">
        <f>EXP(-LN(2)/25)*AA138+(1-EXP(-LN(2)/25))/(LN(2)/25)*Calculateur!V139*Calculateur!X139*VLOOKUP('Données projet'!$B$9,Paramètres!$A$1:$I$89,3,0)*0.475*44/12</f>
        <v>0.66314052741365004</v>
      </c>
      <c r="AB139" s="23">
        <f>EXP(-LN(2)/2)*AB138+(1-EXP(-LN(2)/2))/(LN(2)/2)*V139*Y139*VLOOKUP('Données projet'!$B$9,Paramètres!$A$1:$I$89,3,0)*0.475*44/12</f>
        <v>3.5550185666366137E-16</v>
      </c>
      <c r="AC139" s="24">
        <f t="shared" si="111"/>
        <v>2.4007285247162691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1.1000000000000001</v>
      </c>
      <c r="AI139" s="14">
        <f>IF('Données projet'!$A$62&gt;35,AI138+AH139-AQ138,IF(A139&lt;'Données projet'!$A$62,$AF$205^A139,IF(A139='Données projet'!$A$62,'Données projet'!$B$62,AI138+AH139-AQ138)))</f>
        <v>216.59999999999988</v>
      </c>
      <c r="AJ139" s="14">
        <f>AI139*VLOOKUP('Données projet'!$B$10,Paramètres!$A$1:$I$89,3,0)*VLOOKUP('Données projet'!$B$10,Paramètres!$A$1:$I$89,5,0)</f>
        <v>219.6323999999999</v>
      </c>
      <c r="AK139" s="14">
        <f t="shared" si="143"/>
        <v>54.034981902357458</v>
      </c>
      <c r="AL139" s="22">
        <f t="shared" si="112"/>
        <v>476.63735681327239</v>
      </c>
      <c r="AM139" s="62">
        <f t="shared" si="113"/>
        <v>769.97069014660565</v>
      </c>
      <c r="AN139" s="62">
        <f ca="1">AVERAGE(OFFSET($AM$3,0,0,'Données projet'!$E$10+1,1))-AVERAGE(OFFSET($H$3,0,0,'Données projet'!$E$10+1,1))</f>
        <v>364.69354394930866</v>
      </c>
      <c r="AO139" s="62">
        <f t="shared" si="144"/>
        <v>159.6134369231965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241.00707378755914</v>
      </c>
      <c r="BJ139" s="62">
        <f t="shared" si="146"/>
        <v>239.93573789765657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1.4210854715202004E-13</v>
      </c>
      <c r="BZ139" s="14">
        <f>BY139*VLOOKUP('Données projet'!$B$12,Paramètres!$A$1:$I$89,3,0)*VLOOKUP('Données projet'!$B$12,Paramètres!$A$1:$I$89,5,0)</f>
        <v>9.5326413429575044E-14</v>
      </c>
      <c r="CA139" s="14">
        <f t="shared" si="147"/>
        <v>1.4400742856080346E-12</v>
      </c>
      <c r="CB139" s="22">
        <f t="shared" si="118"/>
        <v>2.6741562174905032E-12</v>
      </c>
      <c r="CC139" s="62">
        <f t="shared" si="119"/>
        <v>293.33333333333599</v>
      </c>
      <c r="CD139" s="62">
        <f ca="1">AVERAGE(OFFSET($CC$3,0,0,'Données projet'!$E$12+1,1))-AVERAGE(OFFSET($H$3,0,0,'Données projet'!$E$12+1,1))</f>
        <v>207.91006140109965</v>
      </c>
      <c r="CE139" s="62">
        <f t="shared" si="148"/>
        <v>164.93317437647255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1.4210854715202004E-13</v>
      </c>
      <c r="CU139" s="18">
        <f>CT139*VLOOKUP('Données projet'!$B$13,Paramètres!$A$1:$I$89,3,0)*VLOOKUP('Données projet'!$B$13,Paramètres!$A$1:$I$89,5,0)</f>
        <v>1.2192913345643319E-13</v>
      </c>
      <c r="CV139" s="14">
        <f t="shared" si="149"/>
        <v>1.7899324464546674E-12</v>
      </c>
      <c r="CW139" s="22">
        <f t="shared" si="121"/>
        <v>3.3298255850118335E-12</v>
      </c>
      <c r="CX139" s="62">
        <f t="shared" si="122"/>
        <v>293.33333333333667</v>
      </c>
      <c r="CY139" s="62">
        <f ca="1">AVERAGE(OFFSET($CX$3,0,0,'Données projet'!$E$13+1,1))-AVERAGE(OFFSET($H$3,0,0,'Données projet'!$E$13+1,1))</f>
        <v>255.77222823147724</v>
      </c>
      <c r="CZ139" s="62">
        <f t="shared" si="150"/>
        <v>199.6931080052031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1.1000000000000001</v>
      </c>
      <c r="DO139" s="13">
        <f>IF('Données projet'!$A$166&gt;35,DO138+DN139-DW138,IF(A139&lt;'Données projet'!$A$166,$DL$205^A139,IF(A139='Données projet'!$A$166,'Données projet'!$B$166,DO138+DN139-DW138)))</f>
        <v>216.59999999999988</v>
      </c>
      <c r="DP139" s="18">
        <f>DO139*VLOOKUP('Données projet'!$B$14,Paramètres!$A$1:$I$89,3,0)*VLOOKUP('Données projet'!$B$14,Paramètres!$A$1:$I$89,5,0)</f>
        <v>209.49551999999989</v>
      </c>
      <c r="DQ139" s="14">
        <f t="shared" si="151"/>
        <v>51.825328698764402</v>
      </c>
      <c r="DR139" s="22">
        <f t="shared" si="124"/>
        <v>455.13381148368109</v>
      </c>
      <c r="DS139" s="62">
        <f t="shared" si="125"/>
        <v>748.4671448170144</v>
      </c>
      <c r="DT139" s="62">
        <f ca="1">AVERAGE(OFFSET($DS$3,0,0,'Données projet'!$E$14+1,1))-AVERAGE(OFFSET($H$3,0,0,'Données projet'!$E$14+1,1))</f>
        <v>349.73011349954953</v>
      </c>
      <c r="DU139" s="62">
        <f t="shared" si="152"/>
        <v>154.08406475869634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-1.7053025658242404E-13</v>
      </c>
      <c r="O140" s="14">
        <f>N140*VLOOKUP('Données projet'!$B$9,Paramètres!$A$1:$I$89,3,0)*VLOOKUP('Données projet'!$B$9,Paramètres!$A$1:$I$89,5,0)</f>
        <v>-1.0197709343628959E-13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203.63995177374335</v>
      </c>
      <c r="T140" s="62">
        <f t="shared" si="142"/>
        <v>268.97461244918378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1.7035149564995438</v>
      </c>
      <c r="AA140" s="23">
        <f>EXP(-LN(2)/25)*AA139+(1-EXP(-LN(2)/25))/(LN(2)/25)*Calculateur!V140*Calculateur!X140*VLOOKUP('Données projet'!$B$9,Paramètres!$A$1:$I$89,3,0)*0.475*44/12</f>
        <v>0.64500691481847905</v>
      </c>
      <c r="AB140" s="23">
        <f>EXP(-LN(2)/2)*AB139+(1-EXP(-LN(2)/2))/(LN(2)/2)*V140*Y140*VLOOKUP('Données projet'!$B$9,Paramètres!$A$1:$I$89,3,0)*0.475*44/12</f>
        <v>2.5137777357128298E-16</v>
      </c>
      <c r="AC140" s="24">
        <f t="shared" si="111"/>
        <v>2.3485218713180234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1.1000000000000001</v>
      </c>
      <c r="AI140" s="14">
        <f>IF('Données projet'!$A$62&gt;35,AI139+AH140-AQ139,IF(A140&lt;'Données projet'!$A$62,$AF$205^A140,IF(A140='Données projet'!$A$62,'Données projet'!$B$62,AI139+AH140-AQ139)))</f>
        <v>217.69999999999987</v>
      </c>
      <c r="AJ140" s="14">
        <f>AI140*VLOOKUP('Données projet'!$B$10,Paramètres!$A$1:$I$89,3,0)*VLOOKUP('Données projet'!$B$10,Paramètres!$A$1:$I$89,5,0)</f>
        <v>220.74779999999987</v>
      </c>
      <c r="AK140" s="14">
        <f t="shared" si="143"/>
        <v>54.2773842434964</v>
      </c>
      <c r="AL140" s="22">
        <f t="shared" si="112"/>
        <v>479.00219589075596</v>
      </c>
      <c r="AM140" s="62">
        <f t="shared" si="113"/>
        <v>772.33552922408921</v>
      </c>
      <c r="AN140" s="62">
        <f ca="1">AVERAGE(OFFSET($AM$3,0,0,'Données projet'!$E$10+1,1))-AVERAGE(OFFSET($H$3,0,0,'Données projet'!$E$10+1,1))</f>
        <v>364.69354394930866</v>
      </c>
      <c r="AO140" s="62">
        <f t="shared" si="144"/>
        <v>159.6134369231965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241.00707378755914</v>
      </c>
      <c r="BJ140" s="62">
        <f t="shared" si="146"/>
        <v>239.93573789765657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1.4210854715202004E-13</v>
      </c>
      <c r="BZ140" s="14">
        <f>BY140*VLOOKUP('Données projet'!$B$12,Paramètres!$A$1:$I$89,3,0)*VLOOKUP('Données projet'!$B$12,Paramètres!$A$1:$I$89,5,0)</f>
        <v>9.5326413429575044E-14</v>
      </c>
      <c r="CA140" s="14">
        <f t="shared" si="147"/>
        <v>1.4400742856080346E-12</v>
      </c>
      <c r="CB140" s="22">
        <f t="shared" si="118"/>
        <v>2.6741562174905032E-12</v>
      </c>
      <c r="CC140" s="62">
        <f t="shared" si="119"/>
        <v>293.33333333333599</v>
      </c>
      <c r="CD140" s="62">
        <f ca="1">AVERAGE(OFFSET($CC$3,0,0,'Données projet'!$E$12+1,1))-AVERAGE(OFFSET($H$3,0,0,'Données projet'!$E$12+1,1))</f>
        <v>207.91006140109965</v>
      </c>
      <c r="CE140" s="62">
        <f t="shared" si="148"/>
        <v>164.93317437647255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1.4210854715202004E-13</v>
      </c>
      <c r="CU140" s="18">
        <f>CT140*VLOOKUP('Données projet'!$B$13,Paramètres!$A$1:$I$89,3,0)*VLOOKUP('Données projet'!$B$13,Paramètres!$A$1:$I$89,5,0)</f>
        <v>1.2192913345643319E-13</v>
      </c>
      <c r="CV140" s="14">
        <f t="shared" si="149"/>
        <v>1.7899324464546674E-12</v>
      </c>
      <c r="CW140" s="22">
        <f t="shared" si="121"/>
        <v>3.3298255850118335E-12</v>
      </c>
      <c r="CX140" s="62">
        <f t="shared" si="122"/>
        <v>293.33333333333667</v>
      </c>
      <c r="CY140" s="62">
        <f ca="1">AVERAGE(OFFSET($CX$3,0,0,'Données projet'!$E$13+1,1))-AVERAGE(OFFSET($H$3,0,0,'Données projet'!$E$13+1,1))</f>
        <v>255.77222823147724</v>
      </c>
      <c r="CZ140" s="62">
        <f t="shared" si="150"/>
        <v>199.6931080052031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1.1000000000000001</v>
      </c>
      <c r="DO140" s="13">
        <f>IF('Données projet'!$A$166&gt;35,DO139+DN140-DW139,IF(A140&lt;'Données projet'!$A$166,$DL$205^A140,IF(A140='Données projet'!$A$166,'Données projet'!$B$166,DO139+DN140-DW139)))</f>
        <v>217.69999999999987</v>
      </c>
      <c r="DP140" s="18">
        <f>DO140*VLOOKUP('Données projet'!$B$14,Paramètres!$A$1:$I$89,3,0)*VLOOKUP('Données projet'!$B$14,Paramètres!$A$1:$I$89,5,0)</f>
        <v>210.55943999999991</v>
      </c>
      <c r="DQ140" s="14">
        <f t="shared" si="151"/>
        <v>52.057818477877845</v>
      </c>
      <c r="DR140" s="22">
        <f t="shared" si="124"/>
        <v>457.39172518230367</v>
      </c>
      <c r="DS140" s="62">
        <f t="shared" si="125"/>
        <v>750.72505851563699</v>
      </c>
      <c r="DT140" s="62">
        <f ca="1">AVERAGE(OFFSET($DS$3,0,0,'Données projet'!$E$14+1,1))-AVERAGE(OFFSET($H$3,0,0,'Données projet'!$E$14+1,1))</f>
        <v>349.73011349954953</v>
      </c>
      <c r="DU140" s="62">
        <f t="shared" si="152"/>
        <v>154.08406475869634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-1.7053025658242404E-13</v>
      </c>
      <c r="O141" s="14">
        <f>N141*VLOOKUP('Données projet'!$B$9,Paramètres!$A$1:$I$89,3,0)*VLOOKUP('Données projet'!$B$9,Paramètres!$A$1:$I$89,5,0)</f>
        <v>-1.0197709343628959E-13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203.63995177374335</v>
      </c>
      <c r="T141" s="62">
        <f t="shared" si="142"/>
        <v>268.97461244918378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1.6701100672441143</v>
      </c>
      <c r="AA141" s="23">
        <f>EXP(-LN(2)/25)*AA140+(1-EXP(-LN(2)/25))/(LN(2)/25)*Calculateur!V141*Calculateur!X141*VLOOKUP('Données projet'!$B$9,Paramètres!$A$1:$I$89,3,0)*0.475*44/12</f>
        <v>0.62736916681332833</v>
      </c>
      <c r="AB141" s="23">
        <f>EXP(-LN(2)/2)*AB140+(1-EXP(-LN(2)/2))/(LN(2)/2)*V141*Y141*VLOOKUP('Données projet'!$B$9,Paramètres!$A$1:$I$89,3,0)*0.475*44/12</f>
        <v>1.7775092833183069E-16</v>
      </c>
      <c r="AC141" s="24">
        <f t="shared" si="111"/>
        <v>2.2974792340574428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1.1000000000000001</v>
      </c>
      <c r="AI141" s="14">
        <f>IF('Données projet'!$A$62&gt;35,AI140+AH141-AQ140,IF(A141&lt;'Données projet'!$A$62,$AF$205^A141,IF(A141='Données projet'!$A$62,'Données projet'!$B$62,AI140+AH141-AQ140)))</f>
        <v>218.79999999999987</v>
      </c>
      <c r="AJ141" s="14">
        <f>AI141*VLOOKUP('Données projet'!$B$10,Paramètres!$A$1:$I$89,3,0)*VLOOKUP('Données projet'!$B$10,Paramètres!$A$1:$I$89,5,0)</f>
        <v>221.86319999999986</v>
      </c>
      <c r="AK141" s="14">
        <f t="shared" si="143"/>
        <v>54.519644057258311</v>
      </c>
      <c r="AL141" s="22">
        <f t="shared" si="112"/>
        <v>481.36678673305801</v>
      </c>
      <c r="AM141" s="62">
        <f t="shared" si="113"/>
        <v>774.70012006639126</v>
      </c>
      <c r="AN141" s="62">
        <f ca="1">AVERAGE(OFFSET($AM$3,0,0,'Données projet'!$E$10+1,1))-AVERAGE(OFFSET($H$3,0,0,'Données projet'!$E$10+1,1))</f>
        <v>364.69354394930866</v>
      </c>
      <c r="AO141" s="62">
        <f t="shared" si="144"/>
        <v>159.6134369231965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241.00707378755914</v>
      </c>
      <c r="BJ141" s="62">
        <f t="shared" si="146"/>
        <v>239.93573789765657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1.4210854715202004E-13</v>
      </c>
      <c r="BZ141" s="14">
        <f>BY141*VLOOKUP('Données projet'!$B$12,Paramètres!$A$1:$I$89,3,0)*VLOOKUP('Données projet'!$B$12,Paramètres!$A$1:$I$89,5,0)</f>
        <v>9.5326413429575044E-14</v>
      </c>
      <c r="CA141" s="14">
        <f t="shared" si="147"/>
        <v>1.4400742856080346E-12</v>
      </c>
      <c r="CB141" s="22">
        <f t="shared" si="118"/>
        <v>2.6741562174905032E-12</v>
      </c>
      <c r="CC141" s="62">
        <f t="shared" si="119"/>
        <v>293.33333333333599</v>
      </c>
      <c r="CD141" s="62">
        <f ca="1">AVERAGE(OFFSET($CC$3,0,0,'Données projet'!$E$12+1,1))-AVERAGE(OFFSET($H$3,0,0,'Données projet'!$E$12+1,1))</f>
        <v>207.91006140109965</v>
      </c>
      <c r="CE141" s="62">
        <f t="shared" si="148"/>
        <v>164.93317437647255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1.4210854715202004E-13</v>
      </c>
      <c r="CU141" s="18">
        <f>CT141*VLOOKUP('Données projet'!$B$13,Paramètres!$A$1:$I$89,3,0)*VLOOKUP('Données projet'!$B$13,Paramètres!$A$1:$I$89,5,0)</f>
        <v>1.2192913345643319E-13</v>
      </c>
      <c r="CV141" s="14">
        <f t="shared" si="149"/>
        <v>1.7899324464546674E-12</v>
      </c>
      <c r="CW141" s="22">
        <f t="shared" si="121"/>
        <v>3.3298255850118335E-12</v>
      </c>
      <c r="CX141" s="62">
        <f t="shared" si="122"/>
        <v>293.33333333333667</v>
      </c>
      <c r="CY141" s="62">
        <f ca="1">AVERAGE(OFFSET($CX$3,0,0,'Données projet'!$E$13+1,1))-AVERAGE(OFFSET($H$3,0,0,'Données projet'!$E$13+1,1))</f>
        <v>255.77222823147724</v>
      </c>
      <c r="CZ141" s="62">
        <f t="shared" si="150"/>
        <v>199.6931080052031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1.1000000000000001</v>
      </c>
      <c r="DO141" s="13">
        <f>IF('Données projet'!$A$166&gt;35,DO140+DN141-DW140,IF(A141&lt;'Données projet'!$A$166,$DL$205^A141,IF(A141='Données projet'!$A$166,'Données projet'!$B$166,DO140+DN141-DW140)))</f>
        <v>218.79999999999987</v>
      </c>
      <c r="DP141" s="18">
        <f>DO141*VLOOKUP('Données projet'!$B$14,Paramètres!$A$1:$I$89,3,0)*VLOOKUP('Données projet'!$B$14,Paramètres!$A$1:$I$89,5,0)</f>
        <v>211.62335999999988</v>
      </c>
      <c r="DQ141" s="14">
        <f t="shared" si="151"/>
        <v>52.29017155798806</v>
      </c>
      <c r="DR141" s="22">
        <f t="shared" si="124"/>
        <v>459.64940079682901</v>
      </c>
      <c r="DS141" s="62">
        <f t="shared" si="125"/>
        <v>752.98273413016227</v>
      </c>
      <c r="DT141" s="62">
        <f ca="1">AVERAGE(OFFSET($DS$3,0,0,'Données projet'!$E$14+1,1))-AVERAGE(OFFSET($H$3,0,0,'Données projet'!$E$14+1,1))</f>
        <v>349.73011349954953</v>
      </c>
      <c r="DU141" s="62">
        <f t="shared" si="152"/>
        <v>154.08406475869634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-1.7053025658242404E-13</v>
      </c>
      <c r="O142" s="14">
        <f>N142*VLOOKUP('Données projet'!$B$9,Paramètres!$A$1:$I$89,3,0)*VLOOKUP('Données projet'!$B$9,Paramètres!$A$1:$I$89,5,0)</f>
        <v>-1.0197709343628959E-13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203.63995177374335</v>
      </c>
      <c r="T142" s="62">
        <f t="shared" si="142"/>
        <v>268.97461244918378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1.6373602274920132</v>
      </c>
      <c r="AA142" s="23">
        <f>EXP(-LN(2)/25)*AA141+(1-EXP(-LN(2)/25))/(LN(2)/25)*Calculateur!V142*Calculateur!X142*VLOOKUP('Données projet'!$B$9,Paramètres!$A$1:$I$89,3,0)*0.475*44/12</f>
        <v>0.61021372395490725</v>
      </c>
      <c r="AB142" s="23">
        <f>EXP(-LN(2)/2)*AB141+(1-EXP(-LN(2)/2))/(LN(2)/2)*V142*Y142*VLOOKUP('Données projet'!$B$9,Paramètres!$A$1:$I$89,3,0)*0.475*44/12</f>
        <v>1.2568888678564149E-16</v>
      </c>
      <c r="AC142" s="24">
        <f t="shared" si="111"/>
        <v>2.2475739514469204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1.1000000000000001</v>
      </c>
      <c r="AI142" s="14">
        <f>IF('Données projet'!$A$62&gt;35,AI141+AH142-AQ141,IF(A142&lt;'Données projet'!$A$62,$AF$205^A142,IF(A142='Données projet'!$A$62,'Données projet'!$B$62,AI141+AH142-AQ141)))</f>
        <v>219.89999999999986</v>
      </c>
      <c r="AJ142" s="14">
        <f>AI142*VLOOKUP('Données projet'!$B$10,Paramètres!$A$1:$I$89,3,0)*VLOOKUP('Données projet'!$B$10,Paramètres!$A$1:$I$89,5,0)</f>
        <v>222.97859999999989</v>
      </c>
      <c r="AK142" s="14">
        <f t="shared" si="143"/>
        <v>54.761762143367157</v>
      </c>
      <c r="AL142" s="22">
        <f t="shared" si="112"/>
        <v>483.73113073303085</v>
      </c>
      <c r="AM142" s="62">
        <f t="shared" si="113"/>
        <v>777.06446406636417</v>
      </c>
      <c r="AN142" s="62">
        <f ca="1">AVERAGE(OFFSET($AM$3,0,0,'Données projet'!$E$10+1,1))-AVERAGE(OFFSET($H$3,0,0,'Données projet'!$E$10+1,1))</f>
        <v>364.69354394930866</v>
      </c>
      <c r="AO142" s="62">
        <f t="shared" si="144"/>
        <v>159.6134369231965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241.00707378755914</v>
      </c>
      <c r="BJ142" s="62">
        <f t="shared" si="146"/>
        <v>239.93573789765657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1.4210854715202004E-13</v>
      </c>
      <c r="BZ142" s="14">
        <f>BY142*VLOOKUP('Données projet'!$B$12,Paramètres!$A$1:$I$89,3,0)*VLOOKUP('Données projet'!$B$12,Paramètres!$A$1:$I$89,5,0)</f>
        <v>9.5326413429575044E-14</v>
      </c>
      <c r="CA142" s="14">
        <f t="shared" si="147"/>
        <v>1.4400742856080346E-12</v>
      </c>
      <c r="CB142" s="22">
        <f t="shared" si="118"/>
        <v>2.6741562174905032E-12</v>
      </c>
      <c r="CC142" s="62">
        <f t="shared" si="119"/>
        <v>293.33333333333599</v>
      </c>
      <c r="CD142" s="62">
        <f ca="1">AVERAGE(OFFSET($CC$3,0,0,'Données projet'!$E$12+1,1))-AVERAGE(OFFSET($H$3,0,0,'Données projet'!$E$12+1,1))</f>
        <v>207.91006140109965</v>
      </c>
      <c r="CE142" s="62">
        <f t="shared" si="148"/>
        <v>164.93317437647255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1.4210854715202004E-13</v>
      </c>
      <c r="CU142" s="18">
        <f>CT142*VLOOKUP('Données projet'!$B$13,Paramètres!$A$1:$I$89,3,0)*VLOOKUP('Données projet'!$B$13,Paramètres!$A$1:$I$89,5,0)</f>
        <v>1.2192913345643319E-13</v>
      </c>
      <c r="CV142" s="14">
        <f t="shared" si="149"/>
        <v>1.7899324464546674E-12</v>
      </c>
      <c r="CW142" s="22">
        <f t="shared" si="121"/>
        <v>3.3298255850118335E-12</v>
      </c>
      <c r="CX142" s="62">
        <f t="shared" si="122"/>
        <v>293.33333333333667</v>
      </c>
      <c r="CY142" s="62">
        <f ca="1">AVERAGE(OFFSET($CX$3,0,0,'Données projet'!$E$13+1,1))-AVERAGE(OFFSET($H$3,0,0,'Données projet'!$E$13+1,1))</f>
        <v>255.77222823147724</v>
      </c>
      <c r="CZ142" s="62">
        <f t="shared" si="150"/>
        <v>199.6931080052031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1.1000000000000001</v>
      </c>
      <c r="DO142" s="13">
        <f>IF('Données projet'!$A$166&gt;35,DO141+DN142-DW141,IF(A142&lt;'Données projet'!$A$166,$DL$205^A142,IF(A142='Données projet'!$A$166,'Données projet'!$B$166,DO141+DN142-DW141)))</f>
        <v>219.89999999999986</v>
      </c>
      <c r="DP142" s="18">
        <f>DO142*VLOOKUP('Données projet'!$B$14,Paramètres!$A$1:$I$89,3,0)*VLOOKUP('Données projet'!$B$14,Paramètres!$A$1:$I$89,5,0)</f>
        <v>212.68727999999987</v>
      </c>
      <c r="DQ142" s="14">
        <f t="shared" si="151"/>
        <v>52.52238870611594</v>
      </c>
      <c r="DR142" s="22">
        <f t="shared" si="124"/>
        <v>461.90683966315163</v>
      </c>
      <c r="DS142" s="62">
        <f t="shared" si="125"/>
        <v>755.24017299648494</v>
      </c>
      <c r="DT142" s="62">
        <f ca="1">AVERAGE(OFFSET($DS$3,0,0,'Données projet'!$E$14+1,1))-AVERAGE(OFFSET($H$3,0,0,'Données projet'!$E$14+1,1))</f>
        <v>349.73011349954953</v>
      </c>
      <c r="DU142" s="62">
        <f t="shared" si="152"/>
        <v>154.08406475869634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-1.7053025658242404E-13</v>
      </c>
      <c r="O143" s="14">
        <f>N143*VLOOKUP('Données projet'!$B$9,Paramètres!$A$1:$I$89,3,0)*VLOOKUP('Données projet'!$B$9,Paramètres!$A$1:$I$89,5,0)</f>
        <v>-1.0197709343628959E-13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203.63995177374335</v>
      </c>
      <c r="T143" s="62">
        <f t="shared" si="142"/>
        <v>268.97461244918378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1.6052525921220211</v>
      </c>
      <c r="AA143" s="23">
        <f>EXP(-LN(2)/25)*AA142+(1-EXP(-LN(2)/25))/(LN(2)/25)*Calculateur!V143*Calculateur!X143*VLOOKUP('Données projet'!$B$9,Paramètres!$A$1:$I$89,3,0)*0.475*44/12</f>
        <v>0.59352739758361528</v>
      </c>
      <c r="AB143" s="23">
        <f>EXP(-LN(2)/2)*AB142+(1-EXP(-LN(2)/2))/(LN(2)/2)*V143*Y143*VLOOKUP('Données projet'!$B$9,Paramètres!$A$1:$I$89,3,0)*0.475*44/12</f>
        <v>8.8875464165915343E-17</v>
      </c>
      <c r="AC143" s="24">
        <f t="shared" si="111"/>
        <v>2.1987799897056366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1.1000000000000001</v>
      </c>
      <c r="AI143" s="14">
        <f>IF('Données projet'!$A$62&gt;35,AI142+AH143-AQ142,IF(A143&lt;'Données projet'!$A$62,$AF$205^A143,IF(A143='Données projet'!$A$62,'Données projet'!$B$62,AI142+AH143-AQ142)))</f>
        <v>220.99999999999986</v>
      </c>
      <c r="AJ143" s="14">
        <f>AI143*VLOOKUP('Données projet'!$B$10,Paramètres!$A$1:$I$89,3,0)*VLOOKUP('Données projet'!$B$10,Paramètres!$A$1:$I$89,5,0)</f>
        <v>224.09399999999988</v>
      </c>
      <c r="AK143" s="14">
        <f t="shared" si="143"/>
        <v>55.003739293082667</v>
      </c>
      <c r="AL143" s="22">
        <f t="shared" si="112"/>
        <v>486.09522926878549</v>
      </c>
      <c r="AM143" s="62">
        <f t="shared" si="113"/>
        <v>779.42856260211875</v>
      </c>
      <c r="AN143" s="62">
        <f ca="1">AVERAGE(OFFSET($AM$3,0,0,'Données projet'!$E$10+1,1))-AVERAGE(OFFSET($H$3,0,0,'Données projet'!$E$10+1,1))</f>
        <v>364.69354394930866</v>
      </c>
      <c r="AO143" s="62">
        <f t="shared" si="144"/>
        <v>159.6134369231965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241.00707378755914</v>
      </c>
      <c r="BJ143" s="62">
        <f t="shared" si="146"/>
        <v>239.93573789765657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1.4210854715202004E-13</v>
      </c>
      <c r="BZ143" s="14">
        <f>BY143*VLOOKUP('Données projet'!$B$12,Paramètres!$A$1:$I$89,3,0)*VLOOKUP('Données projet'!$B$12,Paramètres!$A$1:$I$89,5,0)</f>
        <v>9.5326413429575044E-14</v>
      </c>
      <c r="CA143" s="14">
        <f t="shared" si="147"/>
        <v>1.4400742856080346E-12</v>
      </c>
      <c r="CB143" s="22">
        <f t="shared" si="118"/>
        <v>2.6741562174905032E-12</v>
      </c>
      <c r="CC143" s="62">
        <f t="shared" si="119"/>
        <v>293.33333333333599</v>
      </c>
      <c r="CD143" s="62">
        <f ca="1">AVERAGE(OFFSET($CC$3,0,0,'Données projet'!$E$12+1,1))-AVERAGE(OFFSET($H$3,0,0,'Données projet'!$E$12+1,1))</f>
        <v>207.91006140109965</v>
      </c>
      <c r="CE143" s="62">
        <f t="shared" si="148"/>
        <v>164.93317437647255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1.4210854715202004E-13</v>
      </c>
      <c r="CU143" s="18">
        <f>CT143*VLOOKUP('Données projet'!$B$13,Paramètres!$A$1:$I$89,3,0)*VLOOKUP('Données projet'!$B$13,Paramètres!$A$1:$I$89,5,0)</f>
        <v>1.2192913345643319E-13</v>
      </c>
      <c r="CV143" s="14">
        <f t="shared" si="149"/>
        <v>1.7899324464546674E-12</v>
      </c>
      <c r="CW143" s="22">
        <f t="shared" si="121"/>
        <v>3.3298255850118335E-12</v>
      </c>
      <c r="CX143" s="62">
        <f t="shared" si="122"/>
        <v>293.33333333333667</v>
      </c>
      <c r="CY143" s="62">
        <f ca="1">AVERAGE(OFFSET($CX$3,0,0,'Données projet'!$E$13+1,1))-AVERAGE(OFFSET($H$3,0,0,'Données projet'!$E$13+1,1))</f>
        <v>255.77222823147724</v>
      </c>
      <c r="CZ143" s="62">
        <f t="shared" si="150"/>
        <v>199.6931080052031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1.1000000000000001</v>
      </c>
      <c r="DO143" s="13">
        <f>IF('Données projet'!$A$166&gt;35,DO142+DN143-DW142,IF(A143&lt;'Données projet'!$A$166,$DL$205^A143,IF(A143='Données projet'!$A$166,'Données projet'!$B$166,DO142+DN143-DW142)))</f>
        <v>220.99999999999986</v>
      </c>
      <c r="DP143" s="18">
        <f>DO143*VLOOKUP('Données projet'!$B$14,Paramètres!$A$1:$I$89,3,0)*VLOOKUP('Données projet'!$B$14,Paramètres!$A$1:$I$89,5,0)</f>
        <v>213.7511999999999</v>
      </c>
      <c r="DQ143" s="14">
        <f t="shared" si="151"/>
        <v>52.7544706811642</v>
      </c>
      <c r="DR143" s="22">
        <f t="shared" si="124"/>
        <v>464.16404310302738</v>
      </c>
      <c r="DS143" s="62">
        <f t="shared" si="125"/>
        <v>757.4973764363607</v>
      </c>
      <c r="DT143" s="62">
        <f ca="1">AVERAGE(OFFSET($DS$3,0,0,'Données projet'!$E$14+1,1))-AVERAGE(OFFSET($H$3,0,0,'Données projet'!$E$14+1,1))</f>
        <v>349.73011349954953</v>
      </c>
      <c r="DU143" s="62">
        <f t="shared" si="152"/>
        <v>154.08406475869634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-1.7053025658242404E-13</v>
      </c>
      <c r="O144" s="14">
        <f>N144*VLOOKUP('Données projet'!$B$9,Paramètres!$A$1:$I$89,3,0)*VLOOKUP('Données projet'!$B$9,Paramètres!$A$1:$I$89,5,0)</f>
        <v>-1.0197709343628959E-13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203.63995177374335</v>
      </c>
      <c r="T144" s="62">
        <f t="shared" si="142"/>
        <v>268.97461244918378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1.5737745678979107</v>
      </c>
      <c r="AA144" s="23">
        <f>EXP(-LN(2)/25)*AA143+(1-EXP(-LN(2)/25))/(LN(2)/25)*Calculateur!V144*Calculateur!X144*VLOOKUP('Données projet'!$B$9,Paramètres!$A$1:$I$89,3,0)*0.475*44/12</f>
        <v>0.57729735968444196</v>
      </c>
      <c r="AB144" s="23">
        <f>EXP(-LN(2)/2)*AB143+(1-EXP(-LN(2)/2))/(LN(2)/2)*V144*Y144*VLOOKUP('Données projet'!$B$9,Paramètres!$A$1:$I$89,3,0)*0.475*44/12</f>
        <v>6.2844443392820745E-17</v>
      </c>
      <c r="AC144" s="24">
        <f t="shared" si="111"/>
        <v>2.1510719275823527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1.1000000000000001</v>
      </c>
      <c r="AI144" s="14">
        <f>IF('Données projet'!$A$62&gt;35,AI143+AH144-AQ143,IF(A144&lt;'Données projet'!$A$62,$AF$205^A144,IF(A144='Données projet'!$A$62,'Données projet'!$B$62,AI143+AH144-AQ143)))</f>
        <v>222.09999999999985</v>
      </c>
      <c r="AJ144" s="14">
        <f>AI144*VLOOKUP('Données projet'!$B$10,Paramètres!$A$1:$I$89,3,0)*VLOOKUP('Données projet'!$B$10,Paramètres!$A$1:$I$89,5,0)</f>
        <v>225.20939999999985</v>
      </c>
      <c r="AK144" s="14">
        <f t="shared" si="143"/>
        <v>55.245576289331673</v>
      </c>
      <c r="AL144" s="22">
        <f t="shared" si="112"/>
        <v>488.45908370391908</v>
      </c>
      <c r="AM144" s="62">
        <f t="shared" si="113"/>
        <v>781.79241703725233</v>
      </c>
      <c r="AN144" s="62">
        <f ca="1">AVERAGE(OFFSET($AM$3,0,0,'Données projet'!$E$10+1,1))-AVERAGE(OFFSET($H$3,0,0,'Données projet'!$E$10+1,1))</f>
        <v>364.69354394930866</v>
      </c>
      <c r="AO144" s="62">
        <f t="shared" si="144"/>
        <v>159.6134369231965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241.00707378755914</v>
      </c>
      <c r="BJ144" s="62">
        <f t="shared" si="146"/>
        <v>239.93573789765657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1.4210854715202004E-13</v>
      </c>
      <c r="BZ144" s="14">
        <f>BY144*VLOOKUP('Données projet'!$B$12,Paramètres!$A$1:$I$89,3,0)*VLOOKUP('Données projet'!$B$12,Paramètres!$A$1:$I$89,5,0)</f>
        <v>9.5326413429575044E-14</v>
      </c>
      <c r="CA144" s="14">
        <f t="shared" si="147"/>
        <v>1.4400742856080346E-12</v>
      </c>
      <c r="CB144" s="22">
        <f t="shared" si="118"/>
        <v>2.6741562174905032E-12</v>
      </c>
      <c r="CC144" s="62">
        <f t="shared" si="119"/>
        <v>293.33333333333599</v>
      </c>
      <c r="CD144" s="62">
        <f ca="1">AVERAGE(OFFSET($CC$3,0,0,'Données projet'!$E$12+1,1))-AVERAGE(OFFSET($H$3,0,0,'Données projet'!$E$12+1,1))</f>
        <v>207.91006140109965</v>
      </c>
      <c r="CE144" s="62">
        <f t="shared" si="148"/>
        <v>164.93317437647255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1.4210854715202004E-13</v>
      </c>
      <c r="CU144" s="18">
        <f>CT144*VLOOKUP('Données projet'!$B$13,Paramètres!$A$1:$I$89,3,0)*VLOOKUP('Données projet'!$B$13,Paramètres!$A$1:$I$89,5,0)</f>
        <v>1.2192913345643319E-13</v>
      </c>
      <c r="CV144" s="14">
        <f t="shared" si="149"/>
        <v>1.7899324464546674E-12</v>
      </c>
      <c r="CW144" s="22">
        <f t="shared" si="121"/>
        <v>3.3298255850118335E-12</v>
      </c>
      <c r="CX144" s="62">
        <f t="shared" si="122"/>
        <v>293.33333333333667</v>
      </c>
      <c r="CY144" s="62">
        <f ca="1">AVERAGE(OFFSET($CX$3,0,0,'Données projet'!$E$13+1,1))-AVERAGE(OFFSET($H$3,0,0,'Données projet'!$E$13+1,1))</f>
        <v>255.77222823147724</v>
      </c>
      <c r="CZ144" s="62">
        <f t="shared" si="150"/>
        <v>199.6931080052031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1.1000000000000001</v>
      </c>
      <c r="DO144" s="13">
        <f>IF('Données projet'!$A$166&gt;35,DO143+DN144-DW143,IF(A144&lt;'Données projet'!$A$166,$DL$205^A144,IF(A144='Données projet'!$A$166,'Données projet'!$B$166,DO143+DN144-DW143)))</f>
        <v>222.09999999999985</v>
      </c>
      <c r="DP144" s="18">
        <f>DO144*VLOOKUP('Données projet'!$B$14,Paramètres!$A$1:$I$89,3,0)*VLOOKUP('Données projet'!$B$14,Paramètres!$A$1:$I$89,5,0)</f>
        <v>214.81511999999987</v>
      </c>
      <c r="DQ144" s="14">
        <f t="shared" si="151"/>
        <v>52.986418234043406</v>
      </c>
      <c r="DR144" s="22">
        <f t="shared" si="124"/>
        <v>466.42101242429203</v>
      </c>
      <c r="DS144" s="62">
        <f t="shared" si="125"/>
        <v>759.75434575762529</v>
      </c>
      <c r="DT144" s="62">
        <f ca="1">AVERAGE(OFFSET($DS$3,0,0,'Données projet'!$E$14+1,1))-AVERAGE(OFFSET($H$3,0,0,'Données projet'!$E$14+1,1))</f>
        <v>349.73011349954953</v>
      </c>
      <c r="DU144" s="62">
        <f t="shared" si="152"/>
        <v>154.08406475869634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-1.7053025658242404E-13</v>
      </c>
      <c r="O145" s="14">
        <f>N145*VLOOKUP('Données projet'!$B$9,Paramètres!$A$1:$I$89,3,0)*VLOOKUP('Données projet'!$B$9,Paramètres!$A$1:$I$89,5,0)</f>
        <v>-1.0197709343628959E-13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203.63995177374335</v>
      </c>
      <c r="T145" s="62">
        <f t="shared" si="142"/>
        <v>268.97461244918378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1.5429138085291361</v>
      </c>
      <c r="AA145" s="23">
        <f>EXP(-LN(2)/25)*AA144+(1-EXP(-LN(2)/25))/(LN(2)/25)*Calculateur!V145*Calculateur!X145*VLOOKUP('Données projet'!$B$9,Paramètres!$A$1:$I$89,3,0)*0.475*44/12</f>
        <v>0.56151113302512212</v>
      </c>
      <c r="AB145" s="23">
        <f>EXP(-LN(2)/2)*AB144+(1-EXP(-LN(2)/2))/(LN(2)/2)*V145*Y145*VLOOKUP('Données projet'!$B$9,Paramètres!$A$1:$I$89,3,0)*0.475*44/12</f>
        <v>4.4437732082957672E-17</v>
      </c>
      <c r="AC145" s="24">
        <f t="shared" si="111"/>
        <v>2.1044249415542584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1.1000000000000001</v>
      </c>
      <c r="AI145" s="14">
        <f>IF('Données projet'!$A$62&gt;35,AI144+AH145-AQ144,IF(A145&lt;'Données projet'!$A$62,$AF$205^A145,IF(A145='Données projet'!$A$62,'Données projet'!$B$62,AI144+AH145-AQ144)))</f>
        <v>223.19999999999985</v>
      </c>
      <c r="AJ145" s="14">
        <f>AI145*VLOOKUP('Données projet'!$B$10,Paramètres!$A$1:$I$89,3,0)*VLOOKUP('Données projet'!$B$10,Paramètres!$A$1:$I$89,5,0)</f>
        <v>226.32479999999984</v>
      </c>
      <c r="AK145" s="14">
        <f t="shared" si="143"/>
        <v>55.48727390683667</v>
      </c>
      <c r="AL145" s="22">
        <f t="shared" si="112"/>
        <v>490.82269538774034</v>
      </c>
      <c r="AM145" s="62">
        <f t="shared" si="113"/>
        <v>784.15602872107365</v>
      </c>
      <c r="AN145" s="62">
        <f ca="1">AVERAGE(OFFSET($AM$3,0,0,'Données projet'!$E$10+1,1))-AVERAGE(OFFSET($H$3,0,0,'Données projet'!$E$10+1,1))</f>
        <v>364.69354394930866</v>
      </c>
      <c r="AO145" s="62">
        <f t="shared" si="144"/>
        <v>159.6134369231965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241.00707378755914</v>
      </c>
      <c r="BJ145" s="62">
        <f t="shared" si="146"/>
        <v>239.93573789765657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1.4210854715202004E-13</v>
      </c>
      <c r="BZ145" s="14">
        <f>BY145*VLOOKUP('Données projet'!$B$12,Paramètres!$A$1:$I$89,3,0)*VLOOKUP('Données projet'!$B$12,Paramètres!$A$1:$I$89,5,0)</f>
        <v>9.5326413429575044E-14</v>
      </c>
      <c r="CA145" s="14">
        <f t="shared" si="147"/>
        <v>1.4400742856080346E-12</v>
      </c>
      <c r="CB145" s="22">
        <f t="shared" si="118"/>
        <v>2.6741562174905032E-12</v>
      </c>
      <c r="CC145" s="62">
        <f t="shared" si="119"/>
        <v>293.33333333333599</v>
      </c>
      <c r="CD145" s="62">
        <f ca="1">AVERAGE(OFFSET($CC$3,0,0,'Données projet'!$E$12+1,1))-AVERAGE(OFFSET($H$3,0,0,'Données projet'!$E$12+1,1))</f>
        <v>207.91006140109965</v>
      </c>
      <c r="CE145" s="62">
        <f t="shared" si="148"/>
        <v>164.93317437647255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1.4210854715202004E-13</v>
      </c>
      <c r="CU145" s="18">
        <f>CT145*VLOOKUP('Données projet'!$B$13,Paramètres!$A$1:$I$89,3,0)*VLOOKUP('Données projet'!$B$13,Paramètres!$A$1:$I$89,5,0)</f>
        <v>1.2192913345643319E-13</v>
      </c>
      <c r="CV145" s="14">
        <f t="shared" si="149"/>
        <v>1.7899324464546674E-12</v>
      </c>
      <c r="CW145" s="22">
        <f t="shared" si="121"/>
        <v>3.3298255850118335E-12</v>
      </c>
      <c r="CX145" s="62">
        <f t="shared" si="122"/>
        <v>293.33333333333667</v>
      </c>
      <c r="CY145" s="62">
        <f ca="1">AVERAGE(OFFSET($CX$3,0,0,'Données projet'!$E$13+1,1))-AVERAGE(OFFSET($H$3,0,0,'Données projet'!$E$13+1,1))</f>
        <v>255.77222823147724</v>
      </c>
      <c r="CZ145" s="62">
        <f t="shared" si="150"/>
        <v>199.6931080052031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1.1000000000000001</v>
      </c>
      <c r="DO145" s="13">
        <f>IF('Données projet'!$A$166&gt;35,DO144+DN145-DW144,IF(A145&lt;'Données projet'!$A$166,$DL$205^A145,IF(A145='Données projet'!$A$166,'Données projet'!$B$166,DO144+DN145-DW144)))</f>
        <v>223.19999999999985</v>
      </c>
      <c r="DP145" s="18">
        <f>DO145*VLOOKUP('Données projet'!$B$14,Paramètres!$A$1:$I$89,3,0)*VLOOKUP('Données projet'!$B$14,Paramètres!$A$1:$I$89,5,0)</f>
        <v>215.87903999999986</v>
      </c>
      <c r="DQ145" s="14">
        <f t="shared" si="151"/>
        <v>53.218232107795458</v>
      </c>
      <c r="DR145" s="22">
        <f t="shared" si="124"/>
        <v>468.67774892107678</v>
      </c>
      <c r="DS145" s="62">
        <f t="shared" si="125"/>
        <v>762.0110822544101</v>
      </c>
      <c r="DT145" s="62">
        <f ca="1">AVERAGE(OFFSET($DS$3,0,0,'Données projet'!$E$14+1,1))-AVERAGE(OFFSET($H$3,0,0,'Données projet'!$E$14+1,1))</f>
        <v>349.73011349954953</v>
      </c>
      <c r="DU145" s="62">
        <f t="shared" si="152"/>
        <v>154.08406475869634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-1.7053025658242404E-13</v>
      </c>
      <c r="O146" s="14">
        <f>N146*VLOOKUP('Données projet'!$B$9,Paramètres!$A$1:$I$89,3,0)*VLOOKUP('Données projet'!$B$9,Paramètres!$A$1:$I$89,5,0)</f>
        <v>-1.0197709343628959E-13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203.63995177374335</v>
      </c>
      <c r="T146" s="62">
        <f t="shared" si="142"/>
        <v>268.97461244918378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1.5126582098283785</v>
      </c>
      <c r="AA146" s="23">
        <f>EXP(-LN(2)/25)*AA145+(1-EXP(-LN(2)/25))/(LN(2)/25)*Calculateur!V146*Calculateur!X146*VLOOKUP('Données projet'!$B$9,Paramètres!$A$1:$I$89,3,0)*0.475*44/12</f>
        <v>0.54615658156396307</v>
      </c>
      <c r="AB146" s="23">
        <f>EXP(-LN(2)/2)*AB145+(1-EXP(-LN(2)/2))/(LN(2)/2)*V146*Y146*VLOOKUP('Données projet'!$B$9,Paramètres!$A$1:$I$89,3,0)*0.475*44/12</f>
        <v>3.1422221696410373E-17</v>
      </c>
      <c r="AC146" s="24">
        <f t="shared" si="111"/>
        <v>2.0588147913923418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1.1000000000000001</v>
      </c>
      <c r="AI146" s="14">
        <f>IF('Données projet'!$A$62&gt;35,AI145+AH146-AQ145,IF(A146&lt;'Données projet'!$A$62,$AF$205^A146,IF(A146='Données projet'!$A$62,'Données projet'!$B$62,AI145+AH146-AQ145)))</f>
        <v>224.29999999999984</v>
      </c>
      <c r="AJ146" s="14">
        <f>AI146*VLOOKUP('Données projet'!$B$10,Paramètres!$A$1:$I$89,3,0)*VLOOKUP('Données projet'!$B$10,Paramètres!$A$1:$I$89,5,0)</f>
        <v>227.44019999999986</v>
      </c>
      <c r="AK146" s="14">
        <f t="shared" si="143"/>
        <v>55.728832912241863</v>
      </c>
      <c r="AL146" s="22">
        <f t="shared" si="112"/>
        <v>493.18606565548765</v>
      </c>
      <c r="AM146" s="62">
        <f t="shared" si="113"/>
        <v>786.51939898882097</v>
      </c>
      <c r="AN146" s="62">
        <f ca="1">AVERAGE(OFFSET($AM$3,0,0,'Données projet'!$E$10+1,1))-AVERAGE(OFFSET($H$3,0,0,'Données projet'!$E$10+1,1))</f>
        <v>364.69354394930866</v>
      </c>
      <c r="AO146" s="62">
        <f t="shared" si="144"/>
        <v>159.6134369231965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241.00707378755914</v>
      </c>
      <c r="BJ146" s="62">
        <f t="shared" si="146"/>
        <v>239.93573789765657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1.4210854715202004E-13</v>
      </c>
      <c r="BZ146" s="14">
        <f>BY146*VLOOKUP('Données projet'!$B$12,Paramètres!$A$1:$I$89,3,0)*VLOOKUP('Données projet'!$B$12,Paramètres!$A$1:$I$89,5,0)</f>
        <v>9.5326413429575044E-14</v>
      </c>
      <c r="CA146" s="14">
        <f t="shared" si="147"/>
        <v>1.4400742856080346E-12</v>
      </c>
      <c r="CB146" s="22">
        <f t="shared" si="118"/>
        <v>2.6741562174905032E-12</v>
      </c>
      <c r="CC146" s="62">
        <f t="shared" si="119"/>
        <v>293.33333333333599</v>
      </c>
      <c r="CD146" s="62">
        <f ca="1">AVERAGE(OFFSET($CC$3,0,0,'Données projet'!$E$12+1,1))-AVERAGE(OFFSET($H$3,0,0,'Données projet'!$E$12+1,1))</f>
        <v>207.91006140109965</v>
      </c>
      <c r="CE146" s="62">
        <f t="shared" si="148"/>
        <v>164.93317437647255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1.4210854715202004E-13</v>
      </c>
      <c r="CU146" s="18">
        <f>CT146*VLOOKUP('Données projet'!$B$13,Paramètres!$A$1:$I$89,3,0)*VLOOKUP('Données projet'!$B$13,Paramètres!$A$1:$I$89,5,0)</f>
        <v>1.2192913345643319E-13</v>
      </c>
      <c r="CV146" s="14">
        <f t="shared" si="149"/>
        <v>1.7899324464546674E-12</v>
      </c>
      <c r="CW146" s="22">
        <f t="shared" si="121"/>
        <v>3.3298255850118335E-12</v>
      </c>
      <c r="CX146" s="62">
        <f t="shared" si="122"/>
        <v>293.33333333333667</v>
      </c>
      <c r="CY146" s="62">
        <f ca="1">AVERAGE(OFFSET($CX$3,0,0,'Données projet'!$E$13+1,1))-AVERAGE(OFFSET($H$3,0,0,'Données projet'!$E$13+1,1))</f>
        <v>255.77222823147724</v>
      </c>
      <c r="CZ146" s="62">
        <f t="shared" si="150"/>
        <v>199.6931080052031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1.1000000000000001</v>
      </c>
      <c r="DO146" s="13">
        <f>IF('Données projet'!$A$166&gt;35,DO145+DN146-DW145,IF(A146&lt;'Données projet'!$A$166,$DL$205^A146,IF(A146='Données projet'!$A$166,'Données projet'!$B$166,DO145+DN146-DW145)))</f>
        <v>224.29999999999984</v>
      </c>
      <c r="DP146" s="18">
        <f>DO146*VLOOKUP('Données projet'!$B$14,Paramètres!$A$1:$I$89,3,0)*VLOOKUP('Données projet'!$B$14,Paramètres!$A$1:$I$89,5,0)</f>
        <v>216.94295999999983</v>
      </c>
      <c r="DQ146" s="14">
        <f t="shared" si="151"/>
        <v>53.449913037714019</v>
      </c>
      <c r="DR146" s="22">
        <f t="shared" si="124"/>
        <v>470.93425387401822</v>
      </c>
      <c r="DS146" s="62">
        <f t="shared" si="125"/>
        <v>764.26758720735154</v>
      </c>
      <c r="DT146" s="62">
        <f ca="1">AVERAGE(OFFSET($DS$3,0,0,'Données projet'!$E$14+1,1))-AVERAGE(OFFSET($H$3,0,0,'Données projet'!$E$14+1,1))</f>
        <v>349.73011349954953</v>
      </c>
      <c r="DU146" s="62">
        <f t="shared" si="152"/>
        <v>154.08406475869634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-1.7053025658242404E-13</v>
      </c>
      <c r="O147" s="14">
        <f>N147*VLOOKUP('Données projet'!$B$9,Paramètres!$A$1:$I$89,3,0)*VLOOKUP('Données projet'!$B$9,Paramètres!$A$1:$I$89,5,0)</f>
        <v>-1.0197709343628959E-13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203.63995177374335</v>
      </c>
      <c r="T147" s="62">
        <f t="shared" si="142"/>
        <v>268.97461244918378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1.4829959049640498</v>
      </c>
      <c r="AA147" s="23">
        <f>EXP(-LN(2)/25)*AA146+(1-EXP(-LN(2)/25))/(LN(2)/25)*Calculateur!V147*Calculateur!X147*VLOOKUP('Données projet'!$B$9,Paramètres!$A$1:$I$89,3,0)*0.475*44/12</f>
        <v>0.53122190111997014</v>
      </c>
      <c r="AB147" s="23">
        <f>EXP(-LN(2)/2)*AB146+(1-EXP(-LN(2)/2))/(LN(2)/2)*V147*Y147*VLOOKUP('Données projet'!$B$9,Paramètres!$A$1:$I$89,3,0)*0.475*44/12</f>
        <v>2.2218866041478836E-17</v>
      </c>
      <c r="AC147" s="24">
        <f t="shared" si="111"/>
        <v>2.0142178060840199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1.1000000000000001</v>
      </c>
      <c r="AI147" s="14">
        <f>IF('Données projet'!$A$62&gt;35,AI146+AH147-AQ146,IF(A147&lt;'Données projet'!$A$62,$AF$205^A147,IF(A147='Données projet'!$A$62,'Données projet'!$B$62,AI146+AH147-AQ146)))</f>
        <v>225.39999999999984</v>
      </c>
      <c r="AJ147" s="14">
        <f>AI147*VLOOKUP('Données projet'!$B$10,Paramètres!$A$1:$I$89,3,0)*VLOOKUP('Données projet'!$B$10,Paramètres!$A$1:$I$89,5,0)</f>
        <v>228.55559999999986</v>
      </c>
      <c r="AK147" s="14">
        <f t="shared" si="143"/>
        <v>55.970254064236471</v>
      </c>
      <c r="AL147" s="22">
        <f t="shared" si="112"/>
        <v>495.54919582854495</v>
      </c>
      <c r="AM147" s="62">
        <f t="shared" si="113"/>
        <v>788.88252916187821</v>
      </c>
      <c r="AN147" s="62">
        <f ca="1">AVERAGE(OFFSET($AM$3,0,0,'Données projet'!$E$10+1,1))-AVERAGE(OFFSET($H$3,0,0,'Données projet'!$E$10+1,1))</f>
        <v>364.69354394930866</v>
      </c>
      <c r="AO147" s="62">
        <f t="shared" si="144"/>
        <v>159.6134369231965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241.00707378755914</v>
      </c>
      <c r="BJ147" s="62">
        <f t="shared" si="146"/>
        <v>239.93573789765657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1.4210854715202004E-13</v>
      </c>
      <c r="BZ147" s="14">
        <f>BY147*VLOOKUP('Données projet'!$B$12,Paramètres!$A$1:$I$89,3,0)*VLOOKUP('Données projet'!$B$12,Paramètres!$A$1:$I$89,5,0)</f>
        <v>9.5326413429575044E-14</v>
      </c>
      <c r="CA147" s="14">
        <f t="shared" si="147"/>
        <v>1.4400742856080346E-12</v>
      </c>
      <c r="CB147" s="22">
        <f t="shared" si="118"/>
        <v>2.6741562174905032E-12</v>
      </c>
      <c r="CC147" s="62">
        <f t="shared" si="119"/>
        <v>293.33333333333599</v>
      </c>
      <c r="CD147" s="62">
        <f ca="1">AVERAGE(OFFSET($CC$3,0,0,'Données projet'!$E$12+1,1))-AVERAGE(OFFSET($H$3,0,0,'Données projet'!$E$12+1,1))</f>
        <v>207.91006140109965</v>
      </c>
      <c r="CE147" s="62">
        <f t="shared" si="148"/>
        <v>164.93317437647255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1.4210854715202004E-13</v>
      </c>
      <c r="CU147" s="18">
        <f>CT147*VLOOKUP('Données projet'!$B$13,Paramètres!$A$1:$I$89,3,0)*VLOOKUP('Données projet'!$B$13,Paramètres!$A$1:$I$89,5,0)</f>
        <v>1.2192913345643319E-13</v>
      </c>
      <c r="CV147" s="14">
        <f t="shared" si="149"/>
        <v>1.7899324464546674E-12</v>
      </c>
      <c r="CW147" s="22">
        <f t="shared" si="121"/>
        <v>3.3298255850118335E-12</v>
      </c>
      <c r="CX147" s="62">
        <f t="shared" si="122"/>
        <v>293.33333333333667</v>
      </c>
      <c r="CY147" s="62">
        <f ca="1">AVERAGE(OFFSET($CX$3,0,0,'Données projet'!$E$13+1,1))-AVERAGE(OFFSET($H$3,0,0,'Données projet'!$E$13+1,1))</f>
        <v>255.77222823147724</v>
      </c>
      <c r="CZ147" s="62">
        <f t="shared" si="150"/>
        <v>199.6931080052031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1.1000000000000001</v>
      </c>
      <c r="DO147" s="13">
        <f>IF('Données projet'!$A$166&gt;35,DO146+DN147-DW146,IF(A147&lt;'Données projet'!$A$166,$DL$205^A147,IF(A147='Données projet'!$A$166,'Données projet'!$B$166,DO146+DN147-DW146)))</f>
        <v>225.39999999999984</v>
      </c>
      <c r="DP147" s="18">
        <f>DO147*VLOOKUP('Données projet'!$B$14,Paramètres!$A$1:$I$89,3,0)*VLOOKUP('Données projet'!$B$14,Paramètres!$A$1:$I$89,5,0)</f>
        <v>218.00687999999985</v>
      </c>
      <c r="DQ147" s="14">
        <f t="shared" si="151"/>
        <v>53.681461751463267</v>
      </c>
      <c r="DR147" s="22">
        <f t="shared" si="124"/>
        <v>473.19052855046488</v>
      </c>
      <c r="DS147" s="62">
        <f t="shared" si="125"/>
        <v>766.52386188379819</v>
      </c>
      <c r="DT147" s="62">
        <f ca="1">AVERAGE(OFFSET($DS$3,0,0,'Données projet'!$E$14+1,1))-AVERAGE(OFFSET($H$3,0,0,'Données projet'!$E$14+1,1))</f>
        <v>349.73011349954953</v>
      </c>
      <c r="DU147" s="62">
        <f t="shared" si="152"/>
        <v>154.08406475869634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-1.7053025658242404E-13</v>
      </c>
      <c r="O148" s="14">
        <f>N148*VLOOKUP('Données projet'!$B$9,Paramètres!$A$1:$I$89,3,0)*VLOOKUP('Données projet'!$B$9,Paramètres!$A$1:$I$89,5,0)</f>
        <v>-1.0197709343628959E-13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203.63995177374335</v>
      </c>
      <c r="T148" s="62">
        <f t="shared" si="142"/>
        <v>268.97461244918378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1.4539152598058911</v>
      </c>
      <c r="AA148" s="23">
        <f>EXP(-LN(2)/25)*AA147+(1-EXP(-LN(2)/25))/(LN(2)/25)*Calculateur!V148*Calculateur!X148*VLOOKUP('Données projet'!$B$9,Paramètres!$A$1:$I$89,3,0)*0.475*44/12</f>
        <v>0.51669561029809885</v>
      </c>
      <c r="AB148" s="23">
        <f>EXP(-LN(2)/2)*AB147+(1-EXP(-LN(2)/2))/(LN(2)/2)*V148*Y148*VLOOKUP('Données projet'!$B$9,Paramètres!$A$1:$I$89,3,0)*0.475*44/12</f>
        <v>1.5711110848205186E-17</v>
      </c>
      <c r="AC148" s="24">
        <f t="shared" si="111"/>
        <v>1.9706108701039899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1.1000000000000001</v>
      </c>
      <c r="AI148" s="14">
        <f>IF('Données projet'!$A$62&gt;35,AI147+AH148-AQ147,IF(A148&lt;'Données projet'!$A$62,$AF$205^A148,IF(A148='Données projet'!$A$62,'Données projet'!$B$62,AI147+AH148-AQ147)))</f>
        <v>226.49999999999983</v>
      </c>
      <c r="AJ148" s="14">
        <f>AI148*VLOOKUP('Données projet'!$B$10,Paramètres!$A$1:$I$89,3,0)*VLOOKUP('Données projet'!$B$10,Paramètres!$A$1:$I$89,5,0)</f>
        <v>229.67099999999982</v>
      </c>
      <c r="AK148" s="14">
        <f t="shared" si="143"/>
        <v>56.211538113675765</v>
      </c>
      <c r="AL148" s="22">
        <f t="shared" si="112"/>
        <v>497.91208721465159</v>
      </c>
      <c r="AM148" s="62">
        <f t="shared" si="113"/>
        <v>791.24542054798485</v>
      </c>
      <c r="AN148" s="62">
        <f ca="1">AVERAGE(OFFSET($AM$3,0,0,'Données projet'!$E$10+1,1))-AVERAGE(OFFSET($H$3,0,0,'Données projet'!$E$10+1,1))</f>
        <v>364.69354394930866</v>
      </c>
      <c r="AO148" s="62">
        <f t="shared" si="144"/>
        <v>159.6134369231965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241.00707378755914</v>
      </c>
      <c r="BJ148" s="62">
        <f t="shared" si="146"/>
        <v>239.93573789765657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1.4210854715202004E-13</v>
      </c>
      <c r="BZ148" s="14">
        <f>BY148*VLOOKUP('Données projet'!$B$12,Paramètres!$A$1:$I$89,3,0)*VLOOKUP('Données projet'!$B$12,Paramètres!$A$1:$I$89,5,0)</f>
        <v>9.5326413429575044E-14</v>
      </c>
      <c r="CA148" s="14">
        <f t="shared" si="147"/>
        <v>1.4400742856080346E-12</v>
      </c>
      <c r="CB148" s="22">
        <f t="shared" si="118"/>
        <v>2.6741562174905032E-12</v>
      </c>
      <c r="CC148" s="62">
        <f t="shared" si="119"/>
        <v>293.33333333333599</v>
      </c>
      <c r="CD148" s="62">
        <f ca="1">AVERAGE(OFFSET($CC$3,0,0,'Données projet'!$E$12+1,1))-AVERAGE(OFFSET($H$3,0,0,'Données projet'!$E$12+1,1))</f>
        <v>207.91006140109965</v>
      </c>
      <c r="CE148" s="62">
        <f t="shared" si="148"/>
        <v>164.93317437647255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1.4210854715202004E-13</v>
      </c>
      <c r="CU148" s="18">
        <f>CT148*VLOOKUP('Données projet'!$B$13,Paramètres!$A$1:$I$89,3,0)*VLOOKUP('Données projet'!$B$13,Paramètres!$A$1:$I$89,5,0)</f>
        <v>1.2192913345643319E-13</v>
      </c>
      <c r="CV148" s="14">
        <f t="shared" si="149"/>
        <v>1.7899324464546674E-12</v>
      </c>
      <c r="CW148" s="22">
        <f t="shared" si="121"/>
        <v>3.3298255850118335E-12</v>
      </c>
      <c r="CX148" s="62">
        <f t="shared" si="122"/>
        <v>293.33333333333667</v>
      </c>
      <c r="CY148" s="62">
        <f ca="1">AVERAGE(OFFSET($CX$3,0,0,'Données projet'!$E$13+1,1))-AVERAGE(OFFSET($H$3,0,0,'Données projet'!$E$13+1,1))</f>
        <v>255.77222823147724</v>
      </c>
      <c r="CZ148" s="62">
        <f t="shared" si="150"/>
        <v>199.6931080052031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1.1000000000000001</v>
      </c>
      <c r="DO148" s="13">
        <f>IF('Données projet'!$A$166&gt;35,DO147+DN148-DW147,IF(A148&lt;'Données projet'!$A$166,$DL$205^A148,IF(A148='Données projet'!$A$166,'Données projet'!$B$166,DO147+DN148-DW147)))</f>
        <v>226.49999999999983</v>
      </c>
      <c r="DP148" s="18">
        <f>DO148*VLOOKUP('Données projet'!$B$14,Paramètres!$A$1:$I$89,3,0)*VLOOKUP('Données projet'!$B$14,Paramètres!$A$1:$I$89,5,0)</f>
        <v>219.07079999999985</v>
      </c>
      <c r="DQ148" s="14">
        <f t="shared" si="151"/>
        <v>53.912878969193748</v>
      </c>
      <c r="DR148" s="22">
        <f t="shared" si="124"/>
        <v>475.44657420467888</v>
      </c>
      <c r="DS148" s="62">
        <f t="shared" si="125"/>
        <v>768.77990753801214</v>
      </c>
      <c r="DT148" s="62">
        <f ca="1">AVERAGE(OFFSET($DS$3,0,0,'Données projet'!$E$14+1,1))-AVERAGE(OFFSET($H$3,0,0,'Données projet'!$E$14+1,1))</f>
        <v>349.73011349954953</v>
      </c>
      <c r="DU148" s="62">
        <f t="shared" si="152"/>
        <v>154.08406475869634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-1.7053025658242404E-13</v>
      </c>
      <c r="O149" s="14">
        <f>N149*VLOOKUP('Données projet'!$B$9,Paramètres!$A$1:$I$89,3,0)*VLOOKUP('Données projet'!$B$9,Paramètres!$A$1:$I$89,5,0)</f>
        <v>-1.0197709343628959E-13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203.63995177374335</v>
      </c>
      <c r="T149" s="62">
        <f t="shared" si="142"/>
        <v>268.97461244918378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1.4254048683618417</v>
      </c>
      <c r="AA149" s="23">
        <f>EXP(-LN(2)/25)*AA148+(1-EXP(-LN(2)/25))/(LN(2)/25)*Calculateur!V149*Calculateur!X149*VLOOKUP('Données projet'!$B$9,Paramètres!$A$1:$I$89,3,0)*0.475*44/12</f>
        <v>0.50256654166265613</v>
      </c>
      <c r="AB149" s="23">
        <f>EXP(-LN(2)/2)*AB148+(1-EXP(-LN(2)/2))/(LN(2)/2)*V149*Y149*VLOOKUP('Données projet'!$B$9,Paramètres!$A$1:$I$89,3,0)*0.475*44/12</f>
        <v>1.1109433020739418E-17</v>
      </c>
      <c r="AC149" s="24">
        <f t="shared" si="111"/>
        <v>1.9279714100244978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1.1000000000000001</v>
      </c>
      <c r="AI149" s="14">
        <f>IF('Données projet'!$A$62&gt;35,AI148+AH149-AQ148,IF(A149&lt;'Données projet'!$A$62,$AF$205^A149,IF(A149='Données projet'!$A$62,'Données projet'!$B$62,AI148+AH149-AQ148)))</f>
        <v>227.59999999999982</v>
      </c>
      <c r="AJ149" s="14">
        <f>AI149*VLOOKUP('Données projet'!$B$10,Paramètres!$A$1:$I$89,3,0)*VLOOKUP('Données projet'!$B$10,Paramètres!$A$1:$I$89,5,0)</f>
        <v>230.78639999999982</v>
      </c>
      <c r="AK149" s="14">
        <f t="shared" si="143"/>
        <v>56.452685803699552</v>
      </c>
      <c r="AL149" s="22">
        <f t="shared" si="112"/>
        <v>500.27474110810971</v>
      </c>
      <c r="AM149" s="62">
        <f t="shared" si="113"/>
        <v>793.60807444144302</v>
      </c>
      <c r="AN149" s="62">
        <f ca="1">AVERAGE(OFFSET($AM$3,0,0,'Données projet'!$E$10+1,1))-AVERAGE(OFFSET($H$3,0,0,'Données projet'!$E$10+1,1))</f>
        <v>364.69354394930866</v>
      </c>
      <c r="AO149" s="62">
        <f t="shared" si="144"/>
        <v>159.6134369231965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241.00707378755914</v>
      </c>
      <c r="BJ149" s="62">
        <f t="shared" si="146"/>
        <v>239.93573789765657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1.4210854715202004E-13</v>
      </c>
      <c r="BZ149" s="14">
        <f>BY149*VLOOKUP('Données projet'!$B$12,Paramètres!$A$1:$I$89,3,0)*VLOOKUP('Données projet'!$B$12,Paramètres!$A$1:$I$89,5,0)</f>
        <v>9.5326413429575044E-14</v>
      </c>
      <c r="CA149" s="14">
        <f t="shared" si="147"/>
        <v>1.4400742856080346E-12</v>
      </c>
      <c r="CB149" s="22">
        <f t="shared" si="118"/>
        <v>2.6741562174905032E-12</v>
      </c>
      <c r="CC149" s="62">
        <f t="shared" si="119"/>
        <v>293.33333333333599</v>
      </c>
      <c r="CD149" s="62">
        <f ca="1">AVERAGE(OFFSET($CC$3,0,0,'Données projet'!$E$12+1,1))-AVERAGE(OFFSET($H$3,0,0,'Données projet'!$E$12+1,1))</f>
        <v>207.91006140109965</v>
      </c>
      <c r="CE149" s="62">
        <f t="shared" si="148"/>
        <v>164.93317437647255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1.4210854715202004E-13</v>
      </c>
      <c r="CU149" s="18">
        <f>CT149*VLOOKUP('Données projet'!$B$13,Paramètres!$A$1:$I$89,3,0)*VLOOKUP('Données projet'!$B$13,Paramètres!$A$1:$I$89,5,0)</f>
        <v>1.2192913345643319E-13</v>
      </c>
      <c r="CV149" s="14">
        <f t="shared" si="149"/>
        <v>1.7899324464546674E-12</v>
      </c>
      <c r="CW149" s="22">
        <f t="shared" si="121"/>
        <v>3.3298255850118335E-12</v>
      </c>
      <c r="CX149" s="62">
        <f t="shared" si="122"/>
        <v>293.33333333333667</v>
      </c>
      <c r="CY149" s="62">
        <f ca="1">AVERAGE(OFFSET($CX$3,0,0,'Données projet'!$E$13+1,1))-AVERAGE(OFFSET($H$3,0,0,'Données projet'!$E$13+1,1))</f>
        <v>255.77222823147724</v>
      </c>
      <c r="CZ149" s="62">
        <f t="shared" si="150"/>
        <v>199.6931080052031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1.1000000000000001</v>
      </c>
      <c r="DO149" s="13">
        <f>IF('Données projet'!$A$166&gt;35,DO148+DN149-DW148,IF(A149&lt;'Données projet'!$A$166,$DL$205^A149,IF(A149='Données projet'!$A$166,'Données projet'!$B$166,DO148+DN149-DW148)))</f>
        <v>227.59999999999982</v>
      </c>
      <c r="DP149" s="18">
        <f>DO149*VLOOKUP('Données projet'!$B$14,Paramètres!$A$1:$I$89,3,0)*VLOOKUP('Données projet'!$B$14,Paramètres!$A$1:$I$89,5,0)</f>
        <v>220.13471999999982</v>
      </c>
      <c r="DQ149" s="14">
        <f t="shared" si="151"/>
        <v>54.144165403656032</v>
      </c>
      <c r="DR149" s="22">
        <f t="shared" si="124"/>
        <v>477.70239207803388</v>
      </c>
      <c r="DS149" s="62">
        <f t="shared" si="125"/>
        <v>771.03572541136714</v>
      </c>
      <c r="DT149" s="62">
        <f ca="1">AVERAGE(OFFSET($DS$3,0,0,'Données projet'!$E$14+1,1))-AVERAGE(OFFSET($H$3,0,0,'Données projet'!$E$14+1,1))</f>
        <v>349.73011349954953</v>
      </c>
      <c r="DU149" s="62">
        <f t="shared" si="152"/>
        <v>154.08406475869634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-1.7053025658242404E-13</v>
      </c>
      <c r="O150" s="14">
        <f>N150*VLOOKUP('Données projet'!$B$9,Paramètres!$A$1:$I$89,3,0)*VLOOKUP('Données projet'!$B$9,Paramètres!$A$1:$I$89,5,0)</f>
        <v>-1.0197709343628959E-13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203.63995177374335</v>
      </c>
      <c r="T150" s="62">
        <f t="shared" si="142"/>
        <v>268.97461244918378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1.3974535483043884</v>
      </c>
      <c r="AA150" s="23">
        <f>EXP(-LN(2)/25)*AA149+(1-EXP(-LN(2)/25))/(LN(2)/25)*Calculateur!V150*Calculateur!X150*VLOOKUP('Données projet'!$B$9,Paramètres!$A$1:$I$89,3,0)*0.475*44/12</f>
        <v>0.48882383315206501</v>
      </c>
      <c r="AB150" s="23">
        <f>EXP(-LN(2)/2)*AB149+(1-EXP(-LN(2)/2))/(LN(2)/2)*V150*Y150*VLOOKUP('Données projet'!$B$9,Paramètres!$A$1:$I$89,3,0)*0.475*44/12</f>
        <v>7.8555554241025932E-18</v>
      </c>
      <c r="AC150" s="24">
        <f t="shared" si="111"/>
        <v>1.8862773814564533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1.1000000000000001</v>
      </c>
      <c r="AI150" s="14">
        <f>IF('Données projet'!$A$62&gt;35,AI149+AH150-AQ149,IF(A150&lt;'Données projet'!$A$62,$AF$205^A150,IF(A150='Données projet'!$A$62,'Données projet'!$B$62,AI149+AH150-AQ149)))</f>
        <v>228.69999999999982</v>
      </c>
      <c r="AJ150" s="14">
        <f>AI150*VLOOKUP('Données projet'!$B$10,Paramètres!$A$1:$I$89,3,0)*VLOOKUP('Données projet'!$B$10,Paramètres!$A$1:$I$89,5,0)</f>
        <v>231.90179999999984</v>
      </c>
      <c r="AK150" s="14">
        <f t="shared" si="143"/>
        <v>56.693697869848357</v>
      </c>
      <c r="AL150" s="22">
        <f t="shared" si="112"/>
        <v>502.63715878998556</v>
      </c>
      <c r="AM150" s="62">
        <f t="shared" si="113"/>
        <v>795.97049212331888</v>
      </c>
      <c r="AN150" s="62">
        <f ca="1">AVERAGE(OFFSET($AM$3,0,0,'Données projet'!$E$10+1,1))-AVERAGE(OFFSET($H$3,0,0,'Données projet'!$E$10+1,1))</f>
        <v>364.69354394930866</v>
      </c>
      <c r="AO150" s="62">
        <f t="shared" si="144"/>
        <v>159.6134369231965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241.00707378755914</v>
      </c>
      <c r="BJ150" s="62">
        <f t="shared" si="146"/>
        <v>239.93573789765657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1.4210854715202004E-13</v>
      </c>
      <c r="BZ150" s="14">
        <f>BY150*VLOOKUP('Données projet'!$B$12,Paramètres!$A$1:$I$89,3,0)*VLOOKUP('Données projet'!$B$12,Paramètres!$A$1:$I$89,5,0)</f>
        <v>9.5326413429575044E-14</v>
      </c>
      <c r="CA150" s="14">
        <f t="shared" si="147"/>
        <v>1.4400742856080346E-12</v>
      </c>
      <c r="CB150" s="22">
        <f t="shared" si="118"/>
        <v>2.6741562174905032E-12</v>
      </c>
      <c r="CC150" s="62">
        <f t="shared" si="119"/>
        <v>293.33333333333599</v>
      </c>
      <c r="CD150" s="62">
        <f ca="1">AVERAGE(OFFSET($CC$3,0,0,'Données projet'!$E$12+1,1))-AVERAGE(OFFSET($H$3,0,0,'Données projet'!$E$12+1,1))</f>
        <v>207.91006140109965</v>
      </c>
      <c r="CE150" s="62">
        <f t="shared" si="148"/>
        <v>164.93317437647255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1.4210854715202004E-13</v>
      </c>
      <c r="CU150" s="18">
        <f>CT150*VLOOKUP('Données projet'!$B$13,Paramètres!$A$1:$I$89,3,0)*VLOOKUP('Données projet'!$B$13,Paramètres!$A$1:$I$89,5,0)</f>
        <v>1.2192913345643319E-13</v>
      </c>
      <c r="CV150" s="14">
        <f t="shared" si="149"/>
        <v>1.7899324464546674E-12</v>
      </c>
      <c r="CW150" s="22">
        <f t="shared" si="121"/>
        <v>3.3298255850118335E-12</v>
      </c>
      <c r="CX150" s="62">
        <f t="shared" si="122"/>
        <v>293.33333333333667</v>
      </c>
      <c r="CY150" s="62">
        <f ca="1">AVERAGE(OFFSET($CX$3,0,0,'Données projet'!$E$13+1,1))-AVERAGE(OFFSET($H$3,0,0,'Données projet'!$E$13+1,1))</f>
        <v>255.77222823147724</v>
      </c>
      <c r="CZ150" s="62">
        <f t="shared" si="150"/>
        <v>199.6931080052031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1.1000000000000001</v>
      </c>
      <c r="DO150" s="13">
        <f>IF('Données projet'!$A$166&gt;35,DO149+DN150-DW149,IF(A150&lt;'Données projet'!$A$166,$DL$205^A150,IF(A150='Données projet'!$A$166,'Données projet'!$B$166,DO149+DN150-DW149)))</f>
        <v>228.69999999999982</v>
      </c>
      <c r="DP150" s="18">
        <f>DO150*VLOOKUP('Données projet'!$B$14,Paramètres!$A$1:$I$89,3,0)*VLOOKUP('Données projet'!$B$14,Paramètres!$A$1:$I$89,5,0)</f>
        <v>221.19863999999984</v>
      </c>
      <c r="DQ150" s="14">
        <f t="shared" si="151"/>
        <v>54.37532176031219</v>
      </c>
      <c r="DR150" s="22">
        <f t="shared" si="124"/>
        <v>479.95798339921004</v>
      </c>
      <c r="DS150" s="62">
        <f t="shared" si="125"/>
        <v>773.29131673254335</v>
      </c>
      <c r="DT150" s="62">
        <f ca="1">AVERAGE(OFFSET($DS$3,0,0,'Données projet'!$E$14+1,1))-AVERAGE(OFFSET($H$3,0,0,'Données projet'!$E$14+1,1))</f>
        <v>349.73011349954953</v>
      </c>
      <c r="DU150" s="62">
        <f t="shared" si="152"/>
        <v>154.08406475869634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-1.7053025658242404E-13</v>
      </c>
      <c r="O151" s="14">
        <f>N151*VLOOKUP('Données projet'!$B$9,Paramètres!$A$1:$I$89,3,0)*VLOOKUP('Données projet'!$B$9,Paramètres!$A$1:$I$89,5,0)</f>
        <v>-1.0197709343628959E-13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203.63995177374335</v>
      </c>
      <c r="T151" s="62">
        <f t="shared" si="142"/>
        <v>268.97461244918378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1.3700503365846399</v>
      </c>
      <c r="AA151" s="23">
        <f>EXP(-LN(2)/25)*AA150+(1-EXP(-LN(2)/25))/(LN(2)/25)*Calculateur!V151*Calculateur!X151*VLOOKUP('Données projet'!$B$9,Paramètres!$A$1:$I$89,3,0)*0.475*44/12</f>
        <v>0.47545691972839366</v>
      </c>
      <c r="AB151" s="23">
        <f>EXP(-LN(2)/2)*AB150+(1-EXP(-LN(2)/2))/(LN(2)/2)*V151*Y151*VLOOKUP('Données projet'!$B$9,Paramètres!$A$1:$I$89,3,0)*0.475*44/12</f>
        <v>5.5547165103697089E-18</v>
      </c>
      <c r="AC151" s="24">
        <f t="shared" si="111"/>
        <v>1.8455072563130335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1.1000000000000001</v>
      </c>
      <c r="AI151" s="14">
        <f>IF('Données projet'!$A$62&gt;35,AI150+AH151-AQ150,IF(A151&lt;'Données projet'!$A$62,$AF$205^A151,IF(A151='Données projet'!$A$62,'Données projet'!$B$62,AI150+AH151-AQ150)))</f>
        <v>229.79999999999981</v>
      </c>
      <c r="AJ151" s="14">
        <f>AI151*VLOOKUP('Données projet'!$B$10,Paramètres!$A$1:$I$89,3,0)*VLOOKUP('Données projet'!$B$10,Paramètres!$A$1:$I$89,5,0)</f>
        <v>233.01719999999983</v>
      </c>
      <c r="AK151" s="14">
        <f t="shared" si="143"/>
        <v>56.934575040177407</v>
      </c>
      <c r="AL151" s="22">
        <f t="shared" si="112"/>
        <v>504.99934152830866</v>
      </c>
      <c r="AM151" s="62">
        <f t="shared" si="113"/>
        <v>798.33267486164198</v>
      </c>
      <c r="AN151" s="62">
        <f ca="1">AVERAGE(OFFSET($AM$3,0,0,'Données projet'!$E$10+1,1))-AVERAGE(OFFSET($H$3,0,0,'Données projet'!$E$10+1,1))</f>
        <v>364.69354394930866</v>
      </c>
      <c r="AO151" s="62">
        <f t="shared" si="144"/>
        <v>159.6134369231965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241.00707378755914</v>
      </c>
      <c r="BJ151" s="62">
        <f t="shared" si="146"/>
        <v>239.93573789765657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1.4210854715202004E-13</v>
      </c>
      <c r="BZ151" s="14">
        <f>BY151*VLOOKUP('Données projet'!$B$12,Paramètres!$A$1:$I$89,3,0)*VLOOKUP('Données projet'!$B$12,Paramètres!$A$1:$I$89,5,0)</f>
        <v>9.5326413429575044E-14</v>
      </c>
      <c r="CA151" s="14">
        <f t="shared" si="147"/>
        <v>1.4400742856080346E-12</v>
      </c>
      <c r="CB151" s="22">
        <f t="shared" si="118"/>
        <v>2.6741562174905032E-12</v>
      </c>
      <c r="CC151" s="62">
        <f t="shared" si="119"/>
        <v>293.33333333333599</v>
      </c>
      <c r="CD151" s="62">
        <f ca="1">AVERAGE(OFFSET($CC$3,0,0,'Données projet'!$E$12+1,1))-AVERAGE(OFFSET($H$3,0,0,'Données projet'!$E$12+1,1))</f>
        <v>207.91006140109965</v>
      </c>
      <c r="CE151" s="62">
        <f t="shared" si="148"/>
        <v>164.93317437647255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1.4210854715202004E-13</v>
      </c>
      <c r="CU151" s="18">
        <f>CT151*VLOOKUP('Données projet'!$B$13,Paramètres!$A$1:$I$89,3,0)*VLOOKUP('Données projet'!$B$13,Paramètres!$A$1:$I$89,5,0)</f>
        <v>1.2192913345643319E-13</v>
      </c>
      <c r="CV151" s="14">
        <f t="shared" si="149"/>
        <v>1.7899324464546674E-12</v>
      </c>
      <c r="CW151" s="22">
        <f t="shared" si="121"/>
        <v>3.3298255850118335E-12</v>
      </c>
      <c r="CX151" s="62">
        <f t="shared" si="122"/>
        <v>293.33333333333667</v>
      </c>
      <c r="CY151" s="62">
        <f ca="1">AVERAGE(OFFSET($CX$3,0,0,'Données projet'!$E$13+1,1))-AVERAGE(OFFSET($H$3,0,0,'Données projet'!$E$13+1,1))</f>
        <v>255.77222823147724</v>
      </c>
      <c r="CZ151" s="62">
        <f t="shared" si="150"/>
        <v>199.6931080052031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1.1000000000000001</v>
      </c>
      <c r="DO151" s="13">
        <f>IF('Données projet'!$A$166&gt;35,DO150+DN151-DW150,IF(A151&lt;'Données projet'!$A$166,$DL$205^A151,IF(A151='Données projet'!$A$166,'Données projet'!$B$166,DO150+DN151-DW150)))</f>
        <v>229.79999999999981</v>
      </c>
      <c r="DP151" s="18">
        <f>DO151*VLOOKUP('Données projet'!$B$14,Paramètres!$A$1:$I$89,3,0)*VLOOKUP('Données projet'!$B$14,Paramètres!$A$1:$I$89,5,0)</f>
        <v>222.26255999999984</v>
      </c>
      <c r="DQ151" s="14">
        <f t="shared" si="151"/>
        <v>54.606348737445018</v>
      </c>
      <c r="DR151" s="22">
        <f t="shared" si="124"/>
        <v>482.21334938438309</v>
      </c>
      <c r="DS151" s="62">
        <f t="shared" si="125"/>
        <v>775.54668271771641</v>
      </c>
      <c r="DT151" s="62">
        <f ca="1">AVERAGE(OFFSET($DS$3,0,0,'Données projet'!$E$14+1,1))-AVERAGE(OFFSET($H$3,0,0,'Données projet'!$E$14+1,1))</f>
        <v>349.73011349954953</v>
      </c>
      <c r="DU151" s="62">
        <f t="shared" si="152"/>
        <v>154.08406475869634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-1.7053025658242404E-13</v>
      </c>
      <c r="O152" s="14">
        <f>N152*VLOOKUP('Données projet'!$B$9,Paramètres!$A$1:$I$89,3,0)*VLOOKUP('Données projet'!$B$9,Paramètres!$A$1:$I$89,5,0)</f>
        <v>-1.0197709343628959E-13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203.63995177374335</v>
      </c>
      <c r="T152" s="62">
        <f t="shared" si="142"/>
        <v>268.97461244918378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1.3431844851324071</v>
      </c>
      <c r="AA152" s="23">
        <f>EXP(-LN(2)/25)*AA151+(1-EXP(-LN(2)/25))/(LN(2)/25)*Calculateur!V152*Calculateur!X152*VLOOKUP('Données projet'!$B$9,Paramètres!$A$1:$I$89,3,0)*0.475*44/12</f>
        <v>0.46245552525522798</v>
      </c>
      <c r="AB152" s="23">
        <f>EXP(-LN(2)/2)*AB151+(1-EXP(-LN(2)/2))/(LN(2)/2)*V152*Y152*VLOOKUP('Données projet'!$B$9,Paramètres!$A$1:$I$89,3,0)*0.475*44/12</f>
        <v>3.9277777120512966E-18</v>
      </c>
      <c r="AC152" s="24">
        <f t="shared" si="111"/>
        <v>1.8056400103876351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1.1000000000000001</v>
      </c>
      <c r="AI152" s="14">
        <f>IF('Données projet'!$A$62&gt;35,AI151+AH152-AQ151,IF(A152&lt;'Données projet'!$A$62,$AF$205^A152,IF(A152='Données projet'!$A$62,'Données projet'!$B$62,AI151+AH152-AQ151)))</f>
        <v>230.89999999999981</v>
      </c>
      <c r="AJ152" s="14">
        <f>AI152*VLOOKUP('Données projet'!$B$10,Paramètres!$A$1:$I$89,3,0)*VLOOKUP('Données projet'!$B$10,Paramètres!$A$1:$I$89,5,0)</f>
        <v>234.1325999999998</v>
      </c>
      <c r="AK152" s="14">
        <f t="shared" si="143"/>
        <v>57.175318035367965</v>
      </c>
      <c r="AL152" s="22">
        <f t="shared" si="112"/>
        <v>507.36129057826548</v>
      </c>
      <c r="AM152" s="62">
        <f t="shared" si="113"/>
        <v>800.6946239115988</v>
      </c>
      <c r="AN152" s="62">
        <f ca="1">AVERAGE(OFFSET($AM$3,0,0,'Données projet'!$E$10+1,1))-AVERAGE(OFFSET($H$3,0,0,'Données projet'!$E$10+1,1))</f>
        <v>364.69354394930866</v>
      </c>
      <c r="AO152" s="62">
        <f t="shared" si="144"/>
        <v>159.6134369231965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241.00707378755914</v>
      </c>
      <c r="BJ152" s="62">
        <f t="shared" si="146"/>
        <v>239.93573789765657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1.4210854715202004E-13</v>
      </c>
      <c r="BZ152" s="14">
        <f>BY152*VLOOKUP('Données projet'!$B$12,Paramètres!$A$1:$I$89,3,0)*VLOOKUP('Données projet'!$B$12,Paramètres!$A$1:$I$89,5,0)</f>
        <v>9.5326413429575044E-14</v>
      </c>
      <c r="CA152" s="14">
        <f t="shared" si="147"/>
        <v>1.4400742856080346E-12</v>
      </c>
      <c r="CB152" s="22">
        <f t="shared" si="118"/>
        <v>2.6741562174905032E-12</v>
      </c>
      <c r="CC152" s="62">
        <f t="shared" si="119"/>
        <v>293.33333333333599</v>
      </c>
      <c r="CD152" s="62">
        <f ca="1">AVERAGE(OFFSET($CC$3,0,0,'Données projet'!$E$12+1,1))-AVERAGE(OFFSET($H$3,0,0,'Données projet'!$E$12+1,1))</f>
        <v>207.91006140109965</v>
      </c>
      <c r="CE152" s="62">
        <f t="shared" si="148"/>
        <v>164.93317437647255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1.4210854715202004E-13</v>
      </c>
      <c r="CU152" s="18">
        <f>CT152*VLOOKUP('Données projet'!$B$13,Paramètres!$A$1:$I$89,3,0)*VLOOKUP('Données projet'!$B$13,Paramètres!$A$1:$I$89,5,0)</f>
        <v>1.2192913345643319E-13</v>
      </c>
      <c r="CV152" s="14">
        <f t="shared" si="149"/>
        <v>1.7899324464546674E-12</v>
      </c>
      <c r="CW152" s="22">
        <f t="shared" si="121"/>
        <v>3.3298255850118335E-12</v>
      </c>
      <c r="CX152" s="62">
        <f t="shared" si="122"/>
        <v>293.33333333333667</v>
      </c>
      <c r="CY152" s="62">
        <f ca="1">AVERAGE(OFFSET($CX$3,0,0,'Données projet'!$E$13+1,1))-AVERAGE(OFFSET($H$3,0,0,'Données projet'!$E$13+1,1))</f>
        <v>255.77222823147724</v>
      </c>
      <c r="CZ152" s="62">
        <f t="shared" si="150"/>
        <v>199.6931080052031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1.1000000000000001</v>
      </c>
      <c r="DO152" s="13">
        <f>IF('Données projet'!$A$166&gt;35,DO151+DN152-DW151,IF(A152&lt;'Données projet'!$A$166,$DL$205^A152,IF(A152='Données projet'!$A$166,'Données projet'!$B$166,DO151+DN152-DW151)))</f>
        <v>230.89999999999981</v>
      </c>
      <c r="DP152" s="18">
        <f>DO152*VLOOKUP('Données projet'!$B$14,Paramètres!$A$1:$I$89,3,0)*VLOOKUP('Données projet'!$B$14,Paramètres!$A$1:$I$89,5,0)</f>
        <v>223.3264799999998</v>
      </c>
      <c r="DQ152" s="14">
        <f t="shared" si="151"/>
        <v>54.837247026265146</v>
      </c>
      <c r="DR152" s="22">
        <f t="shared" si="124"/>
        <v>484.46849123741146</v>
      </c>
      <c r="DS152" s="62">
        <f t="shared" si="125"/>
        <v>777.80182457074477</v>
      </c>
      <c r="DT152" s="62">
        <f ca="1">AVERAGE(OFFSET($DS$3,0,0,'Données projet'!$E$14+1,1))-AVERAGE(OFFSET($H$3,0,0,'Données projet'!$E$14+1,1))</f>
        <v>349.73011349954953</v>
      </c>
      <c r="DU152" s="62">
        <f t="shared" si="152"/>
        <v>154.08406475869634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-1.7053025658242404E-13</v>
      </c>
      <c r="O153" s="14">
        <f>N153*VLOOKUP('Données projet'!$B$9,Paramètres!$A$1:$I$89,3,0)*VLOOKUP('Données projet'!$B$9,Paramètres!$A$1:$I$89,5,0)</f>
        <v>-1.0197709343628959E-13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203.63995177374335</v>
      </c>
      <c r="T153" s="62">
        <f t="shared" si="142"/>
        <v>268.97461244918378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1.3168454566406012</v>
      </c>
      <c r="AA153" s="23">
        <f>EXP(-LN(2)/25)*AA152+(1-EXP(-LN(2)/25))/(LN(2)/25)*Calculateur!V153*Calculateur!X153*VLOOKUP('Données projet'!$B$9,Paramètres!$A$1:$I$89,3,0)*0.475*44/12</f>
        <v>0.44980965459764466</v>
      </c>
      <c r="AB153" s="23">
        <f>EXP(-LN(2)/2)*AB152+(1-EXP(-LN(2)/2))/(LN(2)/2)*V153*Y153*VLOOKUP('Données projet'!$B$9,Paramètres!$A$1:$I$89,3,0)*0.475*44/12</f>
        <v>2.7773582551848545E-18</v>
      </c>
      <c r="AC153" s="24">
        <f t="shared" si="111"/>
        <v>1.7666551112382458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232</v>
      </c>
      <c r="AG153" s="13">
        <f>VLOOKUP(A153,'Données projet'!$A$61:$I$81,9,0)</f>
        <v>1.1000000000000001</v>
      </c>
      <c r="AH153" s="13">
        <f t="array" ref="AH153">INDEX(AG:AG,MIN(IF(ISNUMBER(AG153:AG349),ROW(AG153:AG349),"")))</f>
        <v>1.1000000000000001</v>
      </c>
      <c r="AI153" s="14">
        <f>IF('Données projet'!$A$62&gt;35,AI152+AH153-AQ152,IF(A153&lt;'Données projet'!$A$62,$AF$205^A153,IF(A153='Données projet'!$A$62,'Données projet'!$B$62,AI152+AH153-AQ152)))</f>
        <v>231.9999999999998</v>
      </c>
      <c r="AJ153" s="14">
        <f>AI153*VLOOKUP('Données projet'!$B$10,Paramètres!$A$1:$I$89,3,0)*VLOOKUP('Données projet'!$B$10,Paramètres!$A$1:$I$89,5,0)</f>
        <v>235.24799999999979</v>
      </c>
      <c r="AK153" s="14">
        <f t="shared" si="143"/>
        <v>57.41592756883734</v>
      </c>
      <c r="AL153" s="22">
        <f t="shared" si="112"/>
        <v>509.72300718239131</v>
      </c>
      <c r="AM153" s="62">
        <f t="shared" si="113"/>
        <v>803.05634051572463</v>
      </c>
      <c r="AN153" s="62">
        <f ca="1">AVERAGE(OFFSET($AM$3,0,0,'Données projet'!$E$10+1,1))-AVERAGE(OFFSET($H$3,0,0,'Données projet'!$E$10+1,1))</f>
        <v>364.69354394930866</v>
      </c>
      <c r="AO153" s="62">
        <f t="shared" si="144"/>
        <v>159.6134369231965</v>
      </c>
      <c r="AP153" s="16">
        <f>IF(ISNA(VLOOKUP(A153,'Données projet'!$A$61:$I$81,3,0)),0,VLOOKUP(A153,'Données projet'!$A$61:$I$81,3,0))</f>
        <v>10</v>
      </c>
      <c r="AQ153" s="16">
        <f>IF(ISNA(VLOOKUP(A153,'Données projet'!$A$61:$I$81,4,0)),0,VLOOKUP(A153,'Données projet'!$A$61:$I$81,4,0))</f>
        <v>232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241.00707378755914</v>
      </c>
      <c r="BJ153" s="62">
        <f t="shared" si="146"/>
        <v>239.93573789765657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1.4210854715202004E-13</v>
      </c>
      <c r="BZ153" s="14">
        <f>BY153*VLOOKUP('Données projet'!$B$12,Paramètres!$A$1:$I$89,3,0)*VLOOKUP('Données projet'!$B$12,Paramètres!$A$1:$I$89,5,0)</f>
        <v>9.5326413429575044E-14</v>
      </c>
      <c r="CA153" s="14">
        <f t="shared" si="147"/>
        <v>1.4400742856080346E-12</v>
      </c>
      <c r="CB153" s="22">
        <f t="shared" si="118"/>
        <v>2.6741562174905032E-12</v>
      </c>
      <c r="CC153" s="62">
        <f t="shared" si="119"/>
        <v>293.33333333333599</v>
      </c>
      <c r="CD153" s="62">
        <f ca="1">AVERAGE(OFFSET($CC$3,0,0,'Données projet'!$E$12+1,1))-AVERAGE(OFFSET($H$3,0,0,'Données projet'!$E$12+1,1))</f>
        <v>207.91006140109965</v>
      </c>
      <c r="CE153" s="62">
        <f t="shared" si="148"/>
        <v>164.93317437647255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1.4210854715202004E-13</v>
      </c>
      <c r="CU153" s="18">
        <f>CT153*VLOOKUP('Données projet'!$B$13,Paramètres!$A$1:$I$89,3,0)*VLOOKUP('Données projet'!$B$13,Paramètres!$A$1:$I$89,5,0)</f>
        <v>1.2192913345643319E-13</v>
      </c>
      <c r="CV153" s="14">
        <f t="shared" si="149"/>
        <v>1.7899324464546674E-12</v>
      </c>
      <c r="CW153" s="22">
        <f t="shared" si="121"/>
        <v>3.3298255850118335E-12</v>
      </c>
      <c r="CX153" s="62">
        <f t="shared" si="122"/>
        <v>293.33333333333667</v>
      </c>
      <c r="CY153" s="62">
        <f ca="1">AVERAGE(OFFSET($CX$3,0,0,'Données projet'!$E$13+1,1))-AVERAGE(OFFSET($H$3,0,0,'Données projet'!$E$13+1,1))</f>
        <v>255.77222823147724</v>
      </c>
      <c r="CZ153" s="62">
        <f t="shared" si="150"/>
        <v>199.6931080052031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232</v>
      </c>
      <c r="DM153" s="13">
        <f>VLOOKUP(A153,'Données projet'!$A$165:$I$185,9,0)</f>
        <v>1.1000000000000001</v>
      </c>
      <c r="DN153" s="13">
        <f t="array" ref="DN153">INDEX(DM:DM,MIN(IF(ISNUMBER(DM153:DM349),ROW(DM153:DM349),"")))</f>
        <v>1.1000000000000001</v>
      </c>
      <c r="DO153" s="13">
        <f>IF('Données projet'!$A$166&gt;35,DO152+DN153-DW152,IF(A153&lt;'Données projet'!$A$166,$DL$205^A153,IF(A153='Données projet'!$A$166,'Données projet'!$B$166,DO152+DN153-DW152)))</f>
        <v>231.9999999999998</v>
      </c>
      <c r="DP153" s="18">
        <f>DO153*VLOOKUP('Données projet'!$B$14,Paramètres!$A$1:$I$89,3,0)*VLOOKUP('Données projet'!$B$14,Paramètres!$A$1:$I$89,5,0)</f>
        <v>224.39039999999983</v>
      </c>
      <c r="DQ153" s="14">
        <f t="shared" si="151"/>
        <v>55.068017311015808</v>
      </c>
      <c r="DR153" s="22">
        <f t="shared" si="124"/>
        <v>486.72341015001888</v>
      </c>
      <c r="DS153" s="62">
        <f t="shared" si="125"/>
        <v>780.05674348335219</v>
      </c>
      <c r="DT153" s="62">
        <f ca="1">AVERAGE(OFFSET($DS$3,0,0,'Données projet'!$E$14+1,1))-AVERAGE(OFFSET($H$3,0,0,'Données projet'!$E$14+1,1))</f>
        <v>349.73011349954953</v>
      </c>
      <c r="DU153" s="62">
        <f t="shared" si="152"/>
        <v>154.08406475869634</v>
      </c>
      <c r="DV153" s="16">
        <f>IF(ISNA(VLOOKUP(A153,'Données projet'!$A$165:$I$185,3,0)),0,VLOOKUP(A153,'Données projet'!$A$165:$I$185,3,0))</f>
        <v>10</v>
      </c>
      <c r="DW153" s="16">
        <f>IF(ISNA(VLOOKUP(A153,'Données projet'!$A$165:$I$185,4,0)),0,VLOOKUP(A153,'Données projet'!$A$165:$I$185,4,0))</f>
        <v>232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-1.7053025658242404E-13</v>
      </c>
      <c r="O154" s="14">
        <f>N154*VLOOKUP('Données projet'!$B$9,Paramètres!$A$1:$I$89,3,0)*VLOOKUP('Données projet'!$B$9,Paramètres!$A$1:$I$89,5,0)</f>
        <v>-1.0197709343628959E-13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203.63995177374335</v>
      </c>
      <c r="T154" s="62">
        <f t="shared" si="142"/>
        <v>268.97461244918378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1.2910229204322985</v>
      </c>
      <c r="AA154" s="23">
        <f>EXP(-LN(2)/25)*AA153+(1-EXP(-LN(2)/25))/(LN(2)/25)*Calculateur!V154*Calculateur!X154*VLOOKUP('Données projet'!$B$9,Paramètres!$A$1:$I$89,3,0)*0.475*44/12</f>
        <v>0.43750958593821038</v>
      </c>
      <c r="AB154" s="23">
        <f>EXP(-LN(2)/2)*AB153+(1-EXP(-LN(2)/2))/(LN(2)/2)*V154*Y154*VLOOKUP('Données projet'!$B$9,Paramètres!$A$1:$I$89,3,0)*0.475*44/12</f>
        <v>1.9638888560256483E-18</v>
      </c>
      <c r="AC154" s="24">
        <f t="shared" ref="AC154:AC203" si="163">SUM(Z154:AB154)</f>
        <v>1.7285325063705088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-1.9895196601282805E-13</v>
      </c>
      <c r="AJ154" s="14">
        <f>AI154*VLOOKUP('Données projet'!$B$10,Paramètres!$A$1:$I$89,3,0)*VLOOKUP('Données projet'!$B$10,Paramètres!$A$1:$I$89,5,0)</f>
        <v>-2.0173729353700764E-13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364.69354394930866</v>
      </c>
      <c r="AO154" s="62">
        <f t="shared" si="144"/>
        <v>159.6134369231965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241.00707378755914</v>
      </c>
      <c r="BJ154" s="62">
        <f t="shared" si="146"/>
        <v>239.93573789765657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1.4210854715202004E-13</v>
      </c>
      <c r="BZ154" s="14">
        <f>BY154*VLOOKUP('Données projet'!$B$12,Paramètres!$A$1:$I$89,3,0)*VLOOKUP('Données projet'!$B$12,Paramètres!$A$1:$I$89,5,0)</f>
        <v>9.5326413429575044E-14</v>
      </c>
      <c r="CA154" s="14">
        <f t="shared" ref="CA154:CA203" si="170">EXP(-1.0587+0.8836*LN(BZ154)+0.284)</f>
        <v>1.4400742856080346E-12</v>
      </c>
      <c r="CB154" s="22">
        <f t="shared" ref="CB154:CB203" si="171">(BZ154+CA154)*0.475*44/12</f>
        <v>2.6741562174905032E-12</v>
      </c>
      <c r="CC154" s="62">
        <f t="shared" si="119"/>
        <v>293.33333333333599</v>
      </c>
      <c r="CD154" s="62">
        <f ca="1">AVERAGE(OFFSET($CC$3,0,0,'Données projet'!$E$12+1,1))-AVERAGE(OFFSET($H$3,0,0,'Données projet'!$E$12+1,1))</f>
        <v>207.91006140109965</v>
      </c>
      <c r="CE154" s="62">
        <f t="shared" si="148"/>
        <v>164.93317437647255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1.4210854715202004E-13</v>
      </c>
      <c r="CU154" s="18">
        <f>CT154*VLOOKUP('Données projet'!$B$13,Paramètres!$A$1:$I$89,3,0)*VLOOKUP('Données projet'!$B$13,Paramètres!$A$1:$I$89,5,0)</f>
        <v>1.2192913345643319E-13</v>
      </c>
      <c r="CV154" s="14">
        <f t="shared" ref="CV154:CV203" si="173">EXP(-1.0587+0.8836*LN(CU154)+0.284)</f>
        <v>1.7899324464546674E-12</v>
      </c>
      <c r="CW154" s="22">
        <f t="shared" ref="CW154:CW203" si="174">(CU154+CV154)*0.475*44/12</f>
        <v>3.3298255850118335E-12</v>
      </c>
      <c r="CX154" s="62">
        <f t="shared" si="122"/>
        <v>293.33333333333667</v>
      </c>
      <c r="CY154" s="62">
        <f ca="1">AVERAGE(OFFSET($CX$3,0,0,'Données projet'!$E$13+1,1))-AVERAGE(OFFSET($H$3,0,0,'Données projet'!$E$13+1,1))</f>
        <v>255.77222823147724</v>
      </c>
      <c r="CZ154" s="62">
        <f t="shared" si="150"/>
        <v>199.6931080052031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-1.9895196601282805E-13</v>
      </c>
      <c r="DP154" s="18">
        <f>DO154*VLOOKUP('Données projet'!$B$14,Paramètres!$A$1:$I$89,3,0)*VLOOKUP('Données projet'!$B$14,Paramètres!$A$1:$I$89,5,0)</f>
        <v>-1.924263415276073E-13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349.73011349954953</v>
      </c>
      <c r="DU154" s="62">
        <f t="shared" si="152"/>
        <v>154.08406475869634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-1.7053025658242404E-13</v>
      </c>
      <c r="O155" s="14">
        <f>N155*VLOOKUP('Données projet'!$B$9,Paramètres!$A$1:$I$89,3,0)*VLOOKUP('Données projet'!$B$9,Paramètres!$A$1:$I$89,5,0)</f>
        <v>-1.0197709343628959E-13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203.63995177374335</v>
      </c>
      <c r="T155" s="62">
        <f t="shared" si="142"/>
        <v>268.97461244918378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1.2657067484088487</v>
      </c>
      <c r="AA155" s="23">
        <f>EXP(-LN(2)/25)*AA154+(1-EXP(-LN(2)/25))/(LN(2)/25)*Calculateur!V155*Calculateur!X155*VLOOKUP('Données projet'!$B$9,Paramètres!$A$1:$I$89,3,0)*0.475*44/12</f>
        <v>0.42554586330310085</v>
      </c>
      <c r="AB155" s="23">
        <f>EXP(-LN(2)/2)*AB154+(1-EXP(-LN(2)/2))/(LN(2)/2)*V155*Y155*VLOOKUP('Données projet'!$B$9,Paramètres!$A$1:$I$89,3,0)*0.475*44/12</f>
        <v>1.3886791275924272E-18</v>
      </c>
      <c r="AC155" s="24">
        <f t="shared" si="163"/>
        <v>1.6912526117119495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-1.9895196601282805E-13</v>
      </c>
      <c r="AJ155" s="14">
        <f>AI155*VLOOKUP('Données projet'!$B$10,Paramètres!$A$1:$I$89,3,0)*VLOOKUP('Données projet'!$B$10,Paramètres!$A$1:$I$89,5,0)</f>
        <v>-2.0173729353700764E-13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364.69354394930866</v>
      </c>
      <c r="AO155" s="62">
        <f t="shared" si="144"/>
        <v>159.6134369231965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241.00707378755914</v>
      </c>
      <c r="BJ155" s="62">
        <f t="shared" si="146"/>
        <v>239.93573789765657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1.4210854715202004E-13</v>
      </c>
      <c r="BZ155" s="14">
        <f>BY155*VLOOKUP('Données projet'!$B$12,Paramètres!$A$1:$I$89,3,0)*VLOOKUP('Données projet'!$B$12,Paramètres!$A$1:$I$89,5,0)</f>
        <v>9.5326413429575044E-14</v>
      </c>
      <c r="CA155" s="14">
        <f t="shared" si="170"/>
        <v>1.4400742856080346E-12</v>
      </c>
      <c r="CB155" s="22">
        <f t="shared" si="171"/>
        <v>2.6741562174905032E-12</v>
      </c>
      <c r="CC155" s="62">
        <f t="shared" si="119"/>
        <v>293.33333333333599</v>
      </c>
      <c r="CD155" s="62">
        <f ca="1">AVERAGE(OFFSET($CC$3,0,0,'Données projet'!$E$12+1,1))-AVERAGE(OFFSET($H$3,0,0,'Données projet'!$E$12+1,1))</f>
        <v>207.91006140109965</v>
      </c>
      <c r="CE155" s="62">
        <f t="shared" si="148"/>
        <v>164.93317437647255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1.4210854715202004E-13</v>
      </c>
      <c r="CU155" s="18">
        <f>CT155*VLOOKUP('Données projet'!$B$13,Paramètres!$A$1:$I$89,3,0)*VLOOKUP('Données projet'!$B$13,Paramètres!$A$1:$I$89,5,0)</f>
        <v>1.2192913345643319E-13</v>
      </c>
      <c r="CV155" s="14">
        <f t="shared" si="173"/>
        <v>1.7899324464546674E-12</v>
      </c>
      <c r="CW155" s="22">
        <f t="shared" si="174"/>
        <v>3.3298255850118335E-12</v>
      </c>
      <c r="CX155" s="62">
        <f t="shared" si="122"/>
        <v>293.33333333333667</v>
      </c>
      <c r="CY155" s="62">
        <f ca="1">AVERAGE(OFFSET($CX$3,0,0,'Données projet'!$E$13+1,1))-AVERAGE(OFFSET($H$3,0,0,'Données projet'!$E$13+1,1))</f>
        <v>255.77222823147724</v>
      </c>
      <c r="CZ155" s="62">
        <f t="shared" si="150"/>
        <v>199.6931080052031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-1.9895196601282805E-13</v>
      </c>
      <c r="DP155" s="18">
        <f>DO155*VLOOKUP('Données projet'!$B$14,Paramètres!$A$1:$I$89,3,0)*VLOOKUP('Données projet'!$B$14,Paramètres!$A$1:$I$89,5,0)</f>
        <v>-1.924263415276073E-13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349.73011349954953</v>
      </c>
      <c r="DU155" s="62">
        <f t="shared" si="152"/>
        <v>154.08406475869634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-1.7053025658242404E-13</v>
      </c>
      <c r="O156" s="14">
        <f>N156*VLOOKUP('Données projet'!$B$9,Paramètres!$A$1:$I$89,3,0)*VLOOKUP('Données projet'!$B$9,Paramètres!$A$1:$I$89,5,0)</f>
        <v>-1.0197709343628959E-13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203.63995177374335</v>
      </c>
      <c r="T156" s="62">
        <f t="shared" si="142"/>
        <v>268.97461244918378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1.2408870110774386</v>
      </c>
      <c r="AA156" s="23">
        <f>EXP(-LN(2)/25)*AA155+(1-EXP(-LN(2)/25))/(LN(2)/25)*Calculateur!V156*Calculateur!X156*VLOOKUP('Données projet'!$B$9,Paramètres!$A$1:$I$89,3,0)*0.475*44/12</f>
        <v>0.41390928929259319</v>
      </c>
      <c r="AB156" s="23">
        <f>EXP(-LN(2)/2)*AB155+(1-EXP(-LN(2)/2))/(LN(2)/2)*V156*Y156*VLOOKUP('Données projet'!$B$9,Paramètres!$A$1:$I$89,3,0)*0.475*44/12</f>
        <v>9.8194442801282414E-19</v>
      </c>
      <c r="AC156" s="24">
        <f t="shared" si="163"/>
        <v>1.6547963003700317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-1.9895196601282805E-13</v>
      </c>
      <c r="AJ156" s="14">
        <f>AI156*VLOOKUP('Données projet'!$B$10,Paramètres!$A$1:$I$89,3,0)*VLOOKUP('Données projet'!$B$10,Paramètres!$A$1:$I$89,5,0)</f>
        <v>-2.0173729353700764E-13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364.69354394930866</v>
      </c>
      <c r="AO156" s="62">
        <f t="shared" si="144"/>
        <v>159.6134369231965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241.00707378755914</v>
      </c>
      <c r="BJ156" s="62">
        <f t="shared" si="146"/>
        <v>239.93573789765657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1.4210854715202004E-13</v>
      </c>
      <c r="BZ156" s="14">
        <f>BY156*VLOOKUP('Données projet'!$B$12,Paramètres!$A$1:$I$89,3,0)*VLOOKUP('Données projet'!$B$12,Paramètres!$A$1:$I$89,5,0)</f>
        <v>9.5326413429575044E-14</v>
      </c>
      <c r="CA156" s="14">
        <f t="shared" si="170"/>
        <v>1.4400742856080346E-12</v>
      </c>
      <c r="CB156" s="22">
        <f t="shared" si="171"/>
        <v>2.6741562174905032E-12</v>
      </c>
      <c r="CC156" s="62">
        <f t="shared" si="119"/>
        <v>293.33333333333599</v>
      </c>
      <c r="CD156" s="62">
        <f ca="1">AVERAGE(OFFSET($CC$3,0,0,'Données projet'!$E$12+1,1))-AVERAGE(OFFSET($H$3,0,0,'Données projet'!$E$12+1,1))</f>
        <v>207.91006140109965</v>
      </c>
      <c r="CE156" s="62">
        <f t="shared" si="148"/>
        <v>164.93317437647255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1.4210854715202004E-13</v>
      </c>
      <c r="CU156" s="18">
        <f>CT156*VLOOKUP('Données projet'!$B$13,Paramètres!$A$1:$I$89,3,0)*VLOOKUP('Données projet'!$B$13,Paramètres!$A$1:$I$89,5,0)</f>
        <v>1.2192913345643319E-13</v>
      </c>
      <c r="CV156" s="14">
        <f t="shared" si="173"/>
        <v>1.7899324464546674E-12</v>
      </c>
      <c r="CW156" s="22">
        <f t="shared" si="174"/>
        <v>3.3298255850118335E-12</v>
      </c>
      <c r="CX156" s="62">
        <f t="shared" si="122"/>
        <v>293.33333333333667</v>
      </c>
      <c r="CY156" s="62">
        <f ca="1">AVERAGE(OFFSET($CX$3,0,0,'Données projet'!$E$13+1,1))-AVERAGE(OFFSET($H$3,0,0,'Données projet'!$E$13+1,1))</f>
        <v>255.77222823147724</v>
      </c>
      <c r="CZ156" s="62">
        <f t="shared" si="150"/>
        <v>199.6931080052031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-1.9895196601282805E-13</v>
      </c>
      <c r="DP156" s="18">
        <f>DO156*VLOOKUP('Données projet'!$B$14,Paramètres!$A$1:$I$89,3,0)*VLOOKUP('Données projet'!$B$14,Paramètres!$A$1:$I$89,5,0)</f>
        <v>-1.924263415276073E-13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349.73011349954953</v>
      </c>
      <c r="DU156" s="62">
        <f t="shared" si="152"/>
        <v>154.08406475869634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-1.7053025658242404E-13</v>
      </c>
      <c r="O157" s="14">
        <f>N157*VLOOKUP('Données projet'!$B$9,Paramètres!$A$1:$I$89,3,0)*VLOOKUP('Données projet'!$B$9,Paramètres!$A$1:$I$89,5,0)</f>
        <v>-1.0197709343628959E-13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203.63995177374335</v>
      </c>
      <c r="T157" s="62">
        <f t="shared" si="142"/>
        <v>268.97461244918378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1.2165539736565525</v>
      </c>
      <c r="AA157" s="23">
        <f>EXP(-LN(2)/25)*AA156+(1-EXP(-LN(2)/25))/(LN(2)/25)*Calculateur!V157*Calculateur!X157*VLOOKUP('Données projet'!$B$9,Paramètres!$A$1:$I$89,3,0)*0.475*44/12</f>
        <v>0.40259091801034369</v>
      </c>
      <c r="AB157" s="23">
        <f>EXP(-LN(2)/2)*AB156+(1-EXP(-LN(2)/2))/(LN(2)/2)*V157*Y157*VLOOKUP('Données projet'!$B$9,Paramètres!$A$1:$I$89,3,0)*0.475*44/12</f>
        <v>6.9433956379621362E-19</v>
      </c>
      <c r="AC157" s="24">
        <f t="shared" si="163"/>
        <v>1.6191448916668962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-1.9895196601282805E-13</v>
      </c>
      <c r="AJ157" s="14">
        <f>AI157*VLOOKUP('Données projet'!$B$10,Paramètres!$A$1:$I$89,3,0)*VLOOKUP('Données projet'!$B$10,Paramètres!$A$1:$I$89,5,0)</f>
        <v>-2.0173729353700764E-13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364.69354394930866</v>
      </c>
      <c r="AO157" s="62">
        <f t="shared" si="144"/>
        <v>159.6134369231965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241.00707378755914</v>
      </c>
      <c r="BJ157" s="62">
        <f t="shared" si="146"/>
        <v>239.93573789765657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1.4210854715202004E-13</v>
      </c>
      <c r="BZ157" s="14">
        <f>BY157*VLOOKUP('Données projet'!$B$12,Paramètres!$A$1:$I$89,3,0)*VLOOKUP('Données projet'!$B$12,Paramètres!$A$1:$I$89,5,0)</f>
        <v>9.5326413429575044E-14</v>
      </c>
      <c r="CA157" s="14">
        <f t="shared" si="170"/>
        <v>1.4400742856080346E-12</v>
      </c>
      <c r="CB157" s="22">
        <f t="shared" si="171"/>
        <v>2.6741562174905032E-12</v>
      </c>
      <c r="CC157" s="62">
        <f t="shared" si="119"/>
        <v>293.33333333333599</v>
      </c>
      <c r="CD157" s="62">
        <f ca="1">AVERAGE(OFFSET($CC$3,0,0,'Données projet'!$E$12+1,1))-AVERAGE(OFFSET($H$3,0,0,'Données projet'!$E$12+1,1))</f>
        <v>207.91006140109965</v>
      </c>
      <c r="CE157" s="62">
        <f t="shared" si="148"/>
        <v>164.93317437647255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1.4210854715202004E-13</v>
      </c>
      <c r="CU157" s="18">
        <f>CT157*VLOOKUP('Données projet'!$B$13,Paramètres!$A$1:$I$89,3,0)*VLOOKUP('Données projet'!$B$13,Paramètres!$A$1:$I$89,5,0)</f>
        <v>1.2192913345643319E-13</v>
      </c>
      <c r="CV157" s="14">
        <f t="shared" si="173"/>
        <v>1.7899324464546674E-12</v>
      </c>
      <c r="CW157" s="22">
        <f t="shared" si="174"/>
        <v>3.3298255850118335E-12</v>
      </c>
      <c r="CX157" s="62">
        <f t="shared" si="122"/>
        <v>293.33333333333667</v>
      </c>
      <c r="CY157" s="62">
        <f ca="1">AVERAGE(OFFSET($CX$3,0,0,'Données projet'!$E$13+1,1))-AVERAGE(OFFSET($H$3,0,0,'Données projet'!$E$13+1,1))</f>
        <v>255.77222823147724</v>
      </c>
      <c r="CZ157" s="62">
        <f t="shared" si="150"/>
        <v>199.6931080052031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-1.9895196601282805E-13</v>
      </c>
      <c r="DP157" s="18">
        <f>DO157*VLOOKUP('Données projet'!$B$14,Paramètres!$A$1:$I$89,3,0)*VLOOKUP('Données projet'!$B$14,Paramètres!$A$1:$I$89,5,0)</f>
        <v>-1.924263415276073E-13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349.73011349954953</v>
      </c>
      <c r="DU157" s="62">
        <f t="shared" si="152"/>
        <v>154.08406475869634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-1.7053025658242404E-13</v>
      </c>
      <c r="O158" s="14">
        <f>N158*VLOOKUP('Données projet'!$B$9,Paramètres!$A$1:$I$89,3,0)*VLOOKUP('Données projet'!$B$9,Paramètres!$A$1:$I$89,5,0)</f>
        <v>-1.0197709343628959E-13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203.63995177374335</v>
      </c>
      <c r="T158" s="62">
        <f t="shared" si="142"/>
        <v>268.97461244918378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1.1926980922578025</v>
      </c>
      <c r="AA158" s="23">
        <f>EXP(-LN(2)/25)*AA157+(1-EXP(-LN(2)/25))/(LN(2)/25)*Calculateur!V158*Calculateur!X158*VLOOKUP('Données projet'!$B$9,Paramètres!$A$1:$I$89,3,0)*0.475*44/12</f>
        <v>0.39158204818601461</v>
      </c>
      <c r="AB158" s="23">
        <f>EXP(-LN(2)/2)*AB157+(1-EXP(-LN(2)/2))/(LN(2)/2)*V158*Y158*VLOOKUP('Données projet'!$B$9,Paramètres!$A$1:$I$89,3,0)*0.475*44/12</f>
        <v>4.9097221400641207E-19</v>
      </c>
      <c r="AC158" s="24">
        <f t="shared" si="163"/>
        <v>1.5842801404438172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-1.9895196601282805E-13</v>
      </c>
      <c r="AJ158" s="14">
        <f>AI158*VLOOKUP('Données projet'!$B$10,Paramètres!$A$1:$I$89,3,0)*VLOOKUP('Données projet'!$B$10,Paramètres!$A$1:$I$89,5,0)</f>
        <v>-2.0173729353700764E-13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364.69354394930866</v>
      </c>
      <c r="AO158" s="62">
        <f t="shared" si="144"/>
        <v>159.6134369231965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241.00707378755914</v>
      </c>
      <c r="BJ158" s="62">
        <f t="shared" si="146"/>
        <v>239.93573789765657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1.4210854715202004E-13</v>
      </c>
      <c r="BZ158" s="14">
        <f>BY158*VLOOKUP('Données projet'!$B$12,Paramètres!$A$1:$I$89,3,0)*VLOOKUP('Données projet'!$B$12,Paramètres!$A$1:$I$89,5,0)</f>
        <v>9.5326413429575044E-14</v>
      </c>
      <c r="CA158" s="14">
        <f t="shared" si="170"/>
        <v>1.4400742856080346E-12</v>
      </c>
      <c r="CB158" s="22">
        <f t="shared" si="171"/>
        <v>2.6741562174905032E-12</v>
      </c>
      <c r="CC158" s="62">
        <f t="shared" si="119"/>
        <v>293.33333333333599</v>
      </c>
      <c r="CD158" s="62">
        <f ca="1">AVERAGE(OFFSET($CC$3,0,0,'Données projet'!$E$12+1,1))-AVERAGE(OFFSET($H$3,0,0,'Données projet'!$E$12+1,1))</f>
        <v>207.91006140109965</v>
      </c>
      <c r="CE158" s="62">
        <f t="shared" si="148"/>
        <v>164.93317437647255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1.4210854715202004E-13</v>
      </c>
      <c r="CU158" s="18">
        <f>CT158*VLOOKUP('Données projet'!$B$13,Paramètres!$A$1:$I$89,3,0)*VLOOKUP('Données projet'!$B$13,Paramètres!$A$1:$I$89,5,0)</f>
        <v>1.2192913345643319E-13</v>
      </c>
      <c r="CV158" s="14">
        <f t="shared" si="173"/>
        <v>1.7899324464546674E-12</v>
      </c>
      <c r="CW158" s="22">
        <f t="shared" si="174"/>
        <v>3.3298255850118335E-12</v>
      </c>
      <c r="CX158" s="62">
        <f t="shared" si="122"/>
        <v>293.33333333333667</v>
      </c>
      <c r="CY158" s="62">
        <f ca="1">AVERAGE(OFFSET($CX$3,0,0,'Données projet'!$E$13+1,1))-AVERAGE(OFFSET($H$3,0,0,'Données projet'!$E$13+1,1))</f>
        <v>255.77222823147724</v>
      </c>
      <c r="CZ158" s="62">
        <f t="shared" si="150"/>
        <v>199.6931080052031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-1.9895196601282805E-13</v>
      </c>
      <c r="DP158" s="18">
        <f>DO158*VLOOKUP('Données projet'!$B$14,Paramètres!$A$1:$I$89,3,0)*VLOOKUP('Données projet'!$B$14,Paramètres!$A$1:$I$89,5,0)</f>
        <v>-1.924263415276073E-13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349.73011349954953</v>
      </c>
      <c r="DU158" s="62">
        <f t="shared" si="152"/>
        <v>154.08406475869634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-1.7053025658242404E-13</v>
      </c>
      <c r="O159" s="14">
        <f>N159*VLOOKUP('Données projet'!$B$9,Paramètres!$A$1:$I$89,3,0)*VLOOKUP('Données projet'!$B$9,Paramètres!$A$1:$I$89,5,0)</f>
        <v>-1.0197709343628959E-13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203.63995177374335</v>
      </c>
      <c r="T159" s="62">
        <f t="shared" si="142"/>
        <v>268.97461244918378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1.1693100101426313</v>
      </c>
      <c r="AA159" s="23">
        <f>EXP(-LN(2)/25)*AA158+(1-EXP(-LN(2)/25))/(LN(2)/25)*Calculateur!V159*Calculateur!X159*VLOOKUP('Données projet'!$B$9,Paramètres!$A$1:$I$89,3,0)*0.475*44/12</f>
        <v>0.38087421648596309</v>
      </c>
      <c r="AB159" s="23">
        <f>EXP(-LN(2)/2)*AB158+(1-EXP(-LN(2)/2))/(LN(2)/2)*V159*Y159*VLOOKUP('Données projet'!$B$9,Paramètres!$A$1:$I$89,3,0)*0.475*44/12</f>
        <v>3.4716978189810681E-19</v>
      </c>
      <c r="AC159" s="24">
        <f t="shared" si="163"/>
        <v>1.5501842266285943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-1.9895196601282805E-13</v>
      </c>
      <c r="AJ159" s="14">
        <f>AI159*VLOOKUP('Données projet'!$B$10,Paramètres!$A$1:$I$89,3,0)*VLOOKUP('Données projet'!$B$10,Paramètres!$A$1:$I$89,5,0)</f>
        <v>-2.0173729353700764E-13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364.69354394930866</v>
      </c>
      <c r="AO159" s="62">
        <f t="shared" si="144"/>
        <v>159.6134369231965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241.00707378755914</v>
      </c>
      <c r="BJ159" s="62">
        <f t="shared" si="146"/>
        <v>239.93573789765657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1.4210854715202004E-13</v>
      </c>
      <c r="BZ159" s="14">
        <f>BY159*VLOOKUP('Données projet'!$B$12,Paramètres!$A$1:$I$89,3,0)*VLOOKUP('Données projet'!$B$12,Paramètres!$A$1:$I$89,5,0)</f>
        <v>9.5326413429575044E-14</v>
      </c>
      <c r="CA159" s="14">
        <f t="shared" si="170"/>
        <v>1.4400742856080346E-12</v>
      </c>
      <c r="CB159" s="22">
        <f t="shared" si="171"/>
        <v>2.6741562174905032E-12</v>
      </c>
      <c r="CC159" s="62">
        <f t="shared" si="119"/>
        <v>293.33333333333599</v>
      </c>
      <c r="CD159" s="62">
        <f ca="1">AVERAGE(OFFSET($CC$3,0,0,'Données projet'!$E$12+1,1))-AVERAGE(OFFSET($H$3,0,0,'Données projet'!$E$12+1,1))</f>
        <v>207.91006140109965</v>
      </c>
      <c r="CE159" s="62">
        <f t="shared" si="148"/>
        <v>164.93317437647255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1.4210854715202004E-13</v>
      </c>
      <c r="CU159" s="18">
        <f>CT159*VLOOKUP('Données projet'!$B$13,Paramètres!$A$1:$I$89,3,0)*VLOOKUP('Données projet'!$B$13,Paramètres!$A$1:$I$89,5,0)</f>
        <v>1.2192913345643319E-13</v>
      </c>
      <c r="CV159" s="14">
        <f t="shared" si="173"/>
        <v>1.7899324464546674E-12</v>
      </c>
      <c r="CW159" s="22">
        <f t="shared" si="174"/>
        <v>3.3298255850118335E-12</v>
      </c>
      <c r="CX159" s="62">
        <f t="shared" si="122"/>
        <v>293.33333333333667</v>
      </c>
      <c r="CY159" s="62">
        <f ca="1">AVERAGE(OFFSET($CX$3,0,0,'Données projet'!$E$13+1,1))-AVERAGE(OFFSET($H$3,0,0,'Données projet'!$E$13+1,1))</f>
        <v>255.77222823147724</v>
      </c>
      <c r="CZ159" s="62">
        <f t="shared" si="150"/>
        <v>199.6931080052031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-1.9895196601282805E-13</v>
      </c>
      <c r="DP159" s="18">
        <f>DO159*VLOOKUP('Données projet'!$B$14,Paramètres!$A$1:$I$89,3,0)*VLOOKUP('Données projet'!$B$14,Paramètres!$A$1:$I$89,5,0)</f>
        <v>-1.924263415276073E-13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349.73011349954953</v>
      </c>
      <c r="DU159" s="62">
        <f t="shared" si="152"/>
        <v>154.08406475869634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-1.7053025658242404E-13</v>
      </c>
      <c r="O160" s="14">
        <f>N160*VLOOKUP('Données projet'!$B$9,Paramètres!$A$1:$I$89,3,0)*VLOOKUP('Données projet'!$B$9,Paramètres!$A$1:$I$89,5,0)</f>
        <v>-1.0197709343628959E-13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203.63995177374335</v>
      </c>
      <c r="T160" s="62">
        <f t="shared" si="142"/>
        <v>268.97461244918378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1.146380554052417</v>
      </c>
      <c r="AA160" s="23">
        <f>EXP(-LN(2)/25)*AA159+(1-EXP(-LN(2)/25))/(LN(2)/25)*Calculateur!V160*Calculateur!X160*VLOOKUP('Données projet'!$B$9,Paramètres!$A$1:$I$89,3,0)*0.475*44/12</f>
        <v>0.37045919100684988</v>
      </c>
      <c r="AB160" s="23">
        <f>EXP(-LN(2)/2)*AB159+(1-EXP(-LN(2)/2))/(LN(2)/2)*V160*Y160*VLOOKUP('Données projet'!$B$9,Paramètres!$A$1:$I$89,3,0)*0.475*44/12</f>
        <v>2.4548610700320604E-19</v>
      </c>
      <c r="AC160" s="24">
        <f t="shared" si="163"/>
        <v>1.5168397450592668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-1.9895196601282805E-13</v>
      </c>
      <c r="AJ160" s="14">
        <f>AI160*VLOOKUP('Données projet'!$B$10,Paramètres!$A$1:$I$89,3,0)*VLOOKUP('Données projet'!$B$10,Paramètres!$A$1:$I$89,5,0)</f>
        <v>-2.0173729353700764E-13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364.69354394930866</v>
      </c>
      <c r="AO160" s="62">
        <f t="shared" si="144"/>
        <v>159.6134369231965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241.00707378755914</v>
      </c>
      <c r="BJ160" s="62">
        <f t="shared" si="146"/>
        <v>239.93573789765657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1.4210854715202004E-13</v>
      </c>
      <c r="BZ160" s="14">
        <f>BY160*VLOOKUP('Données projet'!$B$12,Paramètres!$A$1:$I$89,3,0)*VLOOKUP('Données projet'!$B$12,Paramètres!$A$1:$I$89,5,0)</f>
        <v>9.5326413429575044E-14</v>
      </c>
      <c r="CA160" s="14">
        <f t="shared" si="170"/>
        <v>1.4400742856080346E-12</v>
      </c>
      <c r="CB160" s="22">
        <f t="shared" si="171"/>
        <v>2.6741562174905032E-12</v>
      </c>
      <c r="CC160" s="62">
        <f t="shared" si="119"/>
        <v>293.33333333333599</v>
      </c>
      <c r="CD160" s="62">
        <f ca="1">AVERAGE(OFFSET($CC$3,0,0,'Données projet'!$E$12+1,1))-AVERAGE(OFFSET($H$3,0,0,'Données projet'!$E$12+1,1))</f>
        <v>207.91006140109965</v>
      </c>
      <c r="CE160" s="62">
        <f t="shared" si="148"/>
        <v>164.93317437647255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1.4210854715202004E-13</v>
      </c>
      <c r="CU160" s="18">
        <f>CT160*VLOOKUP('Données projet'!$B$13,Paramètres!$A$1:$I$89,3,0)*VLOOKUP('Données projet'!$B$13,Paramètres!$A$1:$I$89,5,0)</f>
        <v>1.2192913345643319E-13</v>
      </c>
      <c r="CV160" s="14">
        <f t="shared" si="173"/>
        <v>1.7899324464546674E-12</v>
      </c>
      <c r="CW160" s="22">
        <f t="shared" si="174"/>
        <v>3.3298255850118335E-12</v>
      </c>
      <c r="CX160" s="62">
        <f t="shared" si="122"/>
        <v>293.33333333333667</v>
      </c>
      <c r="CY160" s="62">
        <f ca="1">AVERAGE(OFFSET($CX$3,0,0,'Données projet'!$E$13+1,1))-AVERAGE(OFFSET($H$3,0,0,'Données projet'!$E$13+1,1))</f>
        <v>255.77222823147724</v>
      </c>
      <c r="CZ160" s="62">
        <f t="shared" si="150"/>
        <v>199.6931080052031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-1.9895196601282805E-13</v>
      </c>
      <c r="DP160" s="18">
        <f>DO160*VLOOKUP('Données projet'!$B$14,Paramètres!$A$1:$I$89,3,0)*VLOOKUP('Données projet'!$B$14,Paramètres!$A$1:$I$89,5,0)</f>
        <v>-1.924263415276073E-13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349.73011349954953</v>
      </c>
      <c r="DU160" s="62">
        <f t="shared" si="152"/>
        <v>154.08406475869634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-1.7053025658242404E-13</v>
      </c>
      <c r="O161" s="14">
        <f>N161*VLOOKUP('Données projet'!$B$9,Paramètres!$A$1:$I$89,3,0)*VLOOKUP('Données projet'!$B$9,Paramètres!$A$1:$I$89,5,0)</f>
        <v>-1.0197709343628959E-13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203.63995177374335</v>
      </c>
      <c r="T161" s="62">
        <f t="shared" si="142"/>
        <v>268.97461244918378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1.1239007306105446</v>
      </c>
      <c r="AA161" s="23">
        <f>EXP(-LN(2)/25)*AA160+(1-EXP(-LN(2)/25))/(LN(2)/25)*Calculateur!V161*Calculateur!X161*VLOOKUP('Données projet'!$B$9,Paramètres!$A$1:$I$89,3,0)*0.475*44/12</f>
        <v>0.36032896494716543</v>
      </c>
      <c r="AB161" s="23">
        <f>EXP(-LN(2)/2)*AB160+(1-EXP(-LN(2)/2))/(LN(2)/2)*V161*Y161*VLOOKUP('Données projet'!$B$9,Paramètres!$A$1:$I$89,3,0)*0.475*44/12</f>
        <v>1.735848909490534E-19</v>
      </c>
      <c r="AC161" s="24">
        <f t="shared" si="163"/>
        <v>1.4842296955577101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-1.9895196601282805E-13</v>
      </c>
      <c r="AJ161" s="14">
        <f>AI161*VLOOKUP('Données projet'!$B$10,Paramètres!$A$1:$I$89,3,0)*VLOOKUP('Données projet'!$B$10,Paramètres!$A$1:$I$89,5,0)</f>
        <v>-2.0173729353700764E-13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364.69354394930866</v>
      </c>
      <c r="AO161" s="62">
        <f t="shared" si="144"/>
        <v>159.6134369231965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241.00707378755914</v>
      </c>
      <c r="BJ161" s="62">
        <f t="shared" si="146"/>
        <v>239.93573789765657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1.4210854715202004E-13</v>
      </c>
      <c r="BZ161" s="14">
        <f>BY161*VLOOKUP('Données projet'!$B$12,Paramètres!$A$1:$I$89,3,0)*VLOOKUP('Données projet'!$B$12,Paramètres!$A$1:$I$89,5,0)</f>
        <v>9.5326413429575044E-14</v>
      </c>
      <c r="CA161" s="14">
        <f t="shared" si="170"/>
        <v>1.4400742856080346E-12</v>
      </c>
      <c r="CB161" s="22">
        <f t="shared" si="171"/>
        <v>2.6741562174905032E-12</v>
      </c>
      <c r="CC161" s="62">
        <f t="shared" si="119"/>
        <v>293.33333333333599</v>
      </c>
      <c r="CD161" s="62">
        <f ca="1">AVERAGE(OFFSET($CC$3,0,0,'Données projet'!$E$12+1,1))-AVERAGE(OFFSET($H$3,0,0,'Données projet'!$E$12+1,1))</f>
        <v>207.91006140109965</v>
      </c>
      <c r="CE161" s="62">
        <f t="shared" si="148"/>
        <v>164.93317437647255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1.4210854715202004E-13</v>
      </c>
      <c r="CU161" s="18">
        <f>CT161*VLOOKUP('Données projet'!$B$13,Paramètres!$A$1:$I$89,3,0)*VLOOKUP('Données projet'!$B$13,Paramètres!$A$1:$I$89,5,0)</f>
        <v>1.2192913345643319E-13</v>
      </c>
      <c r="CV161" s="14">
        <f t="shared" si="173"/>
        <v>1.7899324464546674E-12</v>
      </c>
      <c r="CW161" s="22">
        <f t="shared" si="174"/>
        <v>3.3298255850118335E-12</v>
      </c>
      <c r="CX161" s="62">
        <f t="shared" si="122"/>
        <v>293.33333333333667</v>
      </c>
      <c r="CY161" s="62">
        <f ca="1">AVERAGE(OFFSET($CX$3,0,0,'Données projet'!$E$13+1,1))-AVERAGE(OFFSET($H$3,0,0,'Données projet'!$E$13+1,1))</f>
        <v>255.77222823147724</v>
      </c>
      <c r="CZ161" s="62">
        <f t="shared" si="150"/>
        <v>199.6931080052031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-1.9895196601282805E-13</v>
      </c>
      <c r="DP161" s="18">
        <f>DO161*VLOOKUP('Données projet'!$B$14,Paramètres!$A$1:$I$89,3,0)*VLOOKUP('Données projet'!$B$14,Paramètres!$A$1:$I$89,5,0)</f>
        <v>-1.924263415276073E-13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349.73011349954953</v>
      </c>
      <c r="DU161" s="62">
        <f t="shared" si="152"/>
        <v>154.08406475869634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-1.7053025658242404E-13</v>
      </c>
      <c r="O162" s="14">
        <f>N162*VLOOKUP('Données projet'!$B$9,Paramètres!$A$1:$I$89,3,0)*VLOOKUP('Données projet'!$B$9,Paramètres!$A$1:$I$89,5,0)</f>
        <v>-1.0197709343628959E-13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203.63995177374335</v>
      </c>
      <c r="T162" s="62">
        <f t="shared" si="142"/>
        <v>268.97461244918378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1.1018617227950289</v>
      </c>
      <c r="AA162" s="23">
        <f>EXP(-LN(2)/25)*AA161+(1-EXP(-LN(2)/25))/(LN(2)/25)*Calculateur!V162*Calculateur!X162*VLOOKUP('Données projet'!$B$9,Paramètres!$A$1:$I$89,3,0)*0.475*44/12</f>
        <v>0.35047575045180845</v>
      </c>
      <c r="AB162" s="23">
        <f>EXP(-LN(2)/2)*AB161+(1-EXP(-LN(2)/2))/(LN(2)/2)*V162*Y162*VLOOKUP('Données projet'!$B$9,Paramètres!$A$1:$I$89,3,0)*0.475*44/12</f>
        <v>1.2274305350160302E-19</v>
      </c>
      <c r="AC162" s="24">
        <f t="shared" si="163"/>
        <v>1.4523374732468373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-1.9895196601282805E-13</v>
      </c>
      <c r="AJ162" s="14">
        <f>AI162*VLOOKUP('Données projet'!$B$10,Paramètres!$A$1:$I$89,3,0)*VLOOKUP('Données projet'!$B$10,Paramètres!$A$1:$I$89,5,0)</f>
        <v>-2.0173729353700764E-13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364.69354394930866</v>
      </c>
      <c r="AO162" s="62">
        <f t="shared" si="144"/>
        <v>159.6134369231965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241.00707378755914</v>
      </c>
      <c r="BJ162" s="62">
        <f t="shared" si="146"/>
        <v>239.93573789765657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1.4210854715202004E-13</v>
      </c>
      <c r="BZ162" s="14">
        <f>BY162*VLOOKUP('Données projet'!$B$12,Paramètres!$A$1:$I$89,3,0)*VLOOKUP('Données projet'!$B$12,Paramètres!$A$1:$I$89,5,0)</f>
        <v>9.5326413429575044E-14</v>
      </c>
      <c r="CA162" s="14">
        <f t="shared" si="170"/>
        <v>1.4400742856080346E-12</v>
      </c>
      <c r="CB162" s="22">
        <f t="shared" si="171"/>
        <v>2.6741562174905032E-12</v>
      </c>
      <c r="CC162" s="62">
        <f t="shared" si="119"/>
        <v>293.33333333333599</v>
      </c>
      <c r="CD162" s="62">
        <f ca="1">AVERAGE(OFFSET($CC$3,0,0,'Données projet'!$E$12+1,1))-AVERAGE(OFFSET($H$3,0,0,'Données projet'!$E$12+1,1))</f>
        <v>207.91006140109965</v>
      </c>
      <c r="CE162" s="62">
        <f t="shared" si="148"/>
        <v>164.93317437647255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1.4210854715202004E-13</v>
      </c>
      <c r="CU162" s="18">
        <f>CT162*VLOOKUP('Données projet'!$B$13,Paramètres!$A$1:$I$89,3,0)*VLOOKUP('Données projet'!$B$13,Paramètres!$A$1:$I$89,5,0)</f>
        <v>1.2192913345643319E-13</v>
      </c>
      <c r="CV162" s="14">
        <f t="shared" si="173"/>
        <v>1.7899324464546674E-12</v>
      </c>
      <c r="CW162" s="22">
        <f t="shared" si="174"/>
        <v>3.3298255850118335E-12</v>
      </c>
      <c r="CX162" s="62">
        <f t="shared" si="122"/>
        <v>293.33333333333667</v>
      </c>
      <c r="CY162" s="62">
        <f ca="1">AVERAGE(OFFSET($CX$3,0,0,'Données projet'!$E$13+1,1))-AVERAGE(OFFSET($H$3,0,0,'Données projet'!$E$13+1,1))</f>
        <v>255.77222823147724</v>
      </c>
      <c r="CZ162" s="62">
        <f t="shared" si="150"/>
        <v>199.6931080052031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-1.9895196601282805E-13</v>
      </c>
      <c r="DP162" s="18">
        <f>DO162*VLOOKUP('Données projet'!$B$14,Paramètres!$A$1:$I$89,3,0)*VLOOKUP('Données projet'!$B$14,Paramètres!$A$1:$I$89,5,0)</f>
        <v>-1.924263415276073E-13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349.73011349954953</v>
      </c>
      <c r="DU162" s="62">
        <f t="shared" si="152"/>
        <v>154.08406475869634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-1.7053025658242404E-13</v>
      </c>
      <c r="O163" s="14">
        <f>N163*VLOOKUP('Données projet'!$B$9,Paramètres!$A$1:$I$89,3,0)*VLOOKUP('Données projet'!$B$9,Paramètres!$A$1:$I$89,5,0)</f>
        <v>-1.0197709343628959E-13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203.63995177374335</v>
      </c>
      <c r="T163" s="62">
        <f t="shared" si="142"/>
        <v>268.97461244918378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1.0802548864803079</v>
      </c>
      <c r="AA163" s="23">
        <f>EXP(-LN(2)/25)*AA162+(1-EXP(-LN(2)/25))/(LN(2)/25)*Calculateur!V163*Calculateur!X163*VLOOKUP('Données projet'!$B$9,Paramètres!$A$1:$I$89,3,0)*0.475*44/12</f>
        <v>0.34089197262498505</v>
      </c>
      <c r="AB163" s="23">
        <f>EXP(-LN(2)/2)*AB162+(1-EXP(-LN(2)/2))/(LN(2)/2)*V163*Y163*VLOOKUP('Données projet'!$B$9,Paramètres!$A$1:$I$89,3,0)*0.475*44/12</f>
        <v>8.6792445474526702E-20</v>
      </c>
      <c r="AC163" s="24">
        <f t="shared" si="163"/>
        <v>1.4211468591052929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-1.9895196601282805E-13</v>
      </c>
      <c r="AJ163" s="14">
        <f>AI163*VLOOKUP('Données projet'!$B$10,Paramètres!$A$1:$I$89,3,0)*VLOOKUP('Données projet'!$B$10,Paramètres!$A$1:$I$89,5,0)</f>
        <v>-2.0173729353700764E-13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364.69354394930866</v>
      </c>
      <c r="AO163" s="62">
        <f t="shared" si="144"/>
        <v>159.6134369231965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241.00707378755914</v>
      </c>
      <c r="BJ163" s="62">
        <f t="shared" si="146"/>
        <v>239.93573789765657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1.4210854715202004E-13</v>
      </c>
      <c r="BZ163" s="14">
        <f>BY163*VLOOKUP('Données projet'!$B$12,Paramètres!$A$1:$I$89,3,0)*VLOOKUP('Données projet'!$B$12,Paramètres!$A$1:$I$89,5,0)</f>
        <v>9.5326413429575044E-14</v>
      </c>
      <c r="CA163" s="14">
        <f t="shared" si="170"/>
        <v>1.4400742856080346E-12</v>
      </c>
      <c r="CB163" s="22">
        <f t="shared" si="171"/>
        <v>2.6741562174905032E-12</v>
      </c>
      <c r="CC163" s="62">
        <f t="shared" si="119"/>
        <v>293.33333333333599</v>
      </c>
      <c r="CD163" s="62">
        <f ca="1">AVERAGE(OFFSET($CC$3,0,0,'Données projet'!$E$12+1,1))-AVERAGE(OFFSET($H$3,0,0,'Données projet'!$E$12+1,1))</f>
        <v>207.91006140109965</v>
      </c>
      <c r="CE163" s="62">
        <f t="shared" si="148"/>
        <v>164.93317437647255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1.4210854715202004E-13</v>
      </c>
      <c r="CU163" s="18">
        <f>CT163*VLOOKUP('Données projet'!$B$13,Paramètres!$A$1:$I$89,3,0)*VLOOKUP('Données projet'!$B$13,Paramètres!$A$1:$I$89,5,0)</f>
        <v>1.2192913345643319E-13</v>
      </c>
      <c r="CV163" s="14">
        <f t="shared" si="173"/>
        <v>1.7899324464546674E-12</v>
      </c>
      <c r="CW163" s="22">
        <f t="shared" si="174"/>
        <v>3.3298255850118335E-12</v>
      </c>
      <c r="CX163" s="62">
        <f t="shared" si="122"/>
        <v>293.33333333333667</v>
      </c>
      <c r="CY163" s="62">
        <f ca="1">AVERAGE(OFFSET($CX$3,0,0,'Données projet'!$E$13+1,1))-AVERAGE(OFFSET($H$3,0,0,'Données projet'!$E$13+1,1))</f>
        <v>255.77222823147724</v>
      </c>
      <c r="CZ163" s="62">
        <f t="shared" si="150"/>
        <v>199.6931080052031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-1.9895196601282805E-13</v>
      </c>
      <c r="DP163" s="18">
        <f>DO163*VLOOKUP('Données projet'!$B$14,Paramètres!$A$1:$I$89,3,0)*VLOOKUP('Données projet'!$B$14,Paramètres!$A$1:$I$89,5,0)</f>
        <v>-1.924263415276073E-13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349.73011349954953</v>
      </c>
      <c r="DU163" s="62">
        <f t="shared" si="152"/>
        <v>154.08406475869634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-1.7053025658242404E-13</v>
      </c>
      <c r="O164" s="14">
        <f>N164*VLOOKUP('Données projet'!$B$9,Paramètres!$A$1:$I$89,3,0)*VLOOKUP('Données projet'!$B$9,Paramètres!$A$1:$I$89,5,0)</f>
        <v>-1.0197709343628959E-13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203.63995177374335</v>
      </c>
      <c r="T164" s="62">
        <f t="shared" si="142"/>
        <v>268.97461244918378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1.0590717470468498</v>
      </c>
      <c r="AA164" s="23">
        <f>EXP(-LN(2)/25)*AA163+(1-EXP(-LN(2)/25))/(LN(2)/25)*Calculateur!V164*Calculateur!X164*VLOOKUP('Données projet'!$B$9,Paramètres!$A$1:$I$89,3,0)*0.475*44/12</f>
        <v>0.33157026370682513</v>
      </c>
      <c r="AB164" s="23">
        <f>EXP(-LN(2)/2)*AB163+(1-EXP(-LN(2)/2))/(LN(2)/2)*V164*Y164*VLOOKUP('Données projet'!$B$9,Paramètres!$A$1:$I$89,3,0)*0.475*44/12</f>
        <v>6.1371526750801509E-20</v>
      </c>
      <c r="AC164" s="24">
        <f t="shared" si="163"/>
        <v>1.390642010753675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-1.9895196601282805E-13</v>
      </c>
      <c r="AJ164" s="14">
        <f>AI164*VLOOKUP('Données projet'!$B$10,Paramètres!$A$1:$I$89,3,0)*VLOOKUP('Données projet'!$B$10,Paramètres!$A$1:$I$89,5,0)</f>
        <v>-2.0173729353700764E-13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364.69354394930866</v>
      </c>
      <c r="AO164" s="62">
        <f t="shared" si="144"/>
        <v>159.6134369231965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241.00707378755914</v>
      </c>
      <c r="BJ164" s="62">
        <f t="shared" si="146"/>
        <v>239.93573789765657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1.4210854715202004E-13</v>
      </c>
      <c r="BZ164" s="14">
        <f>BY164*VLOOKUP('Données projet'!$B$12,Paramètres!$A$1:$I$89,3,0)*VLOOKUP('Données projet'!$B$12,Paramètres!$A$1:$I$89,5,0)</f>
        <v>9.5326413429575044E-14</v>
      </c>
      <c r="CA164" s="14">
        <f t="shared" si="170"/>
        <v>1.4400742856080346E-12</v>
      </c>
      <c r="CB164" s="22">
        <f t="shared" si="171"/>
        <v>2.6741562174905032E-12</v>
      </c>
      <c r="CC164" s="62">
        <f t="shared" si="119"/>
        <v>293.33333333333599</v>
      </c>
      <c r="CD164" s="62">
        <f ca="1">AVERAGE(OFFSET($CC$3,0,0,'Données projet'!$E$12+1,1))-AVERAGE(OFFSET($H$3,0,0,'Données projet'!$E$12+1,1))</f>
        <v>207.91006140109965</v>
      </c>
      <c r="CE164" s="62">
        <f t="shared" si="148"/>
        <v>164.93317437647255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1.4210854715202004E-13</v>
      </c>
      <c r="CU164" s="18">
        <f>CT164*VLOOKUP('Données projet'!$B$13,Paramètres!$A$1:$I$89,3,0)*VLOOKUP('Données projet'!$B$13,Paramètres!$A$1:$I$89,5,0)</f>
        <v>1.2192913345643319E-13</v>
      </c>
      <c r="CV164" s="14">
        <f t="shared" si="173"/>
        <v>1.7899324464546674E-12</v>
      </c>
      <c r="CW164" s="22">
        <f t="shared" si="174"/>
        <v>3.3298255850118335E-12</v>
      </c>
      <c r="CX164" s="62">
        <f t="shared" si="122"/>
        <v>293.33333333333667</v>
      </c>
      <c r="CY164" s="62">
        <f ca="1">AVERAGE(OFFSET($CX$3,0,0,'Données projet'!$E$13+1,1))-AVERAGE(OFFSET($H$3,0,0,'Données projet'!$E$13+1,1))</f>
        <v>255.77222823147724</v>
      </c>
      <c r="CZ164" s="62">
        <f t="shared" si="150"/>
        <v>199.6931080052031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-1.9895196601282805E-13</v>
      </c>
      <c r="DP164" s="18">
        <f>DO164*VLOOKUP('Données projet'!$B$14,Paramètres!$A$1:$I$89,3,0)*VLOOKUP('Données projet'!$B$14,Paramètres!$A$1:$I$89,5,0)</f>
        <v>-1.924263415276073E-13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349.73011349954953</v>
      </c>
      <c r="DU164" s="62">
        <f t="shared" si="152"/>
        <v>154.08406475869634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-1.7053025658242404E-13</v>
      </c>
      <c r="O165" s="14">
        <f>N165*VLOOKUP('Données projet'!$B$9,Paramètres!$A$1:$I$89,3,0)*VLOOKUP('Données projet'!$B$9,Paramètres!$A$1:$I$89,5,0)</f>
        <v>-1.0197709343628959E-13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203.63995177374335</v>
      </c>
      <c r="T165" s="62">
        <f t="shared" si="142"/>
        <v>268.97461244918378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1.0383039960572424</v>
      </c>
      <c r="AA165" s="23">
        <f>EXP(-LN(2)/25)*AA164+(1-EXP(-LN(2)/25))/(LN(2)/25)*Calculateur!V165*Calculateur!X165*VLOOKUP('Données projet'!$B$9,Paramètres!$A$1:$I$89,3,0)*0.475*44/12</f>
        <v>0.32250345740923964</v>
      </c>
      <c r="AB165" s="23">
        <f>EXP(-LN(2)/2)*AB164+(1-EXP(-LN(2)/2))/(LN(2)/2)*V165*Y165*VLOOKUP('Données projet'!$B$9,Paramètres!$A$1:$I$89,3,0)*0.475*44/12</f>
        <v>4.3396222737263351E-20</v>
      </c>
      <c r="AC165" s="24">
        <f t="shared" si="163"/>
        <v>1.360807453466482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-1.9895196601282805E-13</v>
      </c>
      <c r="AJ165" s="14">
        <f>AI165*VLOOKUP('Données projet'!$B$10,Paramètres!$A$1:$I$89,3,0)*VLOOKUP('Données projet'!$B$10,Paramètres!$A$1:$I$89,5,0)</f>
        <v>-2.0173729353700764E-13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364.69354394930866</v>
      </c>
      <c r="AO165" s="62">
        <f t="shared" si="144"/>
        <v>159.6134369231965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241.00707378755914</v>
      </c>
      <c r="BJ165" s="62">
        <f t="shared" si="146"/>
        <v>239.93573789765657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1.4210854715202004E-13</v>
      </c>
      <c r="BZ165" s="14">
        <f>BY165*VLOOKUP('Données projet'!$B$12,Paramètres!$A$1:$I$89,3,0)*VLOOKUP('Données projet'!$B$12,Paramètres!$A$1:$I$89,5,0)</f>
        <v>9.5326413429575044E-14</v>
      </c>
      <c r="CA165" s="14">
        <f t="shared" si="170"/>
        <v>1.4400742856080346E-12</v>
      </c>
      <c r="CB165" s="22">
        <f t="shared" si="171"/>
        <v>2.6741562174905032E-12</v>
      </c>
      <c r="CC165" s="62">
        <f t="shared" si="119"/>
        <v>293.33333333333599</v>
      </c>
      <c r="CD165" s="62">
        <f ca="1">AVERAGE(OFFSET($CC$3,0,0,'Données projet'!$E$12+1,1))-AVERAGE(OFFSET($H$3,0,0,'Données projet'!$E$12+1,1))</f>
        <v>207.91006140109965</v>
      </c>
      <c r="CE165" s="62">
        <f t="shared" si="148"/>
        <v>164.93317437647255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1.4210854715202004E-13</v>
      </c>
      <c r="CU165" s="18">
        <f>CT165*VLOOKUP('Données projet'!$B$13,Paramètres!$A$1:$I$89,3,0)*VLOOKUP('Données projet'!$B$13,Paramètres!$A$1:$I$89,5,0)</f>
        <v>1.2192913345643319E-13</v>
      </c>
      <c r="CV165" s="14">
        <f t="shared" si="173"/>
        <v>1.7899324464546674E-12</v>
      </c>
      <c r="CW165" s="22">
        <f t="shared" si="174"/>
        <v>3.3298255850118335E-12</v>
      </c>
      <c r="CX165" s="62">
        <f t="shared" si="122"/>
        <v>293.33333333333667</v>
      </c>
      <c r="CY165" s="62">
        <f ca="1">AVERAGE(OFFSET($CX$3,0,0,'Données projet'!$E$13+1,1))-AVERAGE(OFFSET($H$3,0,0,'Données projet'!$E$13+1,1))</f>
        <v>255.77222823147724</v>
      </c>
      <c r="CZ165" s="62">
        <f t="shared" si="150"/>
        <v>199.6931080052031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-1.9895196601282805E-13</v>
      </c>
      <c r="DP165" s="18">
        <f>DO165*VLOOKUP('Données projet'!$B$14,Paramètres!$A$1:$I$89,3,0)*VLOOKUP('Données projet'!$B$14,Paramètres!$A$1:$I$89,5,0)</f>
        <v>-1.924263415276073E-13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349.73011349954953</v>
      </c>
      <c r="DU165" s="62">
        <f t="shared" si="152"/>
        <v>154.08406475869634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-1.7053025658242404E-13</v>
      </c>
      <c r="O166" s="14">
        <f>N166*VLOOKUP('Données projet'!$B$9,Paramètres!$A$1:$I$89,3,0)*VLOOKUP('Données projet'!$B$9,Paramètres!$A$1:$I$89,5,0)</f>
        <v>-1.0197709343628959E-13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203.63995177374335</v>
      </c>
      <c r="T166" s="62">
        <f t="shared" si="142"/>
        <v>268.97461244918378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1.017943487997464</v>
      </c>
      <c r="AA166" s="23">
        <f>EXP(-LN(2)/25)*AA165+(1-EXP(-LN(2)/25))/(LN(2)/25)*Calculateur!V166*Calculateur!X166*VLOOKUP('Données projet'!$B$9,Paramètres!$A$1:$I$89,3,0)*0.475*44/12</f>
        <v>0.31368458340666422</v>
      </c>
      <c r="AB166" s="23">
        <f>EXP(-LN(2)/2)*AB165+(1-EXP(-LN(2)/2))/(LN(2)/2)*V166*Y166*VLOOKUP('Données projet'!$B$9,Paramètres!$A$1:$I$89,3,0)*0.475*44/12</f>
        <v>3.0685763375400755E-20</v>
      </c>
      <c r="AC166" s="24">
        <f t="shared" si="163"/>
        <v>1.3316280714041282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-1.9895196601282805E-13</v>
      </c>
      <c r="AJ166" s="14">
        <f>AI166*VLOOKUP('Données projet'!$B$10,Paramètres!$A$1:$I$89,3,0)*VLOOKUP('Données projet'!$B$10,Paramètres!$A$1:$I$89,5,0)</f>
        <v>-2.0173729353700764E-13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364.69354394930866</v>
      </c>
      <c r="AO166" s="62">
        <f t="shared" si="144"/>
        <v>159.6134369231965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241.00707378755914</v>
      </c>
      <c r="BJ166" s="62">
        <f t="shared" si="146"/>
        <v>239.93573789765657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1.4210854715202004E-13</v>
      </c>
      <c r="BZ166" s="14">
        <f>BY166*VLOOKUP('Données projet'!$B$12,Paramètres!$A$1:$I$89,3,0)*VLOOKUP('Données projet'!$B$12,Paramètres!$A$1:$I$89,5,0)</f>
        <v>9.5326413429575044E-14</v>
      </c>
      <c r="CA166" s="14">
        <f t="shared" si="170"/>
        <v>1.4400742856080346E-12</v>
      </c>
      <c r="CB166" s="22">
        <f t="shared" si="171"/>
        <v>2.6741562174905032E-12</v>
      </c>
      <c r="CC166" s="62">
        <f t="shared" si="119"/>
        <v>293.33333333333599</v>
      </c>
      <c r="CD166" s="62">
        <f ca="1">AVERAGE(OFFSET($CC$3,0,0,'Données projet'!$E$12+1,1))-AVERAGE(OFFSET($H$3,0,0,'Données projet'!$E$12+1,1))</f>
        <v>207.91006140109965</v>
      </c>
      <c r="CE166" s="62">
        <f t="shared" si="148"/>
        <v>164.93317437647255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1.4210854715202004E-13</v>
      </c>
      <c r="CU166" s="18">
        <f>CT166*VLOOKUP('Données projet'!$B$13,Paramètres!$A$1:$I$89,3,0)*VLOOKUP('Données projet'!$B$13,Paramètres!$A$1:$I$89,5,0)</f>
        <v>1.2192913345643319E-13</v>
      </c>
      <c r="CV166" s="14">
        <f t="shared" si="173"/>
        <v>1.7899324464546674E-12</v>
      </c>
      <c r="CW166" s="22">
        <f t="shared" si="174"/>
        <v>3.3298255850118335E-12</v>
      </c>
      <c r="CX166" s="62">
        <f t="shared" si="122"/>
        <v>293.33333333333667</v>
      </c>
      <c r="CY166" s="62">
        <f ca="1">AVERAGE(OFFSET($CX$3,0,0,'Données projet'!$E$13+1,1))-AVERAGE(OFFSET($H$3,0,0,'Données projet'!$E$13+1,1))</f>
        <v>255.77222823147724</v>
      </c>
      <c r="CZ166" s="62">
        <f t="shared" si="150"/>
        <v>199.6931080052031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-1.9895196601282805E-13</v>
      </c>
      <c r="DP166" s="18">
        <f>DO166*VLOOKUP('Données projet'!$B$14,Paramètres!$A$1:$I$89,3,0)*VLOOKUP('Données projet'!$B$14,Paramètres!$A$1:$I$89,5,0)</f>
        <v>-1.924263415276073E-13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349.73011349954953</v>
      </c>
      <c r="DU166" s="62">
        <f t="shared" si="152"/>
        <v>154.08406475869634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-1.7053025658242404E-13</v>
      </c>
      <c r="O167" s="14">
        <f>N167*VLOOKUP('Données projet'!$B$9,Paramètres!$A$1:$I$89,3,0)*VLOOKUP('Données projet'!$B$9,Paramètres!$A$1:$I$89,5,0)</f>
        <v>-1.0197709343628959E-13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203.63995177374335</v>
      </c>
      <c r="T167" s="62">
        <f t="shared" si="142"/>
        <v>268.97461244918378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0.99798223708205425</v>
      </c>
      <c r="AA167" s="23">
        <f>EXP(-LN(2)/25)*AA166+(1-EXP(-LN(2)/25))/(LN(2)/25)*Calculateur!V167*Calculateur!X167*VLOOKUP('Données projet'!$B$9,Paramètres!$A$1:$I$89,3,0)*0.475*44/12</f>
        <v>0.30510686197745368</v>
      </c>
      <c r="AB167" s="23">
        <f>EXP(-LN(2)/2)*AB166+(1-EXP(-LN(2)/2))/(LN(2)/2)*V167*Y167*VLOOKUP('Données projet'!$B$9,Paramètres!$A$1:$I$89,3,0)*0.475*44/12</f>
        <v>2.1698111368631676E-20</v>
      </c>
      <c r="AC167" s="24">
        <f t="shared" si="163"/>
        <v>1.3030890990595079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-1.9895196601282805E-13</v>
      </c>
      <c r="AJ167" s="14">
        <f>AI167*VLOOKUP('Données projet'!$B$10,Paramètres!$A$1:$I$89,3,0)*VLOOKUP('Données projet'!$B$10,Paramètres!$A$1:$I$89,5,0)</f>
        <v>-2.0173729353700764E-13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364.69354394930866</v>
      </c>
      <c r="AO167" s="62">
        <f t="shared" si="144"/>
        <v>159.6134369231965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241.00707378755914</v>
      </c>
      <c r="BJ167" s="62">
        <f t="shared" si="146"/>
        <v>239.93573789765657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1.4210854715202004E-13</v>
      </c>
      <c r="BZ167" s="14">
        <f>BY167*VLOOKUP('Données projet'!$B$12,Paramètres!$A$1:$I$89,3,0)*VLOOKUP('Données projet'!$B$12,Paramètres!$A$1:$I$89,5,0)</f>
        <v>9.5326413429575044E-14</v>
      </c>
      <c r="CA167" s="14">
        <f t="shared" si="170"/>
        <v>1.4400742856080346E-12</v>
      </c>
      <c r="CB167" s="22">
        <f t="shared" si="171"/>
        <v>2.6741562174905032E-12</v>
      </c>
      <c r="CC167" s="62">
        <f t="shared" si="119"/>
        <v>293.33333333333599</v>
      </c>
      <c r="CD167" s="62">
        <f ca="1">AVERAGE(OFFSET($CC$3,0,0,'Données projet'!$E$12+1,1))-AVERAGE(OFFSET($H$3,0,0,'Données projet'!$E$12+1,1))</f>
        <v>207.91006140109965</v>
      </c>
      <c r="CE167" s="62">
        <f t="shared" si="148"/>
        <v>164.93317437647255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1.4210854715202004E-13</v>
      </c>
      <c r="CU167" s="18">
        <f>CT167*VLOOKUP('Données projet'!$B$13,Paramètres!$A$1:$I$89,3,0)*VLOOKUP('Données projet'!$B$13,Paramètres!$A$1:$I$89,5,0)</f>
        <v>1.2192913345643319E-13</v>
      </c>
      <c r="CV167" s="14">
        <f t="shared" si="173"/>
        <v>1.7899324464546674E-12</v>
      </c>
      <c r="CW167" s="22">
        <f t="shared" si="174"/>
        <v>3.3298255850118335E-12</v>
      </c>
      <c r="CX167" s="62">
        <f t="shared" si="122"/>
        <v>293.33333333333667</v>
      </c>
      <c r="CY167" s="62">
        <f ca="1">AVERAGE(OFFSET($CX$3,0,0,'Données projet'!$E$13+1,1))-AVERAGE(OFFSET($H$3,0,0,'Données projet'!$E$13+1,1))</f>
        <v>255.77222823147724</v>
      </c>
      <c r="CZ167" s="62">
        <f t="shared" si="150"/>
        <v>199.6931080052031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-1.9895196601282805E-13</v>
      </c>
      <c r="DP167" s="18">
        <f>DO167*VLOOKUP('Données projet'!$B$14,Paramètres!$A$1:$I$89,3,0)*VLOOKUP('Données projet'!$B$14,Paramètres!$A$1:$I$89,5,0)</f>
        <v>-1.924263415276073E-13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349.73011349954953</v>
      </c>
      <c r="DU167" s="62">
        <f t="shared" si="152"/>
        <v>154.08406475869634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-1.7053025658242404E-13</v>
      </c>
      <c r="O168" s="14">
        <f>N168*VLOOKUP('Données projet'!$B$9,Paramètres!$A$1:$I$89,3,0)*VLOOKUP('Données projet'!$B$9,Paramètres!$A$1:$I$89,5,0)</f>
        <v>-1.0197709343628959E-13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203.63995177374335</v>
      </c>
      <c r="T168" s="62">
        <f t="shared" si="142"/>
        <v>268.97461244918378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0.9784124141219348</v>
      </c>
      <c r="AA168" s="23">
        <f>EXP(-LN(2)/25)*AA167+(1-EXP(-LN(2)/25))/(LN(2)/25)*Calculateur!V168*Calculateur!X168*VLOOKUP('Données projet'!$B$9,Paramètres!$A$1:$I$89,3,0)*0.475*44/12</f>
        <v>0.2967636987918077</v>
      </c>
      <c r="AB168" s="23">
        <f>EXP(-LN(2)/2)*AB167+(1-EXP(-LN(2)/2))/(LN(2)/2)*V168*Y168*VLOOKUP('Données projet'!$B$9,Paramètres!$A$1:$I$89,3,0)*0.475*44/12</f>
        <v>1.5342881687700377E-20</v>
      </c>
      <c r="AC168" s="24">
        <f t="shared" si="163"/>
        <v>1.2751761129137424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-1.9895196601282805E-13</v>
      </c>
      <c r="AJ168" s="14">
        <f>AI168*VLOOKUP('Données projet'!$B$10,Paramètres!$A$1:$I$89,3,0)*VLOOKUP('Données projet'!$B$10,Paramètres!$A$1:$I$89,5,0)</f>
        <v>-2.0173729353700764E-13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364.69354394930866</v>
      </c>
      <c r="AO168" s="62">
        <f t="shared" si="144"/>
        <v>159.6134369231965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241.00707378755914</v>
      </c>
      <c r="BJ168" s="62">
        <f t="shared" si="146"/>
        <v>239.93573789765657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1.4210854715202004E-13</v>
      </c>
      <c r="BZ168" s="14">
        <f>BY168*VLOOKUP('Données projet'!$B$12,Paramètres!$A$1:$I$89,3,0)*VLOOKUP('Données projet'!$B$12,Paramètres!$A$1:$I$89,5,0)</f>
        <v>9.5326413429575044E-14</v>
      </c>
      <c r="CA168" s="14">
        <f t="shared" si="170"/>
        <v>1.4400742856080346E-12</v>
      </c>
      <c r="CB168" s="22">
        <f t="shared" si="171"/>
        <v>2.6741562174905032E-12</v>
      </c>
      <c r="CC168" s="62">
        <f t="shared" si="119"/>
        <v>293.33333333333599</v>
      </c>
      <c r="CD168" s="62">
        <f ca="1">AVERAGE(OFFSET($CC$3,0,0,'Données projet'!$E$12+1,1))-AVERAGE(OFFSET($H$3,0,0,'Données projet'!$E$12+1,1))</f>
        <v>207.91006140109965</v>
      </c>
      <c r="CE168" s="62">
        <f t="shared" si="148"/>
        <v>164.93317437647255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1.4210854715202004E-13</v>
      </c>
      <c r="CU168" s="18">
        <f>CT168*VLOOKUP('Données projet'!$B$13,Paramètres!$A$1:$I$89,3,0)*VLOOKUP('Données projet'!$B$13,Paramètres!$A$1:$I$89,5,0)</f>
        <v>1.2192913345643319E-13</v>
      </c>
      <c r="CV168" s="14">
        <f t="shared" si="173"/>
        <v>1.7899324464546674E-12</v>
      </c>
      <c r="CW168" s="22">
        <f t="shared" si="174"/>
        <v>3.3298255850118335E-12</v>
      </c>
      <c r="CX168" s="62">
        <f t="shared" si="122"/>
        <v>293.33333333333667</v>
      </c>
      <c r="CY168" s="62">
        <f ca="1">AVERAGE(OFFSET($CX$3,0,0,'Données projet'!$E$13+1,1))-AVERAGE(OFFSET($H$3,0,0,'Données projet'!$E$13+1,1))</f>
        <v>255.77222823147724</v>
      </c>
      <c r="CZ168" s="62">
        <f t="shared" si="150"/>
        <v>199.6931080052031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-1.9895196601282805E-13</v>
      </c>
      <c r="DP168" s="18">
        <f>DO168*VLOOKUP('Données projet'!$B$14,Paramètres!$A$1:$I$89,3,0)*VLOOKUP('Données projet'!$B$14,Paramètres!$A$1:$I$89,5,0)</f>
        <v>-1.924263415276073E-13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349.73011349954953</v>
      </c>
      <c r="DU168" s="62">
        <f t="shared" si="152"/>
        <v>154.08406475869634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-1.7053025658242404E-13</v>
      </c>
      <c r="O169" s="14">
        <f>N169*VLOOKUP('Données projet'!$B$9,Paramètres!$A$1:$I$89,3,0)*VLOOKUP('Données projet'!$B$9,Paramètres!$A$1:$I$89,5,0)</f>
        <v>-1.0197709343628959E-13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203.63995177374335</v>
      </c>
      <c r="T169" s="62">
        <f t="shared" si="142"/>
        <v>268.97461244918378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0.95922634345364988</v>
      </c>
      <c r="AA169" s="23">
        <f>EXP(-LN(2)/25)*AA168+(1-EXP(-LN(2)/25))/(LN(2)/25)*Calculateur!V169*Calculateur!X169*VLOOKUP('Données projet'!$B$9,Paramètres!$A$1:$I$89,3,0)*0.475*44/12</f>
        <v>0.28864867984222103</v>
      </c>
      <c r="AB169" s="23">
        <f>EXP(-LN(2)/2)*AB168+(1-EXP(-LN(2)/2))/(LN(2)/2)*V169*Y169*VLOOKUP('Données projet'!$B$9,Paramètres!$A$1:$I$89,3,0)*0.475*44/12</f>
        <v>1.0849055684315838E-20</v>
      </c>
      <c r="AC169" s="24">
        <f t="shared" si="163"/>
        <v>1.2478750232958709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-1.9895196601282805E-13</v>
      </c>
      <c r="AJ169" s="14">
        <f>AI169*VLOOKUP('Données projet'!$B$10,Paramètres!$A$1:$I$89,3,0)*VLOOKUP('Données projet'!$B$10,Paramètres!$A$1:$I$89,5,0)</f>
        <v>-2.0173729353700764E-13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364.69354394930866</v>
      </c>
      <c r="AO169" s="62">
        <f t="shared" si="144"/>
        <v>159.6134369231965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241.00707378755914</v>
      </c>
      <c r="BJ169" s="62">
        <f t="shared" si="146"/>
        <v>239.93573789765657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1.4210854715202004E-13</v>
      </c>
      <c r="BZ169" s="14">
        <f>BY169*VLOOKUP('Données projet'!$B$12,Paramètres!$A$1:$I$89,3,0)*VLOOKUP('Données projet'!$B$12,Paramètres!$A$1:$I$89,5,0)</f>
        <v>9.5326413429575044E-14</v>
      </c>
      <c r="CA169" s="14">
        <f t="shared" si="170"/>
        <v>1.4400742856080346E-12</v>
      </c>
      <c r="CB169" s="22">
        <f t="shared" si="171"/>
        <v>2.6741562174905032E-12</v>
      </c>
      <c r="CC169" s="62">
        <f t="shared" si="119"/>
        <v>293.33333333333599</v>
      </c>
      <c r="CD169" s="62">
        <f ca="1">AVERAGE(OFFSET($CC$3,0,0,'Données projet'!$E$12+1,1))-AVERAGE(OFFSET($H$3,0,0,'Données projet'!$E$12+1,1))</f>
        <v>207.91006140109965</v>
      </c>
      <c r="CE169" s="62">
        <f t="shared" si="148"/>
        <v>164.93317437647255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1.4210854715202004E-13</v>
      </c>
      <c r="CU169" s="18">
        <f>CT169*VLOOKUP('Données projet'!$B$13,Paramètres!$A$1:$I$89,3,0)*VLOOKUP('Données projet'!$B$13,Paramètres!$A$1:$I$89,5,0)</f>
        <v>1.2192913345643319E-13</v>
      </c>
      <c r="CV169" s="14">
        <f t="shared" si="173"/>
        <v>1.7899324464546674E-12</v>
      </c>
      <c r="CW169" s="22">
        <f t="shared" si="174"/>
        <v>3.3298255850118335E-12</v>
      </c>
      <c r="CX169" s="62">
        <f t="shared" si="122"/>
        <v>293.33333333333667</v>
      </c>
      <c r="CY169" s="62">
        <f ca="1">AVERAGE(OFFSET($CX$3,0,0,'Données projet'!$E$13+1,1))-AVERAGE(OFFSET($H$3,0,0,'Données projet'!$E$13+1,1))</f>
        <v>255.77222823147724</v>
      </c>
      <c r="CZ169" s="62">
        <f t="shared" si="150"/>
        <v>199.6931080052031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-1.9895196601282805E-13</v>
      </c>
      <c r="DP169" s="18">
        <f>DO169*VLOOKUP('Données projet'!$B$14,Paramètres!$A$1:$I$89,3,0)*VLOOKUP('Données projet'!$B$14,Paramètres!$A$1:$I$89,5,0)</f>
        <v>-1.924263415276073E-13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349.73011349954953</v>
      </c>
      <c r="DU169" s="62">
        <f t="shared" si="152"/>
        <v>154.08406475869634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-1.7053025658242404E-13</v>
      </c>
      <c r="O170" s="14">
        <f>N170*VLOOKUP('Données projet'!$B$9,Paramètres!$A$1:$I$89,3,0)*VLOOKUP('Données projet'!$B$9,Paramètres!$A$1:$I$89,5,0)</f>
        <v>-1.0197709343628959E-13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203.63995177374335</v>
      </c>
      <c r="T170" s="62">
        <f t="shared" si="142"/>
        <v>268.97461244918378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0.94041649992882237</v>
      </c>
      <c r="AA170" s="23">
        <f>EXP(-LN(2)/25)*AA169+(1-EXP(-LN(2)/25))/(LN(2)/25)*Calculateur!V170*Calculateur!X170*VLOOKUP('Données projet'!$B$9,Paramètres!$A$1:$I$89,3,0)*0.475*44/12</f>
        <v>0.28075556651256112</v>
      </c>
      <c r="AB170" s="23">
        <f>EXP(-LN(2)/2)*AB169+(1-EXP(-LN(2)/2))/(LN(2)/2)*V170*Y170*VLOOKUP('Données projet'!$B$9,Paramètres!$A$1:$I$89,3,0)*0.475*44/12</f>
        <v>7.6714408438501886E-21</v>
      </c>
      <c r="AC170" s="24">
        <f t="shared" si="163"/>
        <v>1.2211720664413834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-1.9895196601282805E-13</v>
      </c>
      <c r="AJ170" s="14">
        <f>AI170*VLOOKUP('Données projet'!$B$10,Paramètres!$A$1:$I$89,3,0)*VLOOKUP('Données projet'!$B$10,Paramètres!$A$1:$I$89,5,0)</f>
        <v>-2.0173729353700764E-13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364.69354394930866</v>
      </c>
      <c r="AO170" s="62">
        <f t="shared" si="144"/>
        <v>159.6134369231965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241.00707378755914</v>
      </c>
      <c r="BJ170" s="62">
        <f t="shared" si="146"/>
        <v>239.93573789765657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1.4210854715202004E-13</v>
      </c>
      <c r="BZ170" s="14">
        <f>BY170*VLOOKUP('Données projet'!$B$12,Paramètres!$A$1:$I$89,3,0)*VLOOKUP('Données projet'!$B$12,Paramètres!$A$1:$I$89,5,0)</f>
        <v>9.5326413429575044E-14</v>
      </c>
      <c r="CA170" s="14">
        <f t="shared" si="170"/>
        <v>1.4400742856080346E-12</v>
      </c>
      <c r="CB170" s="22">
        <f t="shared" si="171"/>
        <v>2.6741562174905032E-12</v>
      </c>
      <c r="CC170" s="62">
        <f t="shared" si="119"/>
        <v>293.33333333333599</v>
      </c>
      <c r="CD170" s="62">
        <f ca="1">AVERAGE(OFFSET($CC$3,0,0,'Données projet'!$E$12+1,1))-AVERAGE(OFFSET($H$3,0,0,'Données projet'!$E$12+1,1))</f>
        <v>207.91006140109965</v>
      </c>
      <c r="CE170" s="62">
        <f t="shared" si="148"/>
        <v>164.93317437647255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1.4210854715202004E-13</v>
      </c>
      <c r="CU170" s="18">
        <f>CT170*VLOOKUP('Données projet'!$B$13,Paramètres!$A$1:$I$89,3,0)*VLOOKUP('Données projet'!$B$13,Paramètres!$A$1:$I$89,5,0)</f>
        <v>1.2192913345643319E-13</v>
      </c>
      <c r="CV170" s="14">
        <f t="shared" si="173"/>
        <v>1.7899324464546674E-12</v>
      </c>
      <c r="CW170" s="22">
        <f t="shared" si="174"/>
        <v>3.3298255850118335E-12</v>
      </c>
      <c r="CX170" s="62">
        <f t="shared" si="122"/>
        <v>293.33333333333667</v>
      </c>
      <c r="CY170" s="62">
        <f ca="1">AVERAGE(OFFSET($CX$3,0,0,'Données projet'!$E$13+1,1))-AVERAGE(OFFSET($H$3,0,0,'Données projet'!$E$13+1,1))</f>
        <v>255.77222823147724</v>
      </c>
      <c r="CZ170" s="62">
        <f t="shared" si="150"/>
        <v>199.6931080052031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-1.9895196601282805E-13</v>
      </c>
      <c r="DP170" s="18">
        <f>DO170*VLOOKUP('Données projet'!$B$14,Paramètres!$A$1:$I$89,3,0)*VLOOKUP('Données projet'!$B$14,Paramètres!$A$1:$I$89,5,0)</f>
        <v>-1.924263415276073E-13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349.73011349954953</v>
      </c>
      <c r="DU170" s="62">
        <f t="shared" si="152"/>
        <v>154.08406475869634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-1.7053025658242404E-13</v>
      </c>
      <c r="O171" s="14">
        <f>N171*VLOOKUP('Données projet'!$B$9,Paramètres!$A$1:$I$89,3,0)*VLOOKUP('Données projet'!$B$9,Paramètres!$A$1:$I$89,5,0)</f>
        <v>-1.0197709343628959E-13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203.63995177374335</v>
      </c>
      <c r="T171" s="62">
        <f t="shared" si="142"/>
        <v>268.97461244918378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0.9219755059626451</v>
      </c>
      <c r="AA171" s="23">
        <f>EXP(-LN(2)/25)*AA170+(1-EXP(-LN(2)/25))/(LN(2)/25)*Calculateur!V171*Calculateur!X171*VLOOKUP('Données projet'!$B$9,Paramètres!$A$1:$I$89,3,0)*0.475*44/12</f>
        <v>0.27307829078198159</v>
      </c>
      <c r="AB171" s="23">
        <f>EXP(-LN(2)/2)*AB170+(1-EXP(-LN(2)/2))/(LN(2)/2)*V171*Y171*VLOOKUP('Données projet'!$B$9,Paramètres!$A$1:$I$89,3,0)*0.475*44/12</f>
        <v>5.4245278421579189E-21</v>
      </c>
      <c r="AC171" s="24">
        <f t="shared" si="163"/>
        <v>1.1950537967446266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-1.9895196601282805E-13</v>
      </c>
      <c r="AJ171" s="14">
        <f>AI171*VLOOKUP('Données projet'!$B$10,Paramètres!$A$1:$I$89,3,0)*VLOOKUP('Données projet'!$B$10,Paramètres!$A$1:$I$89,5,0)</f>
        <v>-2.0173729353700764E-13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364.69354394930866</v>
      </c>
      <c r="AO171" s="62">
        <f t="shared" si="144"/>
        <v>159.6134369231965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241.00707378755914</v>
      </c>
      <c r="BJ171" s="62">
        <f t="shared" si="146"/>
        <v>239.93573789765657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1.4210854715202004E-13</v>
      </c>
      <c r="BZ171" s="14">
        <f>BY171*VLOOKUP('Données projet'!$B$12,Paramètres!$A$1:$I$89,3,0)*VLOOKUP('Données projet'!$B$12,Paramètres!$A$1:$I$89,5,0)</f>
        <v>9.5326413429575044E-14</v>
      </c>
      <c r="CA171" s="14">
        <f t="shared" si="170"/>
        <v>1.4400742856080346E-12</v>
      </c>
      <c r="CB171" s="22">
        <f t="shared" si="171"/>
        <v>2.6741562174905032E-12</v>
      </c>
      <c r="CC171" s="62">
        <f t="shared" si="119"/>
        <v>293.33333333333599</v>
      </c>
      <c r="CD171" s="62">
        <f ca="1">AVERAGE(OFFSET($CC$3,0,0,'Données projet'!$E$12+1,1))-AVERAGE(OFFSET($H$3,0,0,'Données projet'!$E$12+1,1))</f>
        <v>207.91006140109965</v>
      </c>
      <c r="CE171" s="62">
        <f t="shared" si="148"/>
        <v>164.93317437647255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1.4210854715202004E-13</v>
      </c>
      <c r="CU171" s="18">
        <f>CT171*VLOOKUP('Données projet'!$B$13,Paramètres!$A$1:$I$89,3,0)*VLOOKUP('Données projet'!$B$13,Paramètres!$A$1:$I$89,5,0)</f>
        <v>1.2192913345643319E-13</v>
      </c>
      <c r="CV171" s="14">
        <f t="shared" si="173"/>
        <v>1.7899324464546674E-12</v>
      </c>
      <c r="CW171" s="22">
        <f t="shared" si="174"/>
        <v>3.3298255850118335E-12</v>
      </c>
      <c r="CX171" s="62">
        <f t="shared" si="122"/>
        <v>293.33333333333667</v>
      </c>
      <c r="CY171" s="62">
        <f ca="1">AVERAGE(OFFSET($CX$3,0,0,'Données projet'!$E$13+1,1))-AVERAGE(OFFSET($H$3,0,0,'Données projet'!$E$13+1,1))</f>
        <v>255.77222823147724</v>
      </c>
      <c r="CZ171" s="62">
        <f t="shared" si="150"/>
        <v>199.6931080052031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-1.9895196601282805E-13</v>
      </c>
      <c r="DP171" s="18">
        <f>DO171*VLOOKUP('Données projet'!$B$14,Paramètres!$A$1:$I$89,3,0)*VLOOKUP('Données projet'!$B$14,Paramètres!$A$1:$I$89,5,0)</f>
        <v>-1.924263415276073E-13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349.73011349954953</v>
      </c>
      <c r="DU171" s="62">
        <f t="shared" si="152"/>
        <v>154.08406475869634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-1.7053025658242404E-13</v>
      </c>
      <c r="O172" s="14">
        <f>N172*VLOOKUP('Données projet'!$B$9,Paramètres!$A$1:$I$89,3,0)*VLOOKUP('Données projet'!$B$9,Paramètres!$A$1:$I$89,5,0)</f>
        <v>-1.0197709343628959E-13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203.63995177374335</v>
      </c>
      <c r="T172" s="62">
        <f t="shared" si="142"/>
        <v>268.97461244918378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0.90389612864024882</v>
      </c>
      <c r="AA172" s="23">
        <f>EXP(-LN(2)/25)*AA171+(1-EXP(-LN(2)/25))/(LN(2)/25)*Calculateur!V172*Calculateur!X172*VLOOKUP('Données projet'!$B$9,Paramètres!$A$1:$I$89,3,0)*0.475*44/12</f>
        <v>0.26561095055998513</v>
      </c>
      <c r="AB172" s="23">
        <f>EXP(-LN(2)/2)*AB171+(1-EXP(-LN(2)/2))/(LN(2)/2)*V172*Y172*VLOOKUP('Données projet'!$B$9,Paramètres!$A$1:$I$89,3,0)*0.475*44/12</f>
        <v>3.8357204219250943E-21</v>
      </c>
      <c r="AC172" s="24">
        <f t="shared" si="163"/>
        <v>1.169507079200234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-1.9895196601282805E-13</v>
      </c>
      <c r="AJ172" s="14">
        <f>AI172*VLOOKUP('Données projet'!$B$10,Paramètres!$A$1:$I$89,3,0)*VLOOKUP('Données projet'!$B$10,Paramètres!$A$1:$I$89,5,0)</f>
        <v>-2.0173729353700764E-13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364.69354394930866</v>
      </c>
      <c r="AO172" s="62">
        <f t="shared" si="144"/>
        <v>159.6134369231965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241.00707378755914</v>
      </c>
      <c r="BJ172" s="62">
        <f t="shared" si="146"/>
        <v>239.93573789765657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1.4210854715202004E-13</v>
      </c>
      <c r="BZ172" s="14">
        <f>BY172*VLOOKUP('Données projet'!$B$12,Paramètres!$A$1:$I$89,3,0)*VLOOKUP('Données projet'!$B$12,Paramètres!$A$1:$I$89,5,0)</f>
        <v>9.5326413429575044E-14</v>
      </c>
      <c r="CA172" s="14">
        <f t="shared" si="170"/>
        <v>1.4400742856080346E-12</v>
      </c>
      <c r="CB172" s="22">
        <f t="shared" si="171"/>
        <v>2.6741562174905032E-12</v>
      </c>
      <c r="CC172" s="62">
        <f t="shared" si="119"/>
        <v>293.33333333333599</v>
      </c>
      <c r="CD172" s="62">
        <f ca="1">AVERAGE(OFFSET($CC$3,0,0,'Données projet'!$E$12+1,1))-AVERAGE(OFFSET($H$3,0,0,'Données projet'!$E$12+1,1))</f>
        <v>207.91006140109965</v>
      </c>
      <c r="CE172" s="62">
        <f t="shared" si="148"/>
        <v>164.93317437647255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1.4210854715202004E-13</v>
      </c>
      <c r="CU172" s="18">
        <f>CT172*VLOOKUP('Données projet'!$B$13,Paramètres!$A$1:$I$89,3,0)*VLOOKUP('Données projet'!$B$13,Paramètres!$A$1:$I$89,5,0)</f>
        <v>1.2192913345643319E-13</v>
      </c>
      <c r="CV172" s="14">
        <f t="shared" si="173"/>
        <v>1.7899324464546674E-12</v>
      </c>
      <c r="CW172" s="22">
        <f t="shared" si="174"/>
        <v>3.3298255850118335E-12</v>
      </c>
      <c r="CX172" s="62">
        <f t="shared" si="122"/>
        <v>293.33333333333667</v>
      </c>
      <c r="CY172" s="62">
        <f ca="1">AVERAGE(OFFSET($CX$3,0,0,'Données projet'!$E$13+1,1))-AVERAGE(OFFSET($H$3,0,0,'Données projet'!$E$13+1,1))</f>
        <v>255.77222823147724</v>
      </c>
      <c r="CZ172" s="62">
        <f t="shared" si="150"/>
        <v>199.6931080052031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-1.9895196601282805E-13</v>
      </c>
      <c r="DP172" s="18">
        <f>DO172*VLOOKUP('Données projet'!$B$14,Paramètres!$A$1:$I$89,3,0)*VLOOKUP('Données projet'!$B$14,Paramètres!$A$1:$I$89,5,0)</f>
        <v>-1.924263415276073E-13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349.73011349954953</v>
      </c>
      <c r="DU172" s="62">
        <f t="shared" si="152"/>
        <v>154.08406475869634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-1.7053025658242404E-13</v>
      </c>
      <c r="O173" s="14">
        <f>N173*VLOOKUP('Données projet'!$B$9,Paramètres!$A$1:$I$89,3,0)*VLOOKUP('Données projet'!$B$9,Paramètres!$A$1:$I$89,5,0)</f>
        <v>-1.0197709343628959E-13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203.63995177374335</v>
      </c>
      <c r="T173" s="62">
        <f t="shared" si="142"/>
        <v>268.97461244918378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0.88617127687981345</v>
      </c>
      <c r="AA173" s="23">
        <f>EXP(-LN(2)/25)*AA172+(1-EXP(-LN(2)/25))/(LN(2)/25)*Calculateur!V173*Calculateur!X173*VLOOKUP('Données projet'!$B$9,Paramètres!$A$1:$I$89,3,0)*0.475*44/12</f>
        <v>0.25834780514904948</v>
      </c>
      <c r="AB173" s="23">
        <f>EXP(-LN(2)/2)*AB172+(1-EXP(-LN(2)/2))/(LN(2)/2)*V173*Y173*VLOOKUP('Données projet'!$B$9,Paramètres!$A$1:$I$89,3,0)*0.475*44/12</f>
        <v>2.7122639210789594E-21</v>
      </c>
      <c r="AC173" s="24">
        <f t="shared" si="163"/>
        <v>1.1445190820288629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-1.9895196601282805E-13</v>
      </c>
      <c r="AJ173" s="14">
        <f>AI173*VLOOKUP('Données projet'!$B$10,Paramètres!$A$1:$I$89,3,0)*VLOOKUP('Données projet'!$B$10,Paramètres!$A$1:$I$89,5,0)</f>
        <v>-2.0173729353700764E-13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364.69354394930866</v>
      </c>
      <c r="AO173" s="62">
        <f t="shared" si="144"/>
        <v>159.6134369231965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241.00707378755914</v>
      </c>
      <c r="BJ173" s="62">
        <f t="shared" si="146"/>
        <v>239.93573789765657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1.4210854715202004E-13</v>
      </c>
      <c r="BZ173" s="14">
        <f>BY173*VLOOKUP('Données projet'!$B$12,Paramètres!$A$1:$I$89,3,0)*VLOOKUP('Données projet'!$B$12,Paramètres!$A$1:$I$89,5,0)</f>
        <v>9.5326413429575044E-14</v>
      </c>
      <c r="CA173" s="14">
        <f t="shared" si="170"/>
        <v>1.4400742856080346E-12</v>
      </c>
      <c r="CB173" s="22">
        <f t="shared" si="171"/>
        <v>2.6741562174905032E-12</v>
      </c>
      <c r="CC173" s="62">
        <f t="shared" si="119"/>
        <v>293.33333333333599</v>
      </c>
      <c r="CD173" s="62">
        <f ca="1">AVERAGE(OFFSET($CC$3,0,0,'Données projet'!$E$12+1,1))-AVERAGE(OFFSET($H$3,0,0,'Données projet'!$E$12+1,1))</f>
        <v>207.91006140109965</v>
      </c>
      <c r="CE173" s="62">
        <f t="shared" si="148"/>
        <v>164.93317437647255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1.4210854715202004E-13</v>
      </c>
      <c r="CU173" s="18">
        <f>CT173*VLOOKUP('Données projet'!$B$13,Paramètres!$A$1:$I$89,3,0)*VLOOKUP('Données projet'!$B$13,Paramètres!$A$1:$I$89,5,0)</f>
        <v>1.2192913345643319E-13</v>
      </c>
      <c r="CV173" s="14">
        <f t="shared" si="173"/>
        <v>1.7899324464546674E-12</v>
      </c>
      <c r="CW173" s="22">
        <f t="shared" si="174"/>
        <v>3.3298255850118335E-12</v>
      </c>
      <c r="CX173" s="62">
        <f t="shared" si="122"/>
        <v>293.33333333333667</v>
      </c>
      <c r="CY173" s="62">
        <f ca="1">AVERAGE(OFFSET($CX$3,0,0,'Données projet'!$E$13+1,1))-AVERAGE(OFFSET($H$3,0,0,'Données projet'!$E$13+1,1))</f>
        <v>255.77222823147724</v>
      </c>
      <c r="CZ173" s="62">
        <f t="shared" si="150"/>
        <v>199.6931080052031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-1.9895196601282805E-13</v>
      </c>
      <c r="DP173" s="18">
        <f>DO173*VLOOKUP('Données projet'!$B$14,Paramètres!$A$1:$I$89,3,0)*VLOOKUP('Données projet'!$B$14,Paramètres!$A$1:$I$89,5,0)</f>
        <v>-1.924263415276073E-13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349.73011349954953</v>
      </c>
      <c r="DU173" s="62">
        <f t="shared" si="152"/>
        <v>154.08406475869634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-1.7053025658242404E-13</v>
      </c>
      <c r="O174" s="14">
        <f>N174*VLOOKUP('Données projet'!$B$9,Paramètres!$A$1:$I$89,3,0)*VLOOKUP('Données projet'!$B$9,Paramètres!$A$1:$I$89,5,0)</f>
        <v>-1.0197709343628959E-13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203.63995177374335</v>
      </c>
      <c r="T174" s="62">
        <f t="shared" si="142"/>
        <v>268.97461244918378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0.86879399865130813</v>
      </c>
      <c r="AA174" s="23">
        <f>EXP(-LN(2)/25)*AA173+(1-EXP(-LN(2)/25))/(LN(2)/25)*Calculateur!V174*Calculateur!X174*VLOOKUP('Données projet'!$B$9,Paramètres!$A$1:$I$89,3,0)*0.475*44/12</f>
        <v>0.25128327083132812</v>
      </c>
      <c r="AB174" s="23">
        <f>EXP(-LN(2)/2)*AB173+(1-EXP(-LN(2)/2))/(LN(2)/2)*V174*Y174*VLOOKUP('Données projet'!$B$9,Paramètres!$A$1:$I$89,3,0)*0.475*44/12</f>
        <v>1.9178602109625472E-21</v>
      </c>
      <c r="AC174" s="24">
        <f t="shared" si="163"/>
        <v>1.1200772694826362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-1.9895196601282805E-13</v>
      </c>
      <c r="AJ174" s="14">
        <f>AI174*VLOOKUP('Données projet'!$B$10,Paramètres!$A$1:$I$89,3,0)*VLOOKUP('Données projet'!$B$10,Paramètres!$A$1:$I$89,5,0)</f>
        <v>-2.0173729353700764E-13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364.69354394930866</v>
      </c>
      <c r="AO174" s="62">
        <f t="shared" si="144"/>
        <v>159.6134369231965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241.00707378755914</v>
      </c>
      <c r="BJ174" s="62">
        <f t="shared" si="146"/>
        <v>239.93573789765657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1.4210854715202004E-13</v>
      </c>
      <c r="BZ174" s="14">
        <f>BY174*VLOOKUP('Données projet'!$B$12,Paramètres!$A$1:$I$89,3,0)*VLOOKUP('Données projet'!$B$12,Paramètres!$A$1:$I$89,5,0)</f>
        <v>9.5326413429575044E-14</v>
      </c>
      <c r="CA174" s="14">
        <f t="shared" si="170"/>
        <v>1.4400742856080346E-12</v>
      </c>
      <c r="CB174" s="22">
        <f t="shared" si="171"/>
        <v>2.6741562174905032E-12</v>
      </c>
      <c r="CC174" s="62">
        <f t="shared" si="119"/>
        <v>293.33333333333599</v>
      </c>
      <c r="CD174" s="62">
        <f ca="1">AVERAGE(OFFSET($CC$3,0,0,'Données projet'!$E$12+1,1))-AVERAGE(OFFSET($H$3,0,0,'Données projet'!$E$12+1,1))</f>
        <v>207.91006140109965</v>
      </c>
      <c r="CE174" s="62">
        <f t="shared" si="148"/>
        <v>164.93317437647255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1.4210854715202004E-13</v>
      </c>
      <c r="CU174" s="18">
        <f>CT174*VLOOKUP('Données projet'!$B$13,Paramètres!$A$1:$I$89,3,0)*VLOOKUP('Données projet'!$B$13,Paramètres!$A$1:$I$89,5,0)</f>
        <v>1.2192913345643319E-13</v>
      </c>
      <c r="CV174" s="14">
        <f t="shared" si="173"/>
        <v>1.7899324464546674E-12</v>
      </c>
      <c r="CW174" s="22">
        <f t="shared" si="174"/>
        <v>3.3298255850118335E-12</v>
      </c>
      <c r="CX174" s="62">
        <f t="shared" si="122"/>
        <v>293.33333333333667</v>
      </c>
      <c r="CY174" s="62">
        <f ca="1">AVERAGE(OFFSET($CX$3,0,0,'Données projet'!$E$13+1,1))-AVERAGE(OFFSET($H$3,0,0,'Données projet'!$E$13+1,1))</f>
        <v>255.77222823147724</v>
      </c>
      <c r="CZ174" s="62">
        <f t="shared" si="150"/>
        <v>199.6931080052031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-1.9895196601282805E-13</v>
      </c>
      <c r="DP174" s="18">
        <f>DO174*VLOOKUP('Données projet'!$B$14,Paramètres!$A$1:$I$89,3,0)*VLOOKUP('Données projet'!$B$14,Paramètres!$A$1:$I$89,5,0)</f>
        <v>-1.924263415276073E-13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349.73011349954953</v>
      </c>
      <c r="DU174" s="62">
        <f t="shared" si="152"/>
        <v>154.08406475869634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-1.7053025658242404E-13</v>
      </c>
      <c r="O175" s="14">
        <f>N175*VLOOKUP('Données projet'!$B$9,Paramètres!$A$1:$I$89,3,0)*VLOOKUP('Données projet'!$B$9,Paramètres!$A$1:$I$89,5,0)</f>
        <v>-1.0197709343628959E-13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203.63995177374335</v>
      </c>
      <c r="T175" s="62">
        <f t="shared" si="142"/>
        <v>268.97461244918378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0.85175747824977066</v>
      </c>
      <c r="AA175" s="23">
        <f>EXP(-LN(2)/25)*AA174+(1-EXP(-LN(2)/25))/(LN(2)/25)*Calculateur!V175*Calculateur!X175*VLOOKUP('Données projet'!$B$9,Paramètres!$A$1:$I$89,3,0)*0.475*44/12</f>
        <v>0.24441191657603256</v>
      </c>
      <c r="AB175" s="23">
        <f>EXP(-LN(2)/2)*AB174+(1-EXP(-LN(2)/2))/(LN(2)/2)*V175*Y175*VLOOKUP('Données projet'!$B$9,Paramètres!$A$1:$I$89,3,0)*0.475*44/12</f>
        <v>1.3561319605394797E-21</v>
      </c>
      <c r="AC175" s="24">
        <f t="shared" si="163"/>
        <v>1.0961693948258033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-1.9895196601282805E-13</v>
      </c>
      <c r="AJ175" s="14">
        <f>AI175*VLOOKUP('Données projet'!$B$10,Paramètres!$A$1:$I$89,3,0)*VLOOKUP('Données projet'!$B$10,Paramètres!$A$1:$I$89,5,0)</f>
        <v>-2.0173729353700764E-13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364.69354394930866</v>
      </c>
      <c r="AO175" s="62">
        <f t="shared" si="144"/>
        <v>159.6134369231965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241.00707378755914</v>
      </c>
      <c r="BJ175" s="62">
        <f t="shared" si="146"/>
        <v>239.93573789765657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1.4210854715202004E-13</v>
      </c>
      <c r="BZ175" s="14">
        <f>BY175*VLOOKUP('Données projet'!$B$12,Paramètres!$A$1:$I$89,3,0)*VLOOKUP('Données projet'!$B$12,Paramètres!$A$1:$I$89,5,0)</f>
        <v>9.5326413429575044E-14</v>
      </c>
      <c r="CA175" s="14">
        <f t="shared" si="170"/>
        <v>1.4400742856080346E-12</v>
      </c>
      <c r="CB175" s="22">
        <f t="shared" si="171"/>
        <v>2.6741562174905032E-12</v>
      </c>
      <c r="CC175" s="62">
        <f t="shared" si="119"/>
        <v>293.33333333333599</v>
      </c>
      <c r="CD175" s="62">
        <f ca="1">AVERAGE(OFFSET($CC$3,0,0,'Données projet'!$E$12+1,1))-AVERAGE(OFFSET($H$3,0,0,'Données projet'!$E$12+1,1))</f>
        <v>207.91006140109965</v>
      </c>
      <c r="CE175" s="62">
        <f t="shared" si="148"/>
        <v>164.93317437647255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1.4210854715202004E-13</v>
      </c>
      <c r="CU175" s="18">
        <f>CT175*VLOOKUP('Données projet'!$B$13,Paramètres!$A$1:$I$89,3,0)*VLOOKUP('Données projet'!$B$13,Paramètres!$A$1:$I$89,5,0)</f>
        <v>1.2192913345643319E-13</v>
      </c>
      <c r="CV175" s="14">
        <f t="shared" si="173"/>
        <v>1.7899324464546674E-12</v>
      </c>
      <c r="CW175" s="22">
        <f t="shared" si="174"/>
        <v>3.3298255850118335E-12</v>
      </c>
      <c r="CX175" s="62">
        <f t="shared" si="122"/>
        <v>293.33333333333667</v>
      </c>
      <c r="CY175" s="62">
        <f ca="1">AVERAGE(OFFSET($CX$3,0,0,'Données projet'!$E$13+1,1))-AVERAGE(OFFSET($H$3,0,0,'Données projet'!$E$13+1,1))</f>
        <v>255.77222823147724</v>
      </c>
      <c r="CZ175" s="62">
        <f t="shared" si="150"/>
        <v>199.6931080052031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-1.9895196601282805E-13</v>
      </c>
      <c r="DP175" s="18">
        <f>DO175*VLOOKUP('Données projet'!$B$14,Paramètres!$A$1:$I$89,3,0)*VLOOKUP('Données projet'!$B$14,Paramètres!$A$1:$I$89,5,0)</f>
        <v>-1.924263415276073E-13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349.73011349954953</v>
      </c>
      <c r="DU175" s="62">
        <f t="shared" si="152"/>
        <v>154.08406475869634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-1.7053025658242404E-13</v>
      </c>
      <c r="O176" s="14">
        <f>N176*VLOOKUP('Données projet'!$B$9,Paramètres!$A$1:$I$89,3,0)*VLOOKUP('Données projet'!$B$9,Paramètres!$A$1:$I$89,5,0)</f>
        <v>-1.0197709343628959E-13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203.63995177374335</v>
      </c>
      <c r="T176" s="62">
        <f t="shared" si="142"/>
        <v>268.97461244918378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0.83505503362205602</v>
      </c>
      <c r="AA176" s="23">
        <f>EXP(-LN(2)/25)*AA175+(1-EXP(-LN(2)/25))/(LN(2)/25)*Calculateur!V176*Calculateur!X176*VLOOKUP('Données projet'!$B$9,Paramètres!$A$1:$I$89,3,0)*0.475*44/12</f>
        <v>0.23772845986419686</v>
      </c>
      <c r="AB176" s="23">
        <f>EXP(-LN(2)/2)*AB175+(1-EXP(-LN(2)/2))/(LN(2)/2)*V176*Y176*VLOOKUP('Données projet'!$B$9,Paramètres!$A$1:$I$89,3,0)*0.475*44/12</f>
        <v>9.5893010548127358E-22</v>
      </c>
      <c r="AC176" s="24">
        <f t="shared" si="163"/>
        <v>1.0727834934862528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-1.9895196601282805E-13</v>
      </c>
      <c r="AJ176" s="14">
        <f>AI176*VLOOKUP('Données projet'!$B$10,Paramètres!$A$1:$I$89,3,0)*VLOOKUP('Données projet'!$B$10,Paramètres!$A$1:$I$89,5,0)</f>
        <v>-2.0173729353700764E-13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364.69354394930866</v>
      </c>
      <c r="AO176" s="62">
        <f t="shared" si="144"/>
        <v>159.6134369231965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241.00707378755914</v>
      </c>
      <c r="BJ176" s="62">
        <f t="shared" si="146"/>
        <v>239.93573789765657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1.4210854715202004E-13</v>
      </c>
      <c r="BZ176" s="14">
        <f>BY176*VLOOKUP('Données projet'!$B$12,Paramètres!$A$1:$I$89,3,0)*VLOOKUP('Données projet'!$B$12,Paramètres!$A$1:$I$89,5,0)</f>
        <v>9.5326413429575044E-14</v>
      </c>
      <c r="CA176" s="14">
        <f t="shared" si="170"/>
        <v>1.4400742856080346E-12</v>
      </c>
      <c r="CB176" s="22">
        <f t="shared" si="171"/>
        <v>2.6741562174905032E-12</v>
      </c>
      <c r="CC176" s="62">
        <f t="shared" si="119"/>
        <v>293.33333333333599</v>
      </c>
      <c r="CD176" s="62">
        <f ca="1">AVERAGE(OFFSET($CC$3,0,0,'Données projet'!$E$12+1,1))-AVERAGE(OFFSET($H$3,0,0,'Données projet'!$E$12+1,1))</f>
        <v>207.91006140109965</v>
      </c>
      <c r="CE176" s="62">
        <f t="shared" si="148"/>
        <v>164.93317437647255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1.4210854715202004E-13</v>
      </c>
      <c r="CU176" s="18">
        <f>CT176*VLOOKUP('Données projet'!$B$13,Paramètres!$A$1:$I$89,3,0)*VLOOKUP('Données projet'!$B$13,Paramètres!$A$1:$I$89,5,0)</f>
        <v>1.2192913345643319E-13</v>
      </c>
      <c r="CV176" s="14">
        <f t="shared" si="173"/>
        <v>1.7899324464546674E-12</v>
      </c>
      <c r="CW176" s="22">
        <f t="shared" si="174"/>
        <v>3.3298255850118335E-12</v>
      </c>
      <c r="CX176" s="62">
        <f t="shared" si="122"/>
        <v>293.33333333333667</v>
      </c>
      <c r="CY176" s="62">
        <f ca="1">AVERAGE(OFFSET($CX$3,0,0,'Données projet'!$E$13+1,1))-AVERAGE(OFFSET($H$3,0,0,'Données projet'!$E$13+1,1))</f>
        <v>255.77222823147724</v>
      </c>
      <c r="CZ176" s="62">
        <f t="shared" si="150"/>
        <v>199.6931080052031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-1.9895196601282805E-13</v>
      </c>
      <c r="DP176" s="18">
        <f>DO176*VLOOKUP('Données projet'!$B$14,Paramètres!$A$1:$I$89,3,0)*VLOOKUP('Données projet'!$B$14,Paramètres!$A$1:$I$89,5,0)</f>
        <v>-1.924263415276073E-13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349.73011349954953</v>
      </c>
      <c r="DU176" s="62">
        <f t="shared" si="152"/>
        <v>154.08406475869634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-1.7053025658242404E-13</v>
      </c>
      <c r="O177" s="14">
        <f>N177*VLOOKUP('Données projet'!$B$9,Paramètres!$A$1:$I$89,3,0)*VLOOKUP('Données projet'!$B$9,Paramètres!$A$1:$I$89,5,0)</f>
        <v>-1.0197709343628959E-13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203.63995177374335</v>
      </c>
      <c r="T177" s="62">
        <f t="shared" si="142"/>
        <v>268.97461244918378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0.81868011374600558</v>
      </c>
      <c r="AA177" s="23">
        <f>EXP(-LN(2)/25)*AA176+(1-EXP(-LN(2)/25))/(LN(2)/25)*Calculateur!V177*Calculateur!X177*VLOOKUP('Données projet'!$B$9,Paramètres!$A$1:$I$89,3,0)*0.475*44/12</f>
        <v>0.23122776262761402</v>
      </c>
      <c r="AB177" s="23">
        <f>EXP(-LN(2)/2)*AB176+(1-EXP(-LN(2)/2))/(LN(2)/2)*V177*Y177*VLOOKUP('Données projet'!$B$9,Paramètres!$A$1:$I$89,3,0)*0.475*44/12</f>
        <v>6.7806598026973986E-22</v>
      </c>
      <c r="AC177" s="24">
        <f t="shared" si="163"/>
        <v>1.0499078763736196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-1.9895196601282805E-13</v>
      </c>
      <c r="AJ177" s="14">
        <f>AI177*VLOOKUP('Données projet'!$B$10,Paramètres!$A$1:$I$89,3,0)*VLOOKUP('Données projet'!$B$10,Paramètres!$A$1:$I$89,5,0)</f>
        <v>-2.0173729353700764E-13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364.69354394930866</v>
      </c>
      <c r="AO177" s="62">
        <f t="shared" si="144"/>
        <v>159.6134369231965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241.00707378755914</v>
      </c>
      <c r="BJ177" s="62">
        <f t="shared" si="146"/>
        <v>239.93573789765657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1.4210854715202004E-13</v>
      </c>
      <c r="BZ177" s="14">
        <f>BY177*VLOOKUP('Données projet'!$B$12,Paramètres!$A$1:$I$89,3,0)*VLOOKUP('Données projet'!$B$12,Paramètres!$A$1:$I$89,5,0)</f>
        <v>9.5326413429575044E-14</v>
      </c>
      <c r="CA177" s="14">
        <f t="shared" si="170"/>
        <v>1.4400742856080346E-12</v>
      </c>
      <c r="CB177" s="22">
        <f t="shared" si="171"/>
        <v>2.6741562174905032E-12</v>
      </c>
      <c r="CC177" s="62">
        <f t="shared" si="119"/>
        <v>293.33333333333599</v>
      </c>
      <c r="CD177" s="62">
        <f ca="1">AVERAGE(OFFSET($CC$3,0,0,'Données projet'!$E$12+1,1))-AVERAGE(OFFSET($H$3,0,0,'Données projet'!$E$12+1,1))</f>
        <v>207.91006140109965</v>
      </c>
      <c r="CE177" s="62">
        <f t="shared" si="148"/>
        <v>164.93317437647255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1.4210854715202004E-13</v>
      </c>
      <c r="CU177" s="18">
        <f>CT177*VLOOKUP('Données projet'!$B$13,Paramètres!$A$1:$I$89,3,0)*VLOOKUP('Données projet'!$B$13,Paramètres!$A$1:$I$89,5,0)</f>
        <v>1.2192913345643319E-13</v>
      </c>
      <c r="CV177" s="14">
        <f t="shared" si="173"/>
        <v>1.7899324464546674E-12</v>
      </c>
      <c r="CW177" s="22">
        <f t="shared" si="174"/>
        <v>3.3298255850118335E-12</v>
      </c>
      <c r="CX177" s="62">
        <f t="shared" si="122"/>
        <v>293.33333333333667</v>
      </c>
      <c r="CY177" s="62">
        <f ca="1">AVERAGE(OFFSET($CX$3,0,0,'Données projet'!$E$13+1,1))-AVERAGE(OFFSET($H$3,0,0,'Données projet'!$E$13+1,1))</f>
        <v>255.77222823147724</v>
      </c>
      <c r="CZ177" s="62">
        <f t="shared" si="150"/>
        <v>199.6931080052031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-1.9895196601282805E-13</v>
      </c>
      <c r="DP177" s="18">
        <f>DO177*VLOOKUP('Données projet'!$B$14,Paramètres!$A$1:$I$89,3,0)*VLOOKUP('Données projet'!$B$14,Paramètres!$A$1:$I$89,5,0)</f>
        <v>-1.924263415276073E-13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349.73011349954953</v>
      </c>
      <c r="DU177" s="62">
        <f t="shared" si="152"/>
        <v>154.08406475869634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-1.7053025658242404E-13</v>
      </c>
      <c r="O178" s="14">
        <f>N178*VLOOKUP('Données projet'!$B$9,Paramètres!$A$1:$I$89,3,0)*VLOOKUP('Données projet'!$B$9,Paramètres!$A$1:$I$89,5,0)</f>
        <v>-1.0197709343628959E-13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203.63995177374335</v>
      </c>
      <c r="T178" s="62">
        <f t="shared" si="142"/>
        <v>268.97461244918378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0.80262629606100955</v>
      </c>
      <c r="AA178" s="23">
        <f>EXP(-LN(2)/25)*AA177+(1-EXP(-LN(2)/25))/(LN(2)/25)*Calculateur!V178*Calculateur!X178*VLOOKUP('Données projet'!$B$9,Paramètres!$A$1:$I$89,3,0)*0.475*44/12</f>
        <v>0.22490482729882236</v>
      </c>
      <c r="AB178" s="23">
        <f>EXP(-LN(2)/2)*AB177+(1-EXP(-LN(2)/2))/(LN(2)/2)*V178*Y178*VLOOKUP('Données projet'!$B$9,Paramètres!$A$1:$I$89,3,0)*0.475*44/12</f>
        <v>4.7946505274063679E-22</v>
      </c>
      <c r="AC178" s="24">
        <f t="shared" si="163"/>
        <v>1.0275311233598319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-1.9895196601282805E-13</v>
      </c>
      <c r="AJ178" s="14">
        <f>AI178*VLOOKUP('Données projet'!$B$10,Paramètres!$A$1:$I$89,3,0)*VLOOKUP('Données projet'!$B$10,Paramètres!$A$1:$I$89,5,0)</f>
        <v>-2.0173729353700764E-13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364.69354394930866</v>
      </c>
      <c r="AO178" s="62">
        <f t="shared" si="144"/>
        <v>159.6134369231965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241.00707378755914</v>
      </c>
      <c r="BJ178" s="62">
        <f t="shared" si="146"/>
        <v>239.93573789765657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1.4210854715202004E-13</v>
      </c>
      <c r="BZ178" s="14">
        <f>BY178*VLOOKUP('Données projet'!$B$12,Paramètres!$A$1:$I$89,3,0)*VLOOKUP('Données projet'!$B$12,Paramètres!$A$1:$I$89,5,0)</f>
        <v>9.5326413429575044E-14</v>
      </c>
      <c r="CA178" s="14">
        <f t="shared" si="170"/>
        <v>1.4400742856080346E-12</v>
      </c>
      <c r="CB178" s="22">
        <f t="shared" si="171"/>
        <v>2.6741562174905032E-12</v>
      </c>
      <c r="CC178" s="62">
        <f t="shared" si="119"/>
        <v>293.33333333333599</v>
      </c>
      <c r="CD178" s="62">
        <f ca="1">AVERAGE(OFFSET($CC$3,0,0,'Données projet'!$E$12+1,1))-AVERAGE(OFFSET($H$3,0,0,'Données projet'!$E$12+1,1))</f>
        <v>207.91006140109965</v>
      </c>
      <c r="CE178" s="62">
        <f t="shared" si="148"/>
        <v>164.93317437647255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1.4210854715202004E-13</v>
      </c>
      <c r="CU178" s="18">
        <f>CT178*VLOOKUP('Données projet'!$B$13,Paramètres!$A$1:$I$89,3,0)*VLOOKUP('Données projet'!$B$13,Paramètres!$A$1:$I$89,5,0)</f>
        <v>1.2192913345643319E-13</v>
      </c>
      <c r="CV178" s="14">
        <f t="shared" si="173"/>
        <v>1.7899324464546674E-12</v>
      </c>
      <c r="CW178" s="22">
        <f t="shared" si="174"/>
        <v>3.3298255850118335E-12</v>
      </c>
      <c r="CX178" s="62">
        <f t="shared" si="122"/>
        <v>293.33333333333667</v>
      </c>
      <c r="CY178" s="62">
        <f ca="1">AVERAGE(OFFSET($CX$3,0,0,'Données projet'!$E$13+1,1))-AVERAGE(OFFSET($H$3,0,0,'Données projet'!$E$13+1,1))</f>
        <v>255.77222823147724</v>
      </c>
      <c r="CZ178" s="62">
        <f t="shared" si="150"/>
        <v>199.6931080052031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-1.9895196601282805E-13</v>
      </c>
      <c r="DP178" s="18">
        <f>DO178*VLOOKUP('Données projet'!$B$14,Paramètres!$A$1:$I$89,3,0)*VLOOKUP('Données projet'!$B$14,Paramètres!$A$1:$I$89,5,0)</f>
        <v>-1.924263415276073E-13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349.73011349954953</v>
      </c>
      <c r="DU178" s="62">
        <f t="shared" si="152"/>
        <v>154.08406475869634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-1.7053025658242404E-13</v>
      </c>
      <c r="O179" s="14">
        <f>N179*VLOOKUP('Données projet'!$B$9,Paramètres!$A$1:$I$89,3,0)*VLOOKUP('Données projet'!$B$9,Paramètres!$A$1:$I$89,5,0)</f>
        <v>-1.0197709343628959E-13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203.63995177374335</v>
      </c>
      <c r="T179" s="62">
        <f t="shared" si="142"/>
        <v>268.97461244918378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0.78688728394895435</v>
      </c>
      <c r="AA179" s="23">
        <f>EXP(-LN(2)/25)*AA178+(1-EXP(-LN(2)/25))/(LN(2)/25)*Calculateur!V179*Calculateur!X179*VLOOKUP('Données projet'!$B$9,Paramètres!$A$1:$I$89,3,0)*0.475*44/12</f>
        <v>0.21875479296910522</v>
      </c>
      <c r="AB179" s="23">
        <f>EXP(-LN(2)/2)*AB178+(1-EXP(-LN(2)/2))/(LN(2)/2)*V179*Y179*VLOOKUP('Données projet'!$B$9,Paramètres!$A$1:$I$89,3,0)*0.475*44/12</f>
        <v>3.3903299013486993E-22</v>
      </c>
      <c r="AC179" s="24">
        <f t="shared" si="163"/>
        <v>1.0056420769180596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-1.9895196601282805E-13</v>
      </c>
      <c r="AJ179" s="14">
        <f>AI179*VLOOKUP('Données projet'!$B$10,Paramètres!$A$1:$I$89,3,0)*VLOOKUP('Données projet'!$B$10,Paramètres!$A$1:$I$89,5,0)</f>
        <v>-2.0173729353700764E-13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364.69354394930866</v>
      </c>
      <c r="AO179" s="62">
        <f t="shared" si="144"/>
        <v>159.6134369231965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241.00707378755914</v>
      </c>
      <c r="BJ179" s="62">
        <f t="shared" si="146"/>
        <v>239.93573789765657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1.4210854715202004E-13</v>
      </c>
      <c r="BZ179" s="14">
        <f>BY179*VLOOKUP('Données projet'!$B$12,Paramètres!$A$1:$I$89,3,0)*VLOOKUP('Données projet'!$B$12,Paramètres!$A$1:$I$89,5,0)</f>
        <v>9.5326413429575044E-14</v>
      </c>
      <c r="CA179" s="14">
        <f t="shared" si="170"/>
        <v>1.4400742856080346E-12</v>
      </c>
      <c r="CB179" s="22">
        <f t="shared" si="171"/>
        <v>2.6741562174905032E-12</v>
      </c>
      <c r="CC179" s="62">
        <f t="shared" si="119"/>
        <v>293.33333333333599</v>
      </c>
      <c r="CD179" s="62">
        <f ca="1">AVERAGE(OFFSET($CC$3,0,0,'Données projet'!$E$12+1,1))-AVERAGE(OFFSET($H$3,0,0,'Données projet'!$E$12+1,1))</f>
        <v>207.91006140109965</v>
      </c>
      <c r="CE179" s="62">
        <f t="shared" si="148"/>
        <v>164.93317437647255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1.4210854715202004E-13</v>
      </c>
      <c r="CU179" s="18">
        <f>CT179*VLOOKUP('Données projet'!$B$13,Paramètres!$A$1:$I$89,3,0)*VLOOKUP('Données projet'!$B$13,Paramètres!$A$1:$I$89,5,0)</f>
        <v>1.2192913345643319E-13</v>
      </c>
      <c r="CV179" s="14">
        <f t="shared" si="173"/>
        <v>1.7899324464546674E-12</v>
      </c>
      <c r="CW179" s="22">
        <f t="shared" si="174"/>
        <v>3.3298255850118335E-12</v>
      </c>
      <c r="CX179" s="62">
        <f t="shared" si="122"/>
        <v>293.33333333333667</v>
      </c>
      <c r="CY179" s="62">
        <f ca="1">AVERAGE(OFFSET($CX$3,0,0,'Données projet'!$E$13+1,1))-AVERAGE(OFFSET($H$3,0,0,'Données projet'!$E$13+1,1))</f>
        <v>255.77222823147724</v>
      </c>
      <c r="CZ179" s="62">
        <f t="shared" si="150"/>
        <v>199.6931080052031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-1.9895196601282805E-13</v>
      </c>
      <c r="DP179" s="18">
        <f>DO179*VLOOKUP('Données projet'!$B$14,Paramètres!$A$1:$I$89,3,0)*VLOOKUP('Données projet'!$B$14,Paramètres!$A$1:$I$89,5,0)</f>
        <v>-1.924263415276073E-13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349.73011349954953</v>
      </c>
      <c r="DU179" s="62">
        <f t="shared" si="152"/>
        <v>154.08406475869634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-1.7053025658242404E-13</v>
      </c>
      <c r="O180" s="14">
        <f>N180*VLOOKUP('Données projet'!$B$9,Paramètres!$A$1:$I$89,3,0)*VLOOKUP('Données projet'!$B$9,Paramètres!$A$1:$I$89,5,0)</f>
        <v>-1.0197709343628959E-13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203.63995177374335</v>
      </c>
      <c r="T180" s="62">
        <f t="shared" si="142"/>
        <v>268.97461244918378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0.77145690426456703</v>
      </c>
      <c r="AA180" s="23">
        <f>EXP(-LN(2)/25)*AA179+(1-EXP(-LN(2)/25))/(LN(2)/25)*Calculateur!V180*Calculateur!X180*VLOOKUP('Données projet'!$B$9,Paramètres!$A$1:$I$89,3,0)*0.475*44/12</f>
        <v>0.21277293165155045</v>
      </c>
      <c r="AB180" s="23">
        <f>EXP(-LN(2)/2)*AB179+(1-EXP(-LN(2)/2))/(LN(2)/2)*V180*Y180*VLOOKUP('Données projet'!$B$9,Paramètres!$A$1:$I$89,3,0)*0.475*44/12</f>
        <v>2.3973252637031839E-22</v>
      </c>
      <c r="AC180" s="24">
        <f t="shared" si="163"/>
        <v>0.98422983591611746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-1.9895196601282805E-13</v>
      </c>
      <c r="AJ180" s="14">
        <f>AI180*VLOOKUP('Données projet'!$B$10,Paramètres!$A$1:$I$89,3,0)*VLOOKUP('Données projet'!$B$10,Paramètres!$A$1:$I$89,5,0)</f>
        <v>-2.0173729353700764E-13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364.69354394930866</v>
      </c>
      <c r="AO180" s="62">
        <f t="shared" si="144"/>
        <v>159.6134369231965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241.00707378755914</v>
      </c>
      <c r="BJ180" s="62">
        <f t="shared" si="146"/>
        <v>239.93573789765657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1.4210854715202004E-13</v>
      </c>
      <c r="BZ180" s="14">
        <f>BY180*VLOOKUP('Données projet'!$B$12,Paramètres!$A$1:$I$89,3,0)*VLOOKUP('Données projet'!$B$12,Paramètres!$A$1:$I$89,5,0)</f>
        <v>9.5326413429575044E-14</v>
      </c>
      <c r="CA180" s="14">
        <f t="shared" si="170"/>
        <v>1.4400742856080346E-12</v>
      </c>
      <c r="CB180" s="22">
        <f t="shared" si="171"/>
        <v>2.6741562174905032E-12</v>
      </c>
      <c r="CC180" s="62">
        <f t="shared" si="119"/>
        <v>293.33333333333599</v>
      </c>
      <c r="CD180" s="62">
        <f ca="1">AVERAGE(OFFSET($CC$3,0,0,'Données projet'!$E$12+1,1))-AVERAGE(OFFSET($H$3,0,0,'Données projet'!$E$12+1,1))</f>
        <v>207.91006140109965</v>
      </c>
      <c r="CE180" s="62">
        <f t="shared" si="148"/>
        <v>164.93317437647255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1.4210854715202004E-13</v>
      </c>
      <c r="CU180" s="18">
        <f>CT180*VLOOKUP('Données projet'!$B$13,Paramètres!$A$1:$I$89,3,0)*VLOOKUP('Données projet'!$B$13,Paramètres!$A$1:$I$89,5,0)</f>
        <v>1.2192913345643319E-13</v>
      </c>
      <c r="CV180" s="14">
        <f t="shared" si="173"/>
        <v>1.7899324464546674E-12</v>
      </c>
      <c r="CW180" s="22">
        <f t="shared" si="174"/>
        <v>3.3298255850118335E-12</v>
      </c>
      <c r="CX180" s="62">
        <f t="shared" si="122"/>
        <v>293.33333333333667</v>
      </c>
      <c r="CY180" s="62">
        <f ca="1">AVERAGE(OFFSET($CX$3,0,0,'Données projet'!$E$13+1,1))-AVERAGE(OFFSET($H$3,0,0,'Données projet'!$E$13+1,1))</f>
        <v>255.77222823147724</v>
      </c>
      <c r="CZ180" s="62">
        <f t="shared" si="150"/>
        <v>199.6931080052031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-1.9895196601282805E-13</v>
      </c>
      <c r="DP180" s="18">
        <f>DO180*VLOOKUP('Données projet'!$B$14,Paramètres!$A$1:$I$89,3,0)*VLOOKUP('Données projet'!$B$14,Paramètres!$A$1:$I$89,5,0)</f>
        <v>-1.924263415276073E-13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349.73011349954953</v>
      </c>
      <c r="DU180" s="62">
        <f t="shared" si="152"/>
        <v>154.08406475869634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-1.7053025658242404E-13</v>
      </c>
      <c r="O181" s="14">
        <f>N181*VLOOKUP('Données projet'!$B$9,Paramètres!$A$1:$I$89,3,0)*VLOOKUP('Données projet'!$B$9,Paramètres!$A$1:$I$89,5,0)</f>
        <v>-1.0197709343628959E-13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203.63995177374335</v>
      </c>
      <c r="T181" s="62">
        <f t="shared" si="142"/>
        <v>268.97461244918378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0.75632910491418825</v>
      </c>
      <c r="AA181" s="23">
        <f>EXP(-LN(2)/25)*AA180+(1-EXP(-LN(2)/25))/(LN(2)/25)*Calculateur!V181*Calculateur!X181*VLOOKUP('Données projet'!$B$9,Paramètres!$A$1:$I$89,3,0)*0.475*44/12</f>
        <v>0.20695464464629662</v>
      </c>
      <c r="AB181" s="23">
        <f>EXP(-LN(2)/2)*AB180+(1-EXP(-LN(2)/2))/(LN(2)/2)*V181*Y181*VLOOKUP('Données projet'!$B$9,Paramètres!$A$1:$I$89,3,0)*0.475*44/12</f>
        <v>1.6951649506743497E-22</v>
      </c>
      <c r="AC181" s="24">
        <f t="shared" si="163"/>
        <v>0.9632837495604849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-1.9895196601282805E-13</v>
      </c>
      <c r="AJ181" s="14">
        <f>AI181*VLOOKUP('Données projet'!$B$10,Paramètres!$A$1:$I$89,3,0)*VLOOKUP('Données projet'!$B$10,Paramètres!$A$1:$I$89,5,0)</f>
        <v>-2.0173729353700764E-13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364.69354394930866</v>
      </c>
      <c r="AO181" s="62">
        <f t="shared" si="144"/>
        <v>159.6134369231965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241.00707378755914</v>
      </c>
      <c r="BJ181" s="62">
        <f t="shared" si="146"/>
        <v>239.93573789765657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1.4210854715202004E-13</v>
      </c>
      <c r="BZ181" s="14">
        <f>BY181*VLOOKUP('Données projet'!$B$12,Paramètres!$A$1:$I$89,3,0)*VLOOKUP('Données projet'!$B$12,Paramètres!$A$1:$I$89,5,0)</f>
        <v>9.5326413429575044E-14</v>
      </c>
      <c r="CA181" s="14">
        <f t="shared" si="170"/>
        <v>1.4400742856080346E-12</v>
      </c>
      <c r="CB181" s="22">
        <f t="shared" si="171"/>
        <v>2.6741562174905032E-12</v>
      </c>
      <c r="CC181" s="62">
        <f t="shared" si="119"/>
        <v>293.33333333333599</v>
      </c>
      <c r="CD181" s="62">
        <f ca="1">AVERAGE(OFFSET($CC$3,0,0,'Données projet'!$E$12+1,1))-AVERAGE(OFFSET($H$3,0,0,'Données projet'!$E$12+1,1))</f>
        <v>207.91006140109965</v>
      </c>
      <c r="CE181" s="62">
        <f t="shared" si="148"/>
        <v>164.93317437647255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1.4210854715202004E-13</v>
      </c>
      <c r="CU181" s="18">
        <f>CT181*VLOOKUP('Données projet'!$B$13,Paramètres!$A$1:$I$89,3,0)*VLOOKUP('Données projet'!$B$13,Paramètres!$A$1:$I$89,5,0)</f>
        <v>1.2192913345643319E-13</v>
      </c>
      <c r="CV181" s="14">
        <f t="shared" si="173"/>
        <v>1.7899324464546674E-12</v>
      </c>
      <c r="CW181" s="22">
        <f t="shared" si="174"/>
        <v>3.3298255850118335E-12</v>
      </c>
      <c r="CX181" s="62">
        <f t="shared" si="122"/>
        <v>293.33333333333667</v>
      </c>
      <c r="CY181" s="62">
        <f ca="1">AVERAGE(OFFSET($CX$3,0,0,'Données projet'!$E$13+1,1))-AVERAGE(OFFSET($H$3,0,0,'Données projet'!$E$13+1,1))</f>
        <v>255.77222823147724</v>
      </c>
      <c r="CZ181" s="62">
        <f t="shared" si="150"/>
        <v>199.6931080052031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-1.9895196601282805E-13</v>
      </c>
      <c r="DP181" s="18">
        <f>DO181*VLOOKUP('Données projet'!$B$14,Paramètres!$A$1:$I$89,3,0)*VLOOKUP('Données projet'!$B$14,Paramètres!$A$1:$I$89,5,0)</f>
        <v>-1.924263415276073E-13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349.73011349954953</v>
      </c>
      <c r="DU181" s="62">
        <f t="shared" si="152"/>
        <v>154.08406475869634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-1.7053025658242404E-13</v>
      </c>
      <c r="O182" s="14">
        <f>N182*VLOOKUP('Données projet'!$B$9,Paramètres!$A$1:$I$89,3,0)*VLOOKUP('Données projet'!$B$9,Paramètres!$A$1:$I$89,5,0)</f>
        <v>-1.0197709343628959E-13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203.63995177374335</v>
      </c>
      <c r="T182" s="62">
        <f t="shared" si="142"/>
        <v>268.97461244918378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0.74149795248202388</v>
      </c>
      <c r="AA182" s="23">
        <f>EXP(-LN(2)/25)*AA181+(1-EXP(-LN(2)/25))/(LN(2)/25)*Calculateur!V182*Calculateur!X182*VLOOKUP('Données projet'!$B$9,Paramètres!$A$1:$I$89,3,0)*0.475*44/12</f>
        <v>0.20129545900517187</v>
      </c>
      <c r="AB182" s="23">
        <f>EXP(-LN(2)/2)*AB181+(1-EXP(-LN(2)/2))/(LN(2)/2)*V182*Y182*VLOOKUP('Données projet'!$B$9,Paramètres!$A$1:$I$89,3,0)*0.475*44/12</f>
        <v>1.198662631851592E-22</v>
      </c>
      <c r="AC182" s="24">
        <f t="shared" si="163"/>
        <v>0.94279341148719575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-1.9895196601282805E-13</v>
      </c>
      <c r="AJ182" s="14">
        <f>AI182*VLOOKUP('Données projet'!$B$10,Paramètres!$A$1:$I$89,3,0)*VLOOKUP('Données projet'!$B$10,Paramètres!$A$1:$I$89,5,0)</f>
        <v>-2.0173729353700764E-13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364.69354394930866</v>
      </c>
      <c r="AO182" s="62">
        <f t="shared" si="144"/>
        <v>159.6134369231965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241.00707378755914</v>
      </c>
      <c r="BJ182" s="62">
        <f t="shared" si="146"/>
        <v>239.93573789765657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1.4210854715202004E-13</v>
      </c>
      <c r="BZ182" s="14">
        <f>BY182*VLOOKUP('Données projet'!$B$12,Paramètres!$A$1:$I$89,3,0)*VLOOKUP('Données projet'!$B$12,Paramètres!$A$1:$I$89,5,0)</f>
        <v>9.5326413429575044E-14</v>
      </c>
      <c r="CA182" s="14">
        <f t="shared" si="170"/>
        <v>1.4400742856080346E-12</v>
      </c>
      <c r="CB182" s="22">
        <f t="shared" si="171"/>
        <v>2.6741562174905032E-12</v>
      </c>
      <c r="CC182" s="62">
        <f t="shared" si="119"/>
        <v>293.33333333333599</v>
      </c>
      <c r="CD182" s="62">
        <f ca="1">AVERAGE(OFFSET($CC$3,0,0,'Données projet'!$E$12+1,1))-AVERAGE(OFFSET($H$3,0,0,'Données projet'!$E$12+1,1))</f>
        <v>207.91006140109965</v>
      </c>
      <c r="CE182" s="62">
        <f t="shared" si="148"/>
        <v>164.93317437647255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1.4210854715202004E-13</v>
      </c>
      <c r="CU182" s="18">
        <f>CT182*VLOOKUP('Données projet'!$B$13,Paramètres!$A$1:$I$89,3,0)*VLOOKUP('Données projet'!$B$13,Paramètres!$A$1:$I$89,5,0)</f>
        <v>1.2192913345643319E-13</v>
      </c>
      <c r="CV182" s="14">
        <f t="shared" si="173"/>
        <v>1.7899324464546674E-12</v>
      </c>
      <c r="CW182" s="22">
        <f t="shared" si="174"/>
        <v>3.3298255850118335E-12</v>
      </c>
      <c r="CX182" s="62">
        <f t="shared" si="122"/>
        <v>293.33333333333667</v>
      </c>
      <c r="CY182" s="62">
        <f ca="1">AVERAGE(OFFSET($CX$3,0,0,'Données projet'!$E$13+1,1))-AVERAGE(OFFSET($H$3,0,0,'Données projet'!$E$13+1,1))</f>
        <v>255.77222823147724</v>
      </c>
      <c r="CZ182" s="62">
        <f t="shared" si="150"/>
        <v>199.6931080052031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-1.9895196601282805E-13</v>
      </c>
      <c r="DP182" s="18">
        <f>DO182*VLOOKUP('Données projet'!$B$14,Paramètres!$A$1:$I$89,3,0)*VLOOKUP('Données projet'!$B$14,Paramètres!$A$1:$I$89,5,0)</f>
        <v>-1.924263415276073E-13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349.73011349954953</v>
      </c>
      <c r="DU182" s="62">
        <f t="shared" si="152"/>
        <v>154.08406475869634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-1.7053025658242404E-13</v>
      </c>
      <c r="O183" s="14">
        <f>N183*VLOOKUP('Données projet'!$B$9,Paramètres!$A$1:$I$89,3,0)*VLOOKUP('Données projet'!$B$9,Paramètres!$A$1:$I$89,5,0)</f>
        <v>-1.0197709343628959E-13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203.63995177374335</v>
      </c>
      <c r="T183" s="62">
        <f t="shared" si="142"/>
        <v>268.97461244918378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0.72695762990294455</v>
      </c>
      <c r="AA183" s="23">
        <f>EXP(-LN(2)/25)*AA182+(1-EXP(-LN(2)/25))/(LN(2)/25)*Calculateur!V183*Calculateur!X183*VLOOKUP('Données projet'!$B$9,Paramètres!$A$1:$I$89,3,0)*0.475*44/12</f>
        <v>0.19579102409300733</v>
      </c>
      <c r="AB183" s="23">
        <f>EXP(-LN(2)/2)*AB182+(1-EXP(-LN(2)/2))/(LN(2)/2)*V183*Y183*VLOOKUP('Données projet'!$B$9,Paramètres!$A$1:$I$89,3,0)*0.475*44/12</f>
        <v>8.4758247533717483E-23</v>
      </c>
      <c r="AC183" s="24">
        <f t="shared" si="163"/>
        <v>0.92274865399595185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-1.9895196601282805E-13</v>
      </c>
      <c r="AJ183" s="14">
        <f>AI183*VLOOKUP('Données projet'!$B$10,Paramètres!$A$1:$I$89,3,0)*VLOOKUP('Données projet'!$B$10,Paramètres!$A$1:$I$89,5,0)</f>
        <v>-2.0173729353700764E-13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364.69354394930866</v>
      </c>
      <c r="AO183" s="62">
        <f t="shared" si="144"/>
        <v>159.6134369231965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241.00707378755914</v>
      </c>
      <c r="BJ183" s="62">
        <f t="shared" si="146"/>
        <v>239.93573789765657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1.4210854715202004E-13</v>
      </c>
      <c r="BZ183" s="14">
        <f>BY183*VLOOKUP('Données projet'!$B$12,Paramètres!$A$1:$I$89,3,0)*VLOOKUP('Données projet'!$B$12,Paramètres!$A$1:$I$89,5,0)</f>
        <v>9.5326413429575044E-14</v>
      </c>
      <c r="CA183" s="14">
        <f t="shared" si="170"/>
        <v>1.4400742856080346E-12</v>
      </c>
      <c r="CB183" s="22">
        <f t="shared" si="171"/>
        <v>2.6741562174905032E-12</v>
      </c>
      <c r="CC183" s="62">
        <f t="shared" si="119"/>
        <v>293.33333333333599</v>
      </c>
      <c r="CD183" s="62">
        <f ca="1">AVERAGE(OFFSET($CC$3,0,0,'Données projet'!$E$12+1,1))-AVERAGE(OFFSET($H$3,0,0,'Données projet'!$E$12+1,1))</f>
        <v>207.91006140109965</v>
      </c>
      <c r="CE183" s="62">
        <f t="shared" si="148"/>
        <v>164.93317437647255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1.4210854715202004E-13</v>
      </c>
      <c r="CU183" s="18">
        <f>CT183*VLOOKUP('Données projet'!$B$13,Paramètres!$A$1:$I$89,3,0)*VLOOKUP('Données projet'!$B$13,Paramètres!$A$1:$I$89,5,0)</f>
        <v>1.2192913345643319E-13</v>
      </c>
      <c r="CV183" s="14">
        <f t="shared" si="173"/>
        <v>1.7899324464546674E-12</v>
      </c>
      <c r="CW183" s="22">
        <f t="shared" si="174"/>
        <v>3.3298255850118335E-12</v>
      </c>
      <c r="CX183" s="62">
        <f t="shared" si="122"/>
        <v>293.33333333333667</v>
      </c>
      <c r="CY183" s="62">
        <f ca="1">AVERAGE(OFFSET($CX$3,0,0,'Données projet'!$E$13+1,1))-AVERAGE(OFFSET($H$3,0,0,'Données projet'!$E$13+1,1))</f>
        <v>255.77222823147724</v>
      </c>
      <c r="CZ183" s="62">
        <f t="shared" si="150"/>
        <v>199.6931080052031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-1.9895196601282805E-13</v>
      </c>
      <c r="DP183" s="18">
        <f>DO183*VLOOKUP('Données projet'!$B$14,Paramètres!$A$1:$I$89,3,0)*VLOOKUP('Données projet'!$B$14,Paramètres!$A$1:$I$89,5,0)</f>
        <v>-1.924263415276073E-13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349.73011349954953</v>
      </c>
      <c r="DU183" s="62">
        <f t="shared" si="152"/>
        <v>154.08406475869634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-1.7053025658242404E-13</v>
      </c>
      <c r="O184" s="14">
        <f>N184*VLOOKUP('Données projet'!$B$9,Paramètres!$A$1:$I$89,3,0)*VLOOKUP('Données projet'!$B$9,Paramètres!$A$1:$I$89,5,0)</f>
        <v>-1.0197709343628959E-13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203.63995177374335</v>
      </c>
      <c r="T184" s="62">
        <f t="shared" si="142"/>
        <v>268.97461244918378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0.71270243418091994</v>
      </c>
      <c r="AA184" s="23">
        <f>EXP(-LN(2)/25)*AA183+(1-EXP(-LN(2)/25))/(LN(2)/25)*Calculateur!V184*Calculateur!X184*VLOOKUP('Données projet'!$B$9,Paramètres!$A$1:$I$89,3,0)*0.475*44/12</f>
        <v>0.19043710824298157</v>
      </c>
      <c r="AB184" s="23">
        <f>EXP(-LN(2)/2)*AB183+(1-EXP(-LN(2)/2))/(LN(2)/2)*V184*Y184*VLOOKUP('Données projet'!$B$9,Paramètres!$A$1:$I$89,3,0)*0.475*44/12</f>
        <v>5.9933131592579599E-23</v>
      </c>
      <c r="AC184" s="24">
        <f t="shared" si="163"/>
        <v>0.90313954242390149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-1.9895196601282805E-13</v>
      </c>
      <c r="AJ184" s="14">
        <f>AI184*VLOOKUP('Données projet'!$B$10,Paramètres!$A$1:$I$89,3,0)*VLOOKUP('Données projet'!$B$10,Paramètres!$A$1:$I$89,5,0)</f>
        <v>-2.0173729353700764E-13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364.69354394930866</v>
      </c>
      <c r="AO184" s="62">
        <f t="shared" si="144"/>
        <v>159.6134369231965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241.00707378755914</v>
      </c>
      <c r="BJ184" s="62">
        <f t="shared" si="146"/>
        <v>239.93573789765657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1.4210854715202004E-13</v>
      </c>
      <c r="BZ184" s="14">
        <f>BY184*VLOOKUP('Données projet'!$B$12,Paramètres!$A$1:$I$89,3,0)*VLOOKUP('Données projet'!$B$12,Paramètres!$A$1:$I$89,5,0)</f>
        <v>9.5326413429575044E-14</v>
      </c>
      <c r="CA184" s="14">
        <f t="shared" si="170"/>
        <v>1.4400742856080346E-12</v>
      </c>
      <c r="CB184" s="22">
        <f t="shared" si="171"/>
        <v>2.6741562174905032E-12</v>
      </c>
      <c r="CC184" s="62">
        <f t="shared" si="119"/>
        <v>293.33333333333599</v>
      </c>
      <c r="CD184" s="62">
        <f ca="1">AVERAGE(OFFSET($CC$3,0,0,'Données projet'!$E$12+1,1))-AVERAGE(OFFSET($H$3,0,0,'Données projet'!$E$12+1,1))</f>
        <v>207.91006140109965</v>
      </c>
      <c r="CE184" s="62">
        <f t="shared" si="148"/>
        <v>164.93317437647255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1.4210854715202004E-13</v>
      </c>
      <c r="CU184" s="18">
        <f>CT184*VLOOKUP('Données projet'!$B$13,Paramètres!$A$1:$I$89,3,0)*VLOOKUP('Données projet'!$B$13,Paramètres!$A$1:$I$89,5,0)</f>
        <v>1.2192913345643319E-13</v>
      </c>
      <c r="CV184" s="14">
        <f t="shared" si="173"/>
        <v>1.7899324464546674E-12</v>
      </c>
      <c r="CW184" s="22">
        <f t="shared" si="174"/>
        <v>3.3298255850118335E-12</v>
      </c>
      <c r="CX184" s="62">
        <f t="shared" si="122"/>
        <v>293.33333333333667</v>
      </c>
      <c r="CY184" s="62">
        <f ca="1">AVERAGE(OFFSET($CX$3,0,0,'Données projet'!$E$13+1,1))-AVERAGE(OFFSET($H$3,0,0,'Données projet'!$E$13+1,1))</f>
        <v>255.77222823147724</v>
      </c>
      <c r="CZ184" s="62">
        <f t="shared" si="150"/>
        <v>199.6931080052031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-1.9895196601282805E-13</v>
      </c>
      <c r="DP184" s="18">
        <f>DO184*VLOOKUP('Données projet'!$B$14,Paramètres!$A$1:$I$89,3,0)*VLOOKUP('Données projet'!$B$14,Paramètres!$A$1:$I$89,5,0)</f>
        <v>-1.924263415276073E-13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349.73011349954953</v>
      </c>
      <c r="DU184" s="62">
        <f t="shared" si="152"/>
        <v>154.08406475869634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-1.7053025658242404E-13</v>
      </c>
      <c r="O185" s="14">
        <f>N185*VLOOKUP('Données projet'!$B$9,Paramètres!$A$1:$I$89,3,0)*VLOOKUP('Données projet'!$B$9,Paramètres!$A$1:$I$89,5,0)</f>
        <v>-1.0197709343628959E-13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203.63995177374335</v>
      </c>
      <c r="T185" s="62">
        <f t="shared" si="142"/>
        <v>268.97461244918378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0.69872677415219331</v>
      </c>
      <c r="AA185" s="23">
        <f>EXP(-LN(2)/25)*AA184+(1-EXP(-LN(2)/25))/(LN(2)/25)*Calculateur!V185*Calculateur!X185*VLOOKUP('Données projet'!$B$9,Paramètres!$A$1:$I$89,3,0)*0.475*44/12</f>
        <v>0.18522959550342497</v>
      </c>
      <c r="AB185" s="23">
        <f>EXP(-LN(2)/2)*AB184+(1-EXP(-LN(2)/2))/(LN(2)/2)*V185*Y185*VLOOKUP('Données projet'!$B$9,Paramètres!$A$1:$I$89,3,0)*0.475*44/12</f>
        <v>4.2379123766858741E-23</v>
      </c>
      <c r="AC185" s="24">
        <f t="shared" si="163"/>
        <v>0.8839563696556183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-1.9895196601282805E-13</v>
      </c>
      <c r="AJ185" s="14">
        <f>AI185*VLOOKUP('Données projet'!$B$10,Paramètres!$A$1:$I$89,3,0)*VLOOKUP('Données projet'!$B$10,Paramètres!$A$1:$I$89,5,0)</f>
        <v>-2.0173729353700764E-13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364.69354394930866</v>
      </c>
      <c r="AO185" s="62">
        <f t="shared" si="144"/>
        <v>159.6134369231965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241.00707378755914</v>
      </c>
      <c r="BJ185" s="62">
        <f t="shared" si="146"/>
        <v>239.93573789765657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1.4210854715202004E-13</v>
      </c>
      <c r="BZ185" s="14">
        <f>BY185*VLOOKUP('Données projet'!$B$12,Paramètres!$A$1:$I$89,3,0)*VLOOKUP('Données projet'!$B$12,Paramètres!$A$1:$I$89,5,0)</f>
        <v>9.5326413429575044E-14</v>
      </c>
      <c r="CA185" s="14">
        <f t="shared" si="170"/>
        <v>1.4400742856080346E-12</v>
      </c>
      <c r="CB185" s="22">
        <f t="shared" si="171"/>
        <v>2.6741562174905032E-12</v>
      </c>
      <c r="CC185" s="62">
        <f t="shared" si="119"/>
        <v>293.33333333333599</v>
      </c>
      <c r="CD185" s="62">
        <f ca="1">AVERAGE(OFFSET($CC$3,0,0,'Données projet'!$E$12+1,1))-AVERAGE(OFFSET($H$3,0,0,'Données projet'!$E$12+1,1))</f>
        <v>207.91006140109965</v>
      </c>
      <c r="CE185" s="62">
        <f t="shared" si="148"/>
        <v>164.93317437647255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1.4210854715202004E-13</v>
      </c>
      <c r="CU185" s="18">
        <f>CT185*VLOOKUP('Données projet'!$B$13,Paramètres!$A$1:$I$89,3,0)*VLOOKUP('Données projet'!$B$13,Paramètres!$A$1:$I$89,5,0)</f>
        <v>1.2192913345643319E-13</v>
      </c>
      <c r="CV185" s="14">
        <f t="shared" si="173"/>
        <v>1.7899324464546674E-12</v>
      </c>
      <c r="CW185" s="22">
        <f t="shared" si="174"/>
        <v>3.3298255850118335E-12</v>
      </c>
      <c r="CX185" s="62">
        <f t="shared" si="122"/>
        <v>293.33333333333667</v>
      </c>
      <c r="CY185" s="62">
        <f ca="1">AVERAGE(OFFSET($CX$3,0,0,'Données projet'!$E$13+1,1))-AVERAGE(OFFSET($H$3,0,0,'Données projet'!$E$13+1,1))</f>
        <v>255.77222823147724</v>
      </c>
      <c r="CZ185" s="62">
        <f t="shared" si="150"/>
        <v>199.6931080052031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-1.9895196601282805E-13</v>
      </c>
      <c r="DP185" s="18">
        <f>DO185*VLOOKUP('Données projet'!$B$14,Paramètres!$A$1:$I$89,3,0)*VLOOKUP('Données projet'!$B$14,Paramètres!$A$1:$I$89,5,0)</f>
        <v>-1.924263415276073E-13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349.73011349954953</v>
      </c>
      <c r="DU185" s="62">
        <f t="shared" si="152"/>
        <v>154.08406475869634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-1.7053025658242404E-13</v>
      </c>
      <c r="O186" s="14">
        <f>N186*VLOOKUP('Données projet'!$B$9,Paramètres!$A$1:$I$89,3,0)*VLOOKUP('Données projet'!$B$9,Paramètres!$A$1:$I$89,5,0)</f>
        <v>-1.0197709343628959E-13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203.63995177374335</v>
      </c>
      <c r="T186" s="62">
        <f t="shared" si="142"/>
        <v>268.97461244918378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0.68502516829231908</v>
      </c>
      <c r="AA186" s="23">
        <f>EXP(-LN(2)/25)*AA185+(1-EXP(-LN(2)/25))/(LN(2)/25)*Calculateur!V186*Calculateur!X186*VLOOKUP('Données projet'!$B$9,Paramètres!$A$1:$I$89,3,0)*0.475*44/12</f>
        <v>0.18016448247358274</v>
      </c>
      <c r="AB186" s="23">
        <f>EXP(-LN(2)/2)*AB185+(1-EXP(-LN(2)/2))/(LN(2)/2)*V186*Y186*VLOOKUP('Données projet'!$B$9,Paramètres!$A$1:$I$89,3,0)*0.475*44/12</f>
        <v>2.9966565796289799E-23</v>
      </c>
      <c r="AC186" s="24">
        <f t="shared" si="163"/>
        <v>0.86518965076590182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-1.9895196601282805E-13</v>
      </c>
      <c r="AJ186" s="14">
        <f>AI186*VLOOKUP('Données projet'!$B$10,Paramètres!$A$1:$I$89,3,0)*VLOOKUP('Données projet'!$B$10,Paramètres!$A$1:$I$89,5,0)</f>
        <v>-2.0173729353700764E-13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364.69354394930866</v>
      </c>
      <c r="AO186" s="62">
        <f t="shared" si="144"/>
        <v>159.6134369231965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241.00707378755914</v>
      </c>
      <c r="BJ186" s="62">
        <f t="shared" si="146"/>
        <v>239.93573789765657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1.4210854715202004E-13</v>
      </c>
      <c r="BZ186" s="14">
        <f>BY186*VLOOKUP('Données projet'!$B$12,Paramètres!$A$1:$I$89,3,0)*VLOOKUP('Données projet'!$B$12,Paramètres!$A$1:$I$89,5,0)</f>
        <v>9.5326413429575044E-14</v>
      </c>
      <c r="CA186" s="14">
        <f t="shared" si="170"/>
        <v>1.4400742856080346E-12</v>
      </c>
      <c r="CB186" s="22">
        <f t="shared" si="171"/>
        <v>2.6741562174905032E-12</v>
      </c>
      <c r="CC186" s="62">
        <f t="shared" si="119"/>
        <v>293.33333333333599</v>
      </c>
      <c r="CD186" s="62">
        <f ca="1">AVERAGE(OFFSET($CC$3,0,0,'Données projet'!$E$12+1,1))-AVERAGE(OFFSET($H$3,0,0,'Données projet'!$E$12+1,1))</f>
        <v>207.91006140109965</v>
      </c>
      <c r="CE186" s="62">
        <f t="shared" si="148"/>
        <v>164.93317437647255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1.4210854715202004E-13</v>
      </c>
      <c r="CU186" s="18">
        <f>CT186*VLOOKUP('Données projet'!$B$13,Paramètres!$A$1:$I$89,3,0)*VLOOKUP('Données projet'!$B$13,Paramètres!$A$1:$I$89,5,0)</f>
        <v>1.2192913345643319E-13</v>
      </c>
      <c r="CV186" s="14">
        <f t="shared" si="173"/>
        <v>1.7899324464546674E-12</v>
      </c>
      <c r="CW186" s="22">
        <f t="shared" si="174"/>
        <v>3.3298255850118335E-12</v>
      </c>
      <c r="CX186" s="62">
        <f t="shared" si="122"/>
        <v>293.33333333333667</v>
      </c>
      <c r="CY186" s="62">
        <f ca="1">AVERAGE(OFFSET($CX$3,0,0,'Données projet'!$E$13+1,1))-AVERAGE(OFFSET($H$3,0,0,'Données projet'!$E$13+1,1))</f>
        <v>255.77222823147724</v>
      </c>
      <c r="CZ186" s="62">
        <f t="shared" si="150"/>
        <v>199.6931080052031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-1.9895196601282805E-13</v>
      </c>
      <c r="DP186" s="18">
        <f>DO186*VLOOKUP('Données projet'!$B$14,Paramètres!$A$1:$I$89,3,0)*VLOOKUP('Données projet'!$B$14,Paramètres!$A$1:$I$89,5,0)</f>
        <v>-1.924263415276073E-13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349.73011349954953</v>
      </c>
      <c r="DU186" s="62">
        <f t="shared" si="152"/>
        <v>154.08406475869634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-1.7053025658242404E-13</v>
      </c>
      <c r="O187" s="14">
        <f>N187*VLOOKUP('Données projet'!$B$9,Paramètres!$A$1:$I$89,3,0)*VLOOKUP('Données projet'!$B$9,Paramètres!$A$1:$I$89,5,0)</f>
        <v>-1.0197709343628959E-13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203.63995177374335</v>
      </c>
      <c r="T187" s="62">
        <f t="shared" si="142"/>
        <v>268.97461244918378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0.67159224256620265</v>
      </c>
      <c r="AA187" s="23">
        <f>EXP(-LN(2)/25)*AA186+(1-EXP(-LN(2)/25))/(LN(2)/25)*Calculateur!V187*Calculateur!X187*VLOOKUP('Données projet'!$B$9,Paramètres!$A$1:$I$89,3,0)*0.475*44/12</f>
        <v>0.17523787522590425</v>
      </c>
      <c r="AB187" s="23">
        <f>EXP(-LN(2)/2)*AB186+(1-EXP(-LN(2)/2))/(LN(2)/2)*V187*Y187*VLOOKUP('Données projet'!$B$9,Paramètres!$A$1:$I$89,3,0)*0.475*44/12</f>
        <v>2.1189561883429371E-23</v>
      </c>
      <c r="AC187" s="24">
        <f t="shared" si="163"/>
        <v>0.84683011779210693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-1.9895196601282805E-13</v>
      </c>
      <c r="AJ187" s="14">
        <f>AI187*VLOOKUP('Données projet'!$B$10,Paramètres!$A$1:$I$89,3,0)*VLOOKUP('Données projet'!$B$10,Paramètres!$A$1:$I$89,5,0)</f>
        <v>-2.0173729353700764E-13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364.69354394930866</v>
      </c>
      <c r="AO187" s="62">
        <f t="shared" si="144"/>
        <v>159.6134369231965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241.00707378755914</v>
      </c>
      <c r="BJ187" s="62">
        <f t="shared" si="146"/>
        <v>239.93573789765657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1.4210854715202004E-13</v>
      </c>
      <c r="BZ187" s="14">
        <f>BY187*VLOOKUP('Données projet'!$B$12,Paramètres!$A$1:$I$89,3,0)*VLOOKUP('Données projet'!$B$12,Paramètres!$A$1:$I$89,5,0)</f>
        <v>9.5326413429575044E-14</v>
      </c>
      <c r="CA187" s="14">
        <f t="shared" si="170"/>
        <v>1.4400742856080346E-12</v>
      </c>
      <c r="CB187" s="22">
        <f t="shared" si="171"/>
        <v>2.6741562174905032E-12</v>
      </c>
      <c r="CC187" s="62">
        <f t="shared" si="119"/>
        <v>293.33333333333599</v>
      </c>
      <c r="CD187" s="62">
        <f ca="1">AVERAGE(OFFSET($CC$3,0,0,'Données projet'!$E$12+1,1))-AVERAGE(OFFSET($H$3,0,0,'Données projet'!$E$12+1,1))</f>
        <v>207.91006140109965</v>
      </c>
      <c r="CE187" s="62">
        <f t="shared" si="148"/>
        <v>164.93317437647255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1.4210854715202004E-13</v>
      </c>
      <c r="CU187" s="18">
        <f>CT187*VLOOKUP('Données projet'!$B$13,Paramètres!$A$1:$I$89,3,0)*VLOOKUP('Données projet'!$B$13,Paramètres!$A$1:$I$89,5,0)</f>
        <v>1.2192913345643319E-13</v>
      </c>
      <c r="CV187" s="14">
        <f t="shared" si="173"/>
        <v>1.7899324464546674E-12</v>
      </c>
      <c r="CW187" s="22">
        <f t="shared" si="174"/>
        <v>3.3298255850118335E-12</v>
      </c>
      <c r="CX187" s="62">
        <f t="shared" si="122"/>
        <v>293.33333333333667</v>
      </c>
      <c r="CY187" s="62">
        <f ca="1">AVERAGE(OFFSET($CX$3,0,0,'Données projet'!$E$13+1,1))-AVERAGE(OFFSET($H$3,0,0,'Données projet'!$E$13+1,1))</f>
        <v>255.77222823147724</v>
      </c>
      <c r="CZ187" s="62">
        <f t="shared" si="150"/>
        <v>199.6931080052031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-1.9895196601282805E-13</v>
      </c>
      <c r="DP187" s="18">
        <f>DO187*VLOOKUP('Données projet'!$B$14,Paramètres!$A$1:$I$89,3,0)*VLOOKUP('Données projet'!$B$14,Paramètres!$A$1:$I$89,5,0)</f>
        <v>-1.924263415276073E-13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349.73011349954953</v>
      </c>
      <c r="DU187" s="62">
        <f t="shared" si="152"/>
        <v>154.08406475869634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-1.7053025658242404E-13</v>
      </c>
      <c r="O188" s="14">
        <f>N188*VLOOKUP('Données projet'!$B$9,Paramètres!$A$1:$I$89,3,0)*VLOOKUP('Données projet'!$B$9,Paramètres!$A$1:$I$89,5,0)</f>
        <v>-1.0197709343628959E-13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203.63995177374335</v>
      </c>
      <c r="T188" s="62">
        <f t="shared" si="142"/>
        <v>268.97461244918378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0.65842272832029969</v>
      </c>
      <c r="AA188" s="23">
        <f>EXP(-LN(2)/25)*AA187+(1-EXP(-LN(2)/25))/(LN(2)/25)*Calculateur!V188*Calculateur!X188*VLOOKUP('Données projet'!$B$9,Paramètres!$A$1:$I$89,3,0)*0.475*44/12</f>
        <v>0.17044598631249255</v>
      </c>
      <c r="AB188" s="23">
        <f>EXP(-LN(2)/2)*AB187+(1-EXP(-LN(2)/2))/(LN(2)/2)*V188*Y188*VLOOKUP('Données projet'!$B$9,Paramètres!$A$1:$I$89,3,0)*0.475*44/12</f>
        <v>1.49832828981449E-23</v>
      </c>
      <c r="AC188" s="24">
        <f t="shared" si="163"/>
        <v>0.82886871463279221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-1.9895196601282805E-13</v>
      </c>
      <c r="AJ188" s="14">
        <f>AI188*VLOOKUP('Données projet'!$B$10,Paramètres!$A$1:$I$89,3,0)*VLOOKUP('Données projet'!$B$10,Paramètres!$A$1:$I$89,5,0)</f>
        <v>-2.0173729353700764E-13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364.69354394930866</v>
      </c>
      <c r="AO188" s="62">
        <f t="shared" si="144"/>
        <v>159.6134369231965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241.00707378755914</v>
      </c>
      <c r="BJ188" s="62">
        <f t="shared" si="146"/>
        <v>239.93573789765657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1.4210854715202004E-13</v>
      </c>
      <c r="BZ188" s="14">
        <f>BY188*VLOOKUP('Données projet'!$B$12,Paramètres!$A$1:$I$89,3,0)*VLOOKUP('Données projet'!$B$12,Paramètres!$A$1:$I$89,5,0)</f>
        <v>9.5326413429575044E-14</v>
      </c>
      <c r="CA188" s="14">
        <f t="shared" si="170"/>
        <v>1.4400742856080346E-12</v>
      </c>
      <c r="CB188" s="22">
        <f t="shared" si="171"/>
        <v>2.6741562174905032E-12</v>
      </c>
      <c r="CC188" s="62">
        <f t="shared" si="119"/>
        <v>293.33333333333599</v>
      </c>
      <c r="CD188" s="62">
        <f ca="1">AVERAGE(OFFSET($CC$3,0,0,'Données projet'!$E$12+1,1))-AVERAGE(OFFSET($H$3,0,0,'Données projet'!$E$12+1,1))</f>
        <v>207.91006140109965</v>
      </c>
      <c r="CE188" s="62">
        <f t="shared" si="148"/>
        <v>164.93317437647255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1.4210854715202004E-13</v>
      </c>
      <c r="CU188" s="18">
        <f>CT188*VLOOKUP('Données projet'!$B$13,Paramètres!$A$1:$I$89,3,0)*VLOOKUP('Données projet'!$B$13,Paramètres!$A$1:$I$89,5,0)</f>
        <v>1.2192913345643319E-13</v>
      </c>
      <c r="CV188" s="14">
        <f t="shared" si="173"/>
        <v>1.7899324464546674E-12</v>
      </c>
      <c r="CW188" s="22">
        <f t="shared" si="174"/>
        <v>3.3298255850118335E-12</v>
      </c>
      <c r="CX188" s="62">
        <f t="shared" si="122"/>
        <v>293.33333333333667</v>
      </c>
      <c r="CY188" s="62">
        <f ca="1">AVERAGE(OFFSET($CX$3,0,0,'Données projet'!$E$13+1,1))-AVERAGE(OFFSET($H$3,0,0,'Données projet'!$E$13+1,1))</f>
        <v>255.77222823147724</v>
      </c>
      <c r="CZ188" s="62">
        <f t="shared" si="150"/>
        <v>199.6931080052031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-1.9895196601282805E-13</v>
      </c>
      <c r="DP188" s="18">
        <f>DO188*VLOOKUP('Données projet'!$B$14,Paramètres!$A$1:$I$89,3,0)*VLOOKUP('Données projet'!$B$14,Paramètres!$A$1:$I$89,5,0)</f>
        <v>-1.924263415276073E-13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349.73011349954953</v>
      </c>
      <c r="DU188" s="62">
        <f t="shared" si="152"/>
        <v>154.08406475869634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-1.7053025658242404E-13</v>
      </c>
      <c r="O189" s="14">
        <f>N189*VLOOKUP('Données projet'!$B$9,Paramètres!$A$1:$I$89,3,0)*VLOOKUP('Données projet'!$B$9,Paramètres!$A$1:$I$89,5,0)</f>
        <v>-1.0197709343628959E-13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203.63995177374335</v>
      </c>
      <c r="T189" s="62">
        <f t="shared" si="142"/>
        <v>268.97461244918378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0.64551146021614836</v>
      </c>
      <c r="AA189" s="23">
        <f>EXP(-LN(2)/25)*AA188+(1-EXP(-LN(2)/25))/(LN(2)/25)*Calculateur!V189*Calculateur!X189*VLOOKUP('Données projet'!$B$9,Paramètres!$A$1:$I$89,3,0)*0.475*44/12</f>
        <v>0.16578513185341259</v>
      </c>
      <c r="AB189" s="23">
        <f>EXP(-LN(2)/2)*AB188+(1-EXP(-LN(2)/2))/(LN(2)/2)*V189*Y189*VLOOKUP('Données projet'!$B$9,Paramètres!$A$1:$I$89,3,0)*0.475*44/12</f>
        <v>1.0594780941714685E-23</v>
      </c>
      <c r="AC189" s="24">
        <f t="shared" si="163"/>
        <v>0.81129659206956095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-1.9895196601282805E-13</v>
      </c>
      <c r="AJ189" s="14">
        <f>AI189*VLOOKUP('Données projet'!$B$10,Paramètres!$A$1:$I$89,3,0)*VLOOKUP('Données projet'!$B$10,Paramètres!$A$1:$I$89,5,0)</f>
        <v>-2.0173729353700764E-13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364.69354394930866</v>
      </c>
      <c r="AO189" s="62">
        <f t="shared" si="144"/>
        <v>159.6134369231965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241.00707378755914</v>
      </c>
      <c r="BJ189" s="62">
        <f t="shared" si="146"/>
        <v>239.93573789765657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1.4210854715202004E-13</v>
      </c>
      <c r="BZ189" s="14">
        <f>BY189*VLOOKUP('Données projet'!$B$12,Paramètres!$A$1:$I$89,3,0)*VLOOKUP('Données projet'!$B$12,Paramètres!$A$1:$I$89,5,0)</f>
        <v>9.5326413429575044E-14</v>
      </c>
      <c r="CA189" s="14">
        <f t="shared" si="170"/>
        <v>1.4400742856080346E-12</v>
      </c>
      <c r="CB189" s="22">
        <f t="shared" si="171"/>
        <v>2.6741562174905032E-12</v>
      </c>
      <c r="CC189" s="62">
        <f t="shared" si="119"/>
        <v>293.33333333333599</v>
      </c>
      <c r="CD189" s="62">
        <f ca="1">AVERAGE(OFFSET($CC$3,0,0,'Données projet'!$E$12+1,1))-AVERAGE(OFFSET($H$3,0,0,'Données projet'!$E$12+1,1))</f>
        <v>207.91006140109965</v>
      </c>
      <c r="CE189" s="62">
        <f t="shared" si="148"/>
        <v>164.93317437647255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1.4210854715202004E-13</v>
      </c>
      <c r="CU189" s="18">
        <f>CT189*VLOOKUP('Données projet'!$B$13,Paramètres!$A$1:$I$89,3,0)*VLOOKUP('Données projet'!$B$13,Paramètres!$A$1:$I$89,5,0)</f>
        <v>1.2192913345643319E-13</v>
      </c>
      <c r="CV189" s="14">
        <f t="shared" si="173"/>
        <v>1.7899324464546674E-12</v>
      </c>
      <c r="CW189" s="22">
        <f t="shared" si="174"/>
        <v>3.3298255850118335E-12</v>
      </c>
      <c r="CX189" s="62">
        <f t="shared" si="122"/>
        <v>293.33333333333667</v>
      </c>
      <c r="CY189" s="62">
        <f ca="1">AVERAGE(OFFSET($CX$3,0,0,'Données projet'!$E$13+1,1))-AVERAGE(OFFSET($H$3,0,0,'Données projet'!$E$13+1,1))</f>
        <v>255.77222823147724</v>
      </c>
      <c r="CZ189" s="62">
        <f t="shared" si="150"/>
        <v>199.6931080052031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-1.9895196601282805E-13</v>
      </c>
      <c r="DP189" s="18">
        <f>DO189*VLOOKUP('Données projet'!$B$14,Paramètres!$A$1:$I$89,3,0)*VLOOKUP('Données projet'!$B$14,Paramètres!$A$1:$I$89,5,0)</f>
        <v>-1.924263415276073E-13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349.73011349954953</v>
      </c>
      <c r="DU189" s="62">
        <f t="shared" si="152"/>
        <v>154.08406475869634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-1.7053025658242404E-13</v>
      </c>
      <c r="O190" s="14">
        <f>N190*VLOOKUP('Données projet'!$B$9,Paramètres!$A$1:$I$89,3,0)*VLOOKUP('Données projet'!$B$9,Paramètres!$A$1:$I$89,5,0)</f>
        <v>-1.0197709343628959E-13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203.63995177374335</v>
      </c>
      <c r="T190" s="62">
        <f t="shared" si="142"/>
        <v>268.97461244918378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0.63285337420442345</v>
      </c>
      <c r="AA190" s="23">
        <f>EXP(-LN(2)/25)*AA189+(1-EXP(-LN(2)/25))/(LN(2)/25)*Calculateur!V190*Calculateur!X190*VLOOKUP('Données projet'!$B$9,Paramètres!$A$1:$I$89,3,0)*0.475*44/12</f>
        <v>0.16125172870461985</v>
      </c>
      <c r="AB190" s="23">
        <f>EXP(-LN(2)/2)*AB189+(1-EXP(-LN(2)/2))/(LN(2)/2)*V190*Y190*VLOOKUP('Données projet'!$B$9,Paramètres!$A$1:$I$89,3,0)*0.475*44/12</f>
        <v>7.4916414490724498E-24</v>
      </c>
      <c r="AC190" s="24">
        <f t="shared" si="163"/>
        <v>0.79410510290904335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-1.9895196601282805E-13</v>
      </c>
      <c r="AJ190" s="14">
        <f>AI190*VLOOKUP('Données projet'!$B$10,Paramètres!$A$1:$I$89,3,0)*VLOOKUP('Données projet'!$B$10,Paramètres!$A$1:$I$89,5,0)</f>
        <v>-2.0173729353700764E-13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364.69354394930866</v>
      </c>
      <c r="AO190" s="62">
        <f t="shared" si="144"/>
        <v>159.6134369231965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241.00707378755914</v>
      </c>
      <c r="BJ190" s="62">
        <f t="shared" si="146"/>
        <v>239.93573789765657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1.4210854715202004E-13</v>
      </c>
      <c r="BZ190" s="14">
        <f>BY190*VLOOKUP('Données projet'!$B$12,Paramètres!$A$1:$I$89,3,0)*VLOOKUP('Données projet'!$B$12,Paramètres!$A$1:$I$89,5,0)</f>
        <v>9.5326413429575044E-14</v>
      </c>
      <c r="CA190" s="14">
        <f t="shared" si="170"/>
        <v>1.4400742856080346E-12</v>
      </c>
      <c r="CB190" s="22">
        <f t="shared" si="171"/>
        <v>2.6741562174905032E-12</v>
      </c>
      <c r="CC190" s="62">
        <f t="shared" si="119"/>
        <v>293.33333333333599</v>
      </c>
      <c r="CD190" s="62">
        <f ca="1">AVERAGE(OFFSET($CC$3,0,0,'Données projet'!$E$12+1,1))-AVERAGE(OFFSET($H$3,0,0,'Données projet'!$E$12+1,1))</f>
        <v>207.91006140109965</v>
      </c>
      <c r="CE190" s="62">
        <f t="shared" si="148"/>
        <v>164.93317437647255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1.4210854715202004E-13</v>
      </c>
      <c r="CU190" s="18">
        <f>CT190*VLOOKUP('Données projet'!$B$13,Paramètres!$A$1:$I$89,3,0)*VLOOKUP('Données projet'!$B$13,Paramètres!$A$1:$I$89,5,0)</f>
        <v>1.2192913345643319E-13</v>
      </c>
      <c r="CV190" s="14">
        <f t="shared" si="173"/>
        <v>1.7899324464546674E-12</v>
      </c>
      <c r="CW190" s="22">
        <f t="shared" si="174"/>
        <v>3.3298255850118335E-12</v>
      </c>
      <c r="CX190" s="62">
        <f t="shared" si="122"/>
        <v>293.33333333333667</v>
      </c>
      <c r="CY190" s="62">
        <f ca="1">AVERAGE(OFFSET($CX$3,0,0,'Données projet'!$E$13+1,1))-AVERAGE(OFFSET($H$3,0,0,'Données projet'!$E$13+1,1))</f>
        <v>255.77222823147724</v>
      </c>
      <c r="CZ190" s="62">
        <f t="shared" si="150"/>
        <v>199.6931080052031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-1.9895196601282805E-13</v>
      </c>
      <c r="DP190" s="18">
        <f>DO190*VLOOKUP('Données projet'!$B$14,Paramètres!$A$1:$I$89,3,0)*VLOOKUP('Données projet'!$B$14,Paramètres!$A$1:$I$89,5,0)</f>
        <v>-1.924263415276073E-13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349.73011349954953</v>
      </c>
      <c r="DU190" s="62">
        <f t="shared" si="152"/>
        <v>154.08406475869634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-1.7053025658242404E-13</v>
      </c>
      <c r="O191" s="14">
        <f>N191*VLOOKUP('Données projet'!$B$9,Paramètres!$A$1:$I$89,3,0)*VLOOKUP('Données projet'!$B$9,Paramètres!$A$1:$I$89,5,0)</f>
        <v>-1.0197709343628959E-13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203.63995177374335</v>
      </c>
      <c r="T191" s="62">
        <f t="shared" si="142"/>
        <v>268.97461244918378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0.62044350553871841</v>
      </c>
      <c r="AA191" s="23">
        <f>EXP(-LN(2)/25)*AA190+(1-EXP(-LN(2)/25))/(LN(2)/25)*Calculateur!V191*Calculateur!X191*VLOOKUP('Données projet'!$B$9,Paramètres!$A$1:$I$89,3,0)*0.475*44/12</f>
        <v>0.15684229170333214</v>
      </c>
      <c r="AB191" s="23">
        <f>EXP(-LN(2)/2)*AB190+(1-EXP(-LN(2)/2))/(LN(2)/2)*V191*Y191*VLOOKUP('Données projet'!$B$9,Paramètres!$A$1:$I$89,3,0)*0.475*44/12</f>
        <v>5.2973904708573427E-24</v>
      </c>
      <c r="AC191" s="24">
        <f t="shared" si="163"/>
        <v>0.7772857972420506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-1.9895196601282805E-13</v>
      </c>
      <c r="AJ191" s="14">
        <f>AI191*VLOOKUP('Données projet'!$B$10,Paramètres!$A$1:$I$89,3,0)*VLOOKUP('Données projet'!$B$10,Paramètres!$A$1:$I$89,5,0)</f>
        <v>-2.0173729353700764E-13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364.69354394930866</v>
      </c>
      <c r="AO191" s="62">
        <f t="shared" si="144"/>
        <v>159.6134369231965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241.00707378755914</v>
      </c>
      <c r="BJ191" s="62">
        <f t="shared" si="146"/>
        <v>239.93573789765657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1.4210854715202004E-13</v>
      </c>
      <c r="BZ191" s="14">
        <f>BY191*VLOOKUP('Données projet'!$B$12,Paramètres!$A$1:$I$89,3,0)*VLOOKUP('Données projet'!$B$12,Paramètres!$A$1:$I$89,5,0)</f>
        <v>9.5326413429575044E-14</v>
      </c>
      <c r="CA191" s="14">
        <f t="shared" si="170"/>
        <v>1.4400742856080346E-12</v>
      </c>
      <c r="CB191" s="22">
        <f t="shared" si="171"/>
        <v>2.6741562174905032E-12</v>
      </c>
      <c r="CC191" s="62">
        <f t="shared" si="119"/>
        <v>293.33333333333599</v>
      </c>
      <c r="CD191" s="62">
        <f ca="1">AVERAGE(OFFSET($CC$3,0,0,'Données projet'!$E$12+1,1))-AVERAGE(OFFSET($H$3,0,0,'Données projet'!$E$12+1,1))</f>
        <v>207.91006140109965</v>
      </c>
      <c r="CE191" s="62">
        <f t="shared" si="148"/>
        <v>164.93317437647255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1.4210854715202004E-13</v>
      </c>
      <c r="CU191" s="18">
        <f>CT191*VLOOKUP('Données projet'!$B$13,Paramètres!$A$1:$I$89,3,0)*VLOOKUP('Données projet'!$B$13,Paramètres!$A$1:$I$89,5,0)</f>
        <v>1.2192913345643319E-13</v>
      </c>
      <c r="CV191" s="14">
        <f t="shared" si="173"/>
        <v>1.7899324464546674E-12</v>
      </c>
      <c r="CW191" s="22">
        <f t="shared" si="174"/>
        <v>3.3298255850118335E-12</v>
      </c>
      <c r="CX191" s="62">
        <f t="shared" si="122"/>
        <v>293.33333333333667</v>
      </c>
      <c r="CY191" s="62">
        <f ca="1">AVERAGE(OFFSET($CX$3,0,0,'Données projet'!$E$13+1,1))-AVERAGE(OFFSET($H$3,0,0,'Données projet'!$E$13+1,1))</f>
        <v>255.77222823147724</v>
      </c>
      <c r="CZ191" s="62">
        <f t="shared" si="150"/>
        <v>199.6931080052031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-1.9895196601282805E-13</v>
      </c>
      <c r="DP191" s="18">
        <f>DO191*VLOOKUP('Données projet'!$B$14,Paramètres!$A$1:$I$89,3,0)*VLOOKUP('Données projet'!$B$14,Paramètres!$A$1:$I$89,5,0)</f>
        <v>-1.924263415276073E-13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349.73011349954953</v>
      </c>
      <c r="DU191" s="62">
        <f t="shared" si="152"/>
        <v>154.08406475869634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-1.7053025658242404E-13</v>
      </c>
      <c r="O192" s="14">
        <f>N192*VLOOKUP('Données projet'!$B$9,Paramètres!$A$1:$I$89,3,0)*VLOOKUP('Données projet'!$B$9,Paramètres!$A$1:$I$89,5,0)</f>
        <v>-1.0197709343628959E-13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203.63995177374335</v>
      </c>
      <c r="T192" s="62">
        <f t="shared" si="142"/>
        <v>268.97461244918378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0.60827698682827536</v>
      </c>
      <c r="AA192" s="23">
        <f>EXP(-LN(2)/25)*AA191+(1-EXP(-LN(2)/25))/(LN(2)/25)*Calculateur!V192*Calculateur!X192*VLOOKUP('Données projet'!$B$9,Paramètres!$A$1:$I$89,3,0)*0.475*44/12</f>
        <v>0.15255343098872687</v>
      </c>
      <c r="AB192" s="23">
        <f>EXP(-LN(2)/2)*AB191+(1-EXP(-LN(2)/2))/(LN(2)/2)*V192*Y192*VLOOKUP('Données projet'!$B$9,Paramètres!$A$1:$I$89,3,0)*0.475*44/12</f>
        <v>3.7458207245362249E-24</v>
      </c>
      <c r="AC192" s="24">
        <f t="shared" si="163"/>
        <v>0.76083041781700222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-1.9895196601282805E-13</v>
      </c>
      <c r="AJ192" s="14">
        <f>AI192*VLOOKUP('Données projet'!$B$10,Paramètres!$A$1:$I$89,3,0)*VLOOKUP('Données projet'!$B$10,Paramètres!$A$1:$I$89,5,0)</f>
        <v>-2.0173729353700764E-13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364.69354394930866</v>
      </c>
      <c r="AO192" s="62">
        <f t="shared" si="144"/>
        <v>159.6134369231965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241.00707378755914</v>
      </c>
      <c r="BJ192" s="62">
        <f t="shared" si="146"/>
        <v>239.93573789765657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1.4210854715202004E-13</v>
      </c>
      <c r="BZ192" s="14">
        <f>BY192*VLOOKUP('Données projet'!$B$12,Paramètres!$A$1:$I$89,3,0)*VLOOKUP('Données projet'!$B$12,Paramètres!$A$1:$I$89,5,0)</f>
        <v>9.5326413429575044E-14</v>
      </c>
      <c r="CA192" s="14">
        <f t="shared" si="170"/>
        <v>1.4400742856080346E-12</v>
      </c>
      <c r="CB192" s="22">
        <f t="shared" si="171"/>
        <v>2.6741562174905032E-12</v>
      </c>
      <c r="CC192" s="62">
        <f t="shared" si="119"/>
        <v>293.33333333333599</v>
      </c>
      <c r="CD192" s="62">
        <f ca="1">AVERAGE(OFFSET($CC$3,0,0,'Données projet'!$E$12+1,1))-AVERAGE(OFFSET($H$3,0,0,'Données projet'!$E$12+1,1))</f>
        <v>207.91006140109965</v>
      </c>
      <c r="CE192" s="62">
        <f t="shared" si="148"/>
        <v>164.93317437647255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1.4210854715202004E-13</v>
      </c>
      <c r="CU192" s="18">
        <f>CT192*VLOOKUP('Données projet'!$B$13,Paramètres!$A$1:$I$89,3,0)*VLOOKUP('Données projet'!$B$13,Paramètres!$A$1:$I$89,5,0)</f>
        <v>1.2192913345643319E-13</v>
      </c>
      <c r="CV192" s="14">
        <f t="shared" si="173"/>
        <v>1.7899324464546674E-12</v>
      </c>
      <c r="CW192" s="22">
        <f t="shared" si="174"/>
        <v>3.3298255850118335E-12</v>
      </c>
      <c r="CX192" s="62">
        <f t="shared" si="122"/>
        <v>293.33333333333667</v>
      </c>
      <c r="CY192" s="62">
        <f ca="1">AVERAGE(OFFSET($CX$3,0,0,'Données projet'!$E$13+1,1))-AVERAGE(OFFSET($H$3,0,0,'Données projet'!$E$13+1,1))</f>
        <v>255.77222823147724</v>
      </c>
      <c r="CZ192" s="62">
        <f t="shared" si="150"/>
        <v>199.6931080052031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-1.9895196601282805E-13</v>
      </c>
      <c r="DP192" s="18">
        <f>DO192*VLOOKUP('Données projet'!$B$14,Paramètres!$A$1:$I$89,3,0)*VLOOKUP('Données projet'!$B$14,Paramètres!$A$1:$I$89,5,0)</f>
        <v>-1.924263415276073E-13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349.73011349954953</v>
      </c>
      <c r="DU192" s="62">
        <f t="shared" si="152"/>
        <v>154.08406475869634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-1.7053025658242404E-13</v>
      </c>
      <c r="O193" s="14">
        <f>N193*VLOOKUP('Données projet'!$B$9,Paramètres!$A$1:$I$89,3,0)*VLOOKUP('Données projet'!$B$9,Paramètres!$A$1:$I$89,5,0)</f>
        <v>-1.0197709343628959E-13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203.63995177374335</v>
      </c>
      <c r="T193" s="62">
        <f t="shared" si="142"/>
        <v>268.97461244918378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0.59634904612890038</v>
      </c>
      <c r="AA193" s="23">
        <f>EXP(-LN(2)/25)*AA192+(1-EXP(-LN(2)/25))/(LN(2)/25)*Calculateur!V193*Calculateur!X193*VLOOKUP('Données projet'!$B$9,Paramètres!$A$1:$I$89,3,0)*0.475*44/12</f>
        <v>0.14838184939590388</v>
      </c>
      <c r="AB193" s="23">
        <f>EXP(-LN(2)/2)*AB192+(1-EXP(-LN(2)/2))/(LN(2)/2)*V193*Y193*VLOOKUP('Données projet'!$B$9,Paramètres!$A$1:$I$89,3,0)*0.475*44/12</f>
        <v>2.6486952354286713E-24</v>
      </c>
      <c r="AC193" s="24">
        <f t="shared" si="163"/>
        <v>0.7447308955248042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-1.9895196601282805E-13</v>
      </c>
      <c r="AJ193" s="14">
        <f>AI193*VLOOKUP('Données projet'!$B$10,Paramètres!$A$1:$I$89,3,0)*VLOOKUP('Données projet'!$B$10,Paramètres!$A$1:$I$89,5,0)</f>
        <v>-2.0173729353700764E-13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364.69354394930866</v>
      </c>
      <c r="AO193" s="62">
        <f t="shared" si="144"/>
        <v>159.6134369231965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241.00707378755914</v>
      </c>
      <c r="BJ193" s="62">
        <f t="shared" si="146"/>
        <v>239.93573789765657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1.4210854715202004E-13</v>
      </c>
      <c r="BZ193" s="14">
        <f>BY193*VLOOKUP('Données projet'!$B$12,Paramètres!$A$1:$I$89,3,0)*VLOOKUP('Données projet'!$B$12,Paramètres!$A$1:$I$89,5,0)</f>
        <v>9.5326413429575044E-14</v>
      </c>
      <c r="CA193" s="14">
        <f t="shared" si="170"/>
        <v>1.4400742856080346E-12</v>
      </c>
      <c r="CB193" s="22">
        <f t="shared" si="171"/>
        <v>2.6741562174905032E-12</v>
      </c>
      <c r="CC193" s="62">
        <f t="shared" si="119"/>
        <v>293.33333333333599</v>
      </c>
      <c r="CD193" s="62">
        <f ca="1">AVERAGE(OFFSET($CC$3,0,0,'Données projet'!$E$12+1,1))-AVERAGE(OFFSET($H$3,0,0,'Données projet'!$E$12+1,1))</f>
        <v>207.91006140109965</v>
      </c>
      <c r="CE193" s="62">
        <f t="shared" si="148"/>
        <v>164.93317437647255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1.4210854715202004E-13</v>
      </c>
      <c r="CU193" s="18">
        <f>CT193*VLOOKUP('Données projet'!$B$13,Paramètres!$A$1:$I$89,3,0)*VLOOKUP('Données projet'!$B$13,Paramètres!$A$1:$I$89,5,0)</f>
        <v>1.2192913345643319E-13</v>
      </c>
      <c r="CV193" s="14">
        <f t="shared" si="173"/>
        <v>1.7899324464546674E-12</v>
      </c>
      <c r="CW193" s="22">
        <f t="shared" si="174"/>
        <v>3.3298255850118335E-12</v>
      </c>
      <c r="CX193" s="62">
        <f t="shared" si="122"/>
        <v>293.33333333333667</v>
      </c>
      <c r="CY193" s="62">
        <f ca="1">AVERAGE(OFFSET($CX$3,0,0,'Données projet'!$E$13+1,1))-AVERAGE(OFFSET($H$3,0,0,'Données projet'!$E$13+1,1))</f>
        <v>255.77222823147724</v>
      </c>
      <c r="CZ193" s="62">
        <f t="shared" si="150"/>
        <v>199.6931080052031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-1.9895196601282805E-13</v>
      </c>
      <c r="DP193" s="18">
        <f>DO193*VLOOKUP('Données projet'!$B$14,Paramètres!$A$1:$I$89,3,0)*VLOOKUP('Données projet'!$B$14,Paramètres!$A$1:$I$89,5,0)</f>
        <v>-1.924263415276073E-13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349.73011349954953</v>
      </c>
      <c r="DU193" s="62">
        <f t="shared" si="152"/>
        <v>154.08406475869634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-1.7053025658242404E-13</v>
      </c>
      <c r="O194" s="14">
        <f>N194*VLOOKUP('Données projet'!$B$9,Paramètres!$A$1:$I$89,3,0)*VLOOKUP('Données projet'!$B$9,Paramètres!$A$1:$I$89,5,0)</f>
        <v>-1.0197709343628959E-13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203.63995177374335</v>
      </c>
      <c r="T194" s="62">
        <f t="shared" si="142"/>
        <v>268.97461244918378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0.58465500507131474</v>
      </c>
      <c r="AA194" s="23">
        <f>EXP(-LN(2)/25)*AA193+(1-EXP(-LN(2)/25))/(LN(2)/25)*Calculateur!V194*Calculateur!X194*VLOOKUP('Données projet'!$B$9,Paramètres!$A$1:$I$89,3,0)*0.475*44/12</f>
        <v>0.14432433992111054</v>
      </c>
      <c r="AB194" s="23">
        <f>EXP(-LN(2)/2)*AB193+(1-EXP(-LN(2)/2))/(LN(2)/2)*V194*Y194*VLOOKUP('Données projet'!$B$9,Paramètres!$A$1:$I$89,3,0)*0.475*44/12</f>
        <v>1.8729103622681125E-24</v>
      </c>
      <c r="AC194" s="24">
        <f t="shared" si="163"/>
        <v>0.72897934499242534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-1.9895196601282805E-13</v>
      </c>
      <c r="AJ194" s="14">
        <f>AI194*VLOOKUP('Données projet'!$B$10,Paramètres!$A$1:$I$89,3,0)*VLOOKUP('Données projet'!$B$10,Paramètres!$A$1:$I$89,5,0)</f>
        <v>-2.0173729353700764E-13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364.69354394930866</v>
      </c>
      <c r="AO194" s="62">
        <f t="shared" si="144"/>
        <v>159.6134369231965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241.00707378755914</v>
      </c>
      <c r="BJ194" s="62">
        <f t="shared" si="146"/>
        <v>239.93573789765657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1.4210854715202004E-13</v>
      </c>
      <c r="BZ194" s="14">
        <f>BY194*VLOOKUP('Données projet'!$B$12,Paramètres!$A$1:$I$89,3,0)*VLOOKUP('Données projet'!$B$12,Paramètres!$A$1:$I$89,5,0)</f>
        <v>9.5326413429575044E-14</v>
      </c>
      <c r="CA194" s="14">
        <f t="shared" si="170"/>
        <v>1.4400742856080346E-12</v>
      </c>
      <c r="CB194" s="22">
        <f t="shared" si="171"/>
        <v>2.6741562174905032E-12</v>
      </c>
      <c r="CC194" s="62">
        <f t="shared" si="119"/>
        <v>293.33333333333599</v>
      </c>
      <c r="CD194" s="62">
        <f ca="1">AVERAGE(OFFSET($CC$3,0,0,'Données projet'!$E$12+1,1))-AVERAGE(OFFSET($H$3,0,0,'Données projet'!$E$12+1,1))</f>
        <v>207.91006140109965</v>
      </c>
      <c r="CE194" s="62">
        <f t="shared" si="148"/>
        <v>164.93317437647255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1.4210854715202004E-13</v>
      </c>
      <c r="CU194" s="18">
        <f>CT194*VLOOKUP('Données projet'!$B$13,Paramètres!$A$1:$I$89,3,0)*VLOOKUP('Données projet'!$B$13,Paramètres!$A$1:$I$89,5,0)</f>
        <v>1.2192913345643319E-13</v>
      </c>
      <c r="CV194" s="14">
        <f t="shared" si="173"/>
        <v>1.7899324464546674E-12</v>
      </c>
      <c r="CW194" s="22">
        <f t="shared" si="174"/>
        <v>3.3298255850118335E-12</v>
      </c>
      <c r="CX194" s="62">
        <f t="shared" si="122"/>
        <v>293.33333333333667</v>
      </c>
      <c r="CY194" s="62">
        <f ca="1">AVERAGE(OFFSET($CX$3,0,0,'Données projet'!$E$13+1,1))-AVERAGE(OFFSET($H$3,0,0,'Données projet'!$E$13+1,1))</f>
        <v>255.77222823147724</v>
      </c>
      <c r="CZ194" s="62">
        <f t="shared" si="150"/>
        <v>199.6931080052031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-1.9895196601282805E-13</v>
      </c>
      <c r="DP194" s="18">
        <f>DO194*VLOOKUP('Données projet'!$B$14,Paramètres!$A$1:$I$89,3,0)*VLOOKUP('Données projet'!$B$14,Paramètres!$A$1:$I$89,5,0)</f>
        <v>-1.924263415276073E-13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349.73011349954953</v>
      </c>
      <c r="DU194" s="62">
        <f t="shared" si="152"/>
        <v>154.08406475869634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-1.7053025658242404E-13</v>
      </c>
      <c r="O195" s="14">
        <f>N195*VLOOKUP('Données projet'!$B$9,Paramètres!$A$1:$I$89,3,0)*VLOOKUP('Données projet'!$B$9,Paramètres!$A$1:$I$89,5,0)</f>
        <v>-1.0197709343628959E-13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203.63995177374335</v>
      </c>
      <c r="T195" s="62">
        <f t="shared" si="142"/>
        <v>268.97461244918378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0.57319027702620762</v>
      </c>
      <c r="AA195" s="23">
        <f>EXP(-LN(2)/25)*AA194+(1-EXP(-LN(2)/25))/(LN(2)/25)*Calculateur!V195*Calculateur!X195*VLOOKUP('Données projet'!$B$9,Paramètres!$A$1:$I$89,3,0)*0.475*44/12</f>
        <v>0.14037778325628059</v>
      </c>
      <c r="AB195" s="23">
        <f>EXP(-LN(2)/2)*AB194+(1-EXP(-LN(2)/2))/(LN(2)/2)*V195*Y195*VLOOKUP('Données projet'!$B$9,Paramètres!$A$1:$I$89,3,0)*0.475*44/12</f>
        <v>1.3243476177143357E-24</v>
      </c>
      <c r="AC195" s="24">
        <f t="shared" si="163"/>
        <v>0.7135680602824882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-1.9895196601282805E-13</v>
      </c>
      <c r="AJ195" s="14">
        <f>AI195*VLOOKUP('Données projet'!$B$10,Paramètres!$A$1:$I$89,3,0)*VLOOKUP('Données projet'!$B$10,Paramètres!$A$1:$I$89,5,0)</f>
        <v>-2.0173729353700764E-13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364.69354394930866</v>
      </c>
      <c r="AO195" s="62">
        <f t="shared" si="144"/>
        <v>159.6134369231965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241.00707378755914</v>
      </c>
      <c r="BJ195" s="62">
        <f t="shared" si="146"/>
        <v>239.93573789765657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1.4210854715202004E-13</v>
      </c>
      <c r="BZ195" s="14">
        <f>BY195*VLOOKUP('Données projet'!$B$12,Paramètres!$A$1:$I$89,3,0)*VLOOKUP('Données projet'!$B$12,Paramètres!$A$1:$I$89,5,0)</f>
        <v>9.5326413429575044E-14</v>
      </c>
      <c r="CA195" s="14">
        <f t="shared" si="170"/>
        <v>1.4400742856080346E-12</v>
      </c>
      <c r="CB195" s="22">
        <f t="shared" si="171"/>
        <v>2.6741562174905032E-12</v>
      </c>
      <c r="CC195" s="62">
        <f t="shared" si="119"/>
        <v>293.33333333333599</v>
      </c>
      <c r="CD195" s="62">
        <f ca="1">AVERAGE(OFFSET($CC$3,0,0,'Données projet'!$E$12+1,1))-AVERAGE(OFFSET($H$3,0,0,'Données projet'!$E$12+1,1))</f>
        <v>207.91006140109965</v>
      </c>
      <c r="CE195" s="62">
        <f t="shared" si="148"/>
        <v>164.93317437647255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1.4210854715202004E-13</v>
      </c>
      <c r="CU195" s="18">
        <f>CT195*VLOOKUP('Données projet'!$B$13,Paramètres!$A$1:$I$89,3,0)*VLOOKUP('Données projet'!$B$13,Paramètres!$A$1:$I$89,5,0)</f>
        <v>1.2192913345643319E-13</v>
      </c>
      <c r="CV195" s="14">
        <f t="shared" si="173"/>
        <v>1.7899324464546674E-12</v>
      </c>
      <c r="CW195" s="22">
        <f t="shared" si="174"/>
        <v>3.3298255850118335E-12</v>
      </c>
      <c r="CX195" s="62">
        <f t="shared" si="122"/>
        <v>293.33333333333667</v>
      </c>
      <c r="CY195" s="62">
        <f ca="1">AVERAGE(OFFSET($CX$3,0,0,'Données projet'!$E$13+1,1))-AVERAGE(OFFSET($H$3,0,0,'Données projet'!$E$13+1,1))</f>
        <v>255.77222823147724</v>
      </c>
      <c r="CZ195" s="62">
        <f t="shared" si="150"/>
        <v>199.6931080052031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-1.9895196601282805E-13</v>
      </c>
      <c r="DP195" s="18">
        <f>DO195*VLOOKUP('Données projet'!$B$14,Paramètres!$A$1:$I$89,3,0)*VLOOKUP('Données projet'!$B$14,Paramètres!$A$1:$I$89,5,0)</f>
        <v>-1.924263415276073E-13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349.73011349954953</v>
      </c>
      <c r="DU195" s="62">
        <f t="shared" si="152"/>
        <v>154.08406475869634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-1.7053025658242404E-13</v>
      </c>
      <c r="O196" s="14">
        <f>N196*VLOOKUP('Données projet'!$B$9,Paramètres!$A$1:$I$89,3,0)*VLOOKUP('Données projet'!$B$9,Paramètres!$A$1:$I$89,5,0)</f>
        <v>-1.0197709343628959E-13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203.63995177374335</v>
      </c>
      <c r="T196" s="62">
        <f t="shared" si="142"/>
        <v>268.97461244918378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0.56195036530527143</v>
      </c>
      <c r="AA196" s="23">
        <f>EXP(-LN(2)/25)*AA195+(1-EXP(-LN(2)/25))/(LN(2)/25)*Calculateur!V196*Calculateur!X196*VLOOKUP('Données projet'!$B$9,Paramètres!$A$1:$I$89,3,0)*0.475*44/12</f>
        <v>0.1365391453909908</v>
      </c>
      <c r="AB196" s="23">
        <f>EXP(-LN(2)/2)*AB195+(1-EXP(-LN(2)/2))/(LN(2)/2)*V196*Y196*VLOOKUP('Données projet'!$B$9,Paramètres!$A$1:$I$89,3,0)*0.475*44/12</f>
        <v>9.3645518113405623E-25</v>
      </c>
      <c r="AC196" s="24">
        <f t="shared" si="163"/>
        <v>0.69848951069626219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-1.9895196601282805E-13</v>
      </c>
      <c r="AJ196" s="14">
        <f>AI196*VLOOKUP('Données projet'!$B$10,Paramètres!$A$1:$I$89,3,0)*VLOOKUP('Données projet'!$B$10,Paramètres!$A$1:$I$89,5,0)</f>
        <v>-2.0173729353700764E-13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364.69354394930866</v>
      </c>
      <c r="AO196" s="62">
        <f t="shared" si="144"/>
        <v>159.6134369231965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241.00707378755914</v>
      </c>
      <c r="BJ196" s="62">
        <f t="shared" si="146"/>
        <v>239.93573789765657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1.4210854715202004E-13</v>
      </c>
      <c r="BZ196" s="14">
        <f>BY196*VLOOKUP('Données projet'!$B$12,Paramètres!$A$1:$I$89,3,0)*VLOOKUP('Données projet'!$B$12,Paramètres!$A$1:$I$89,5,0)</f>
        <v>9.5326413429575044E-14</v>
      </c>
      <c r="CA196" s="14">
        <f t="shared" si="170"/>
        <v>1.4400742856080346E-12</v>
      </c>
      <c r="CB196" s="22">
        <f t="shared" si="171"/>
        <v>2.6741562174905032E-12</v>
      </c>
      <c r="CC196" s="62">
        <f t="shared" ref="CC196:CC203" si="195">CB196+(BT196+BU196)*44/12</f>
        <v>293.33333333333599</v>
      </c>
      <c r="CD196" s="62">
        <f ca="1">AVERAGE(OFFSET($CC$3,0,0,'Données projet'!$E$12+1,1))-AVERAGE(OFFSET($H$3,0,0,'Données projet'!$E$12+1,1))</f>
        <v>207.91006140109965</v>
      </c>
      <c r="CE196" s="62">
        <f t="shared" si="148"/>
        <v>164.93317437647255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1.4210854715202004E-13</v>
      </c>
      <c r="CU196" s="18">
        <f>CT196*VLOOKUP('Données projet'!$B$13,Paramètres!$A$1:$I$89,3,0)*VLOOKUP('Données projet'!$B$13,Paramètres!$A$1:$I$89,5,0)</f>
        <v>1.2192913345643319E-13</v>
      </c>
      <c r="CV196" s="14">
        <f t="shared" si="173"/>
        <v>1.7899324464546674E-12</v>
      </c>
      <c r="CW196" s="22">
        <f t="shared" si="174"/>
        <v>3.3298255850118335E-12</v>
      </c>
      <c r="CX196" s="62">
        <f t="shared" ref="CX196:CX203" si="196">CW196+(CO196+CP196)*44/12</f>
        <v>293.33333333333667</v>
      </c>
      <c r="CY196" s="62">
        <f ca="1">AVERAGE(OFFSET($CX$3,0,0,'Données projet'!$E$13+1,1))-AVERAGE(OFFSET($H$3,0,0,'Données projet'!$E$13+1,1))</f>
        <v>255.77222823147724</v>
      </c>
      <c r="CZ196" s="62">
        <f t="shared" si="150"/>
        <v>199.6931080052031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-1.9895196601282805E-13</v>
      </c>
      <c r="DP196" s="18">
        <f>DO196*VLOOKUP('Données projet'!$B$14,Paramètres!$A$1:$I$89,3,0)*VLOOKUP('Données projet'!$B$14,Paramètres!$A$1:$I$89,5,0)</f>
        <v>-1.924263415276073E-13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349.73011349954953</v>
      </c>
      <c r="DU196" s="62">
        <f t="shared" si="152"/>
        <v>154.08406475869634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-1.7053025658242404E-13</v>
      </c>
      <c r="O197" s="14">
        <f>N197*VLOOKUP('Données projet'!$B$9,Paramètres!$A$1:$I$89,3,0)*VLOOKUP('Données projet'!$B$9,Paramètres!$A$1:$I$89,5,0)</f>
        <v>-1.0197709343628959E-13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203.63995177374335</v>
      </c>
      <c r="T197" s="62">
        <f t="shared" ref="T197:T203" si="204">$T$3</f>
        <v>268.97461244918378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0.55093086139751357</v>
      </c>
      <c r="AA197" s="23">
        <f>EXP(-LN(2)/25)*AA196+(1-EXP(-LN(2)/25))/(LN(2)/25)*Calculateur!V197*Calculateur!X197*VLOOKUP('Données projet'!$B$9,Paramètres!$A$1:$I$89,3,0)*0.475*44/12</f>
        <v>0.13280547527999256</v>
      </c>
      <c r="AB197" s="23">
        <f>EXP(-LN(2)/2)*AB196+(1-EXP(-LN(2)/2))/(LN(2)/2)*V197*Y197*VLOOKUP('Données projet'!$B$9,Paramètres!$A$1:$I$89,3,0)*0.475*44/12</f>
        <v>6.6217380885716783E-25</v>
      </c>
      <c r="AC197" s="24">
        <f t="shared" si="163"/>
        <v>0.68373633667750611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-1.9895196601282805E-13</v>
      </c>
      <c r="AJ197" s="14">
        <f>AI197*VLOOKUP('Données projet'!$B$10,Paramètres!$A$1:$I$89,3,0)*VLOOKUP('Données projet'!$B$10,Paramètres!$A$1:$I$89,5,0)</f>
        <v>-2.0173729353700764E-13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364.69354394930866</v>
      </c>
      <c r="AO197" s="62">
        <f t="shared" ref="AO197:AO203" si="205">$AO$3</f>
        <v>159.6134369231965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241.00707378755914</v>
      </c>
      <c r="BJ197" s="62">
        <f t="shared" ref="BJ197:BJ203" si="206">$BJ$3</f>
        <v>239.93573789765657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1.4210854715202004E-13</v>
      </c>
      <c r="BZ197" s="14">
        <f>BY197*VLOOKUP('Données projet'!$B$12,Paramètres!$A$1:$I$89,3,0)*VLOOKUP('Données projet'!$B$12,Paramètres!$A$1:$I$89,5,0)</f>
        <v>9.5326413429575044E-14</v>
      </c>
      <c r="CA197" s="14">
        <f t="shared" si="170"/>
        <v>1.4400742856080346E-12</v>
      </c>
      <c r="CB197" s="22">
        <f t="shared" si="171"/>
        <v>2.6741562174905032E-12</v>
      </c>
      <c r="CC197" s="62">
        <f t="shared" si="195"/>
        <v>293.33333333333599</v>
      </c>
      <c r="CD197" s="62">
        <f ca="1">AVERAGE(OFFSET($CC$3,0,0,'Données projet'!$E$12+1,1))-AVERAGE(OFFSET($H$3,0,0,'Données projet'!$E$12+1,1))</f>
        <v>207.91006140109965</v>
      </c>
      <c r="CE197" s="62">
        <f t="shared" ref="CE197:CE203" si="207">$CE$3</f>
        <v>164.93317437647255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1.4210854715202004E-13</v>
      </c>
      <c r="CU197" s="18">
        <f>CT197*VLOOKUP('Données projet'!$B$13,Paramètres!$A$1:$I$89,3,0)*VLOOKUP('Données projet'!$B$13,Paramètres!$A$1:$I$89,5,0)</f>
        <v>1.2192913345643319E-13</v>
      </c>
      <c r="CV197" s="14">
        <f t="shared" si="173"/>
        <v>1.7899324464546674E-12</v>
      </c>
      <c r="CW197" s="22">
        <f t="shared" si="174"/>
        <v>3.3298255850118335E-12</v>
      </c>
      <c r="CX197" s="62">
        <f t="shared" si="196"/>
        <v>293.33333333333667</v>
      </c>
      <c r="CY197" s="62">
        <f ca="1">AVERAGE(OFFSET($CX$3,0,0,'Données projet'!$E$13+1,1))-AVERAGE(OFFSET($H$3,0,0,'Données projet'!$E$13+1,1))</f>
        <v>255.77222823147724</v>
      </c>
      <c r="CZ197" s="62">
        <f t="shared" ref="CZ197:CZ203" si="208">$CZ$3</f>
        <v>199.6931080052031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-1.9895196601282805E-13</v>
      </c>
      <c r="DP197" s="18">
        <f>DO197*VLOOKUP('Données projet'!$B$14,Paramètres!$A$1:$I$89,3,0)*VLOOKUP('Données projet'!$B$14,Paramètres!$A$1:$I$89,5,0)</f>
        <v>-1.924263415276073E-13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349.73011349954953</v>
      </c>
      <c r="DU197" s="62">
        <f t="shared" ref="DU197:DU203" si="209">$DU$3</f>
        <v>154.08406475869634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-1.7053025658242404E-13</v>
      </c>
      <c r="O198" s="14">
        <f>N198*VLOOKUP('Données projet'!$B$9,Paramètres!$A$1:$I$89,3,0)*VLOOKUP('Données projet'!$B$9,Paramètres!$A$1:$I$89,5,0)</f>
        <v>-1.0197709343628959E-13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203.63995177374335</v>
      </c>
      <c r="T198" s="62">
        <f t="shared" si="204"/>
        <v>268.97461244918378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0.54012744324015316</v>
      </c>
      <c r="AA198" s="23">
        <f>EXP(-LN(2)/25)*AA197+(1-EXP(-LN(2)/25))/(LN(2)/25)*Calculateur!V198*Calculateur!X198*VLOOKUP('Données projet'!$B$9,Paramètres!$A$1:$I$89,3,0)*0.475*44/12</f>
        <v>0.12917390257452474</v>
      </c>
      <c r="AB198" s="23">
        <f>EXP(-LN(2)/2)*AB197+(1-EXP(-LN(2)/2))/(LN(2)/2)*V198*Y198*VLOOKUP('Données projet'!$B$9,Paramètres!$A$1:$I$89,3,0)*0.475*44/12</f>
        <v>4.6822759056702811E-25</v>
      </c>
      <c r="AC198" s="24">
        <f t="shared" si="163"/>
        <v>0.66930134581467793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-1.9895196601282805E-13</v>
      </c>
      <c r="AJ198" s="14">
        <f>AI198*VLOOKUP('Données projet'!$B$10,Paramètres!$A$1:$I$89,3,0)*VLOOKUP('Données projet'!$B$10,Paramètres!$A$1:$I$89,5,0)</f>
        <v>-2.0173729353700764E-13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364.69354394930866</v>
      </c>
      <c r="AO198" s="62">
        <f t="shared" si="205"/>
        <v>159.6134369231965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241.00707378755914</v>
      </c>
      <c r="BJ198" s="62">
        <f t="shared" si="206"/>
        <v>239.93573789765657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1.4210854715202004E-13</v>
      </c>
      <c r="BZ198" s="14">
        <f>BY198*VLOOKUP('Données projet'!$B$12,Paramètres!$A$1:$I$89,3,0)*VLOOKUP('Données projet'!$B$12,Paramètres!$A$1:$I$89,5,0)</f>
        <v>9.5326413429575044E-14</v>
      </c>
      <c r="CA198" s="14">
        <f t="shared" si="170"/>
        <v>1.4400742856080346E-12</v>
      </c>
      <c r="CB198" s="22">
        <f t="shared" si="171"/>
        <v>2.6741562174905032E-12</v>
      </c>
      <c r="CC198" s="62">
        <f t="shared" si="195"/>
        <v>293.33333333333599</v>
      </c>
      <c r="CD198" s="62">
        <f ca="1">AVERAGE(OFFSET($CC$3,0,0,'Données projet'!$E$12+1,1))-AVERAGE(OFFSET($H$3,0,0,'Données projet'!$E$12+1,1))</f>
        <v>207.91006140109965</v>
      </c>
      <c r="CE198" s="62">
        <f t="shared" si="207"/>
        <v>164.93317437647255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1.4210854715202004E-13</v>
      </c>
      <c r="CU198" s="18">
        <f>CT198*VLOOKUP('Données projet'!$B$13,Paramètres!$A$1:$I$89,3,0)*VLOOKUP('Données projet'!$B$13,Paramètres!$A$1:$I$89,5,0)</f>
        <v>1.2192913345643319E-13</v>
      </c>
      <c r="CV198" s="14">
        <f t="shared" si="173"/>
        <v>1.7899324464546674E-12</v>
      </c>
      <c r="CW198" s="22">
        <f t="shared" si="174"/>
        <v>3.3298255850118335E-12</v>
      </c>
      <c r="CX198" s="62">
        <f t="shared" si="196"/>
        <v>293.33333333333667</v>
      </c>
      <c r="CY198" s="62">
        <f ca="1">AVERAGE(OFFSET($CX$3,0,0,'Données projet'!$E$13+1,1))-AVERAGE(OFFSET($H$3,0,0,'Données projet'!$E$13+1,1))</f>
        <v>255.77222823147724</v>
      </c>
      <c r="CZ198" s="62">
        <f t="shared" si="208"/>
        <v>199.6931080052031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-1.9895196601282805E-13</v>
      </c>
      <c r="DP198" s="18">
        <f>DO198*VLOOKUP('Données projet'!$B$14,Paramètres!$A$1:$I$89,3,0)*VLOOKUP('Données projet'!$B$14,Paramètres!$A$1:$I$89,5,0)</f>
        <v>-1.924263415276073E-13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349.73011349954953</v>
      </c>
      <c r="DU198" s="62">
        <f t="shared" si="209"/>
        <v>154.08406475869634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-1.7053025658242404E-13</v>
      </c>
      <c r="O199" s="14">
        <f>N199*VLOOKUP('Données projet'!$B$9,Paramètres!$A$1:$I$89,3,0)*VLOOKUP('Données projet'!$B$9,Paramètres!$A$1:$I$89,5,0)</f>
        <v>-1.0197709343628959E-13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203.63995177374335</v>
      </c>
      <c r="T199" s="62">
        <f t="shared" si="204"/>
        <v>268.97461244918378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0.52953587352342413</v>
      </c>
      <c r="AA199" s="23">
        <f>EXP(-LN(2)/25)*AA198+(1-EXP(-LN(2)/25))/(LN(2)/25)*Calculateur!V199*Calculateur!X199*VLOOKUP('Données projet'!$B$9,Paramètres!$A$1:$I$89,3,0)*0.475*44/12</f>
        <v>0.12564163541566406</v>
      </c>
      <c r="AB199" s="23">
        <f>EXP(-LN(2)/2)*AB198+(1-EXP(-LN(2)/2))/(LN(2)/2)*V199*Y199*VLOOKUP('Données projet'!$B$9,Paramètres!$A$1:$I$89,3,0)*0.475*44/12</f>
        <v>3.3108690442858392E-25</v>
      </c>
      <c r="AC199" s="24">
        <f t="shared" si="163"/>
        <v>0.65517750893908822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-1.9895196601282805E-13</v>
      </c>
      <c r="AJ199" s="14">
        <f>AI199*VLOOKUP('Données projet'!$B$10,Paramètres!$A$1:$I$89,3,0)*VLOOKUP('Données projet'!$B$10,Paramètres!$A$1:$I$89,5,0)</f>
        <v>-2.0173729353700764E-13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364.69354394930866</v>
      </c>
      <c r="AO199" s="62">
        <f t="shared" si="205"/>
        <v>159.6134369231965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241.00707378755914</v>
      </c>
      <c r="BJ199" s="62">
        <f t="shared" si="206"/>
        <v>239.93573789765657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1.4210854715202004E-13</v>
      </c>
      <c r="BZ199" s="14">
        <f>BY199*VLOOKUP('Données projet'!$B$12,Paramètres!$A$1:$I$89,3,0)*VLOOKUP('Données projet'!$B$12,Paramètres!$A$1:$I$89,5,0)</f>
        <v>9.5326413429575044E-14</v>
      </c>
      <c r="CA199" s="14">
        <f t="shared" si="170"/>
        <v>1.4400742856080346E-12</v>
      </c>
      <c r="CB199" s="22">
        <f t="shared" si="171"/>
        <v>2.6741562174905032E-12</v>
      </c>
      <c r="CC199" s="62">
        <f t="shared" si="195"/>
        <v>293.33333333333599</v>
      </c>
      <c r="CD199" s="62">
        <f ca="1">AVERAGE(OFFSET($CC$3,0,0,'Données projet'!$E$12+1,1))-AVERAGE(OFFSET($H$3,0,0,'Données projet'!$E$12+1,1))</f>
        <v>207.91006140109965</v>
      </c>
      <c r="CE199" s="62">
        <f t="shared" si="207"/>
        <v>164.93317437647255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1.4210854715202004E-13</v>
      </c>
      <c r="CU199" s="18">
        <f>CT199*VLOOKUP('Données projet'!$B$13,Paramètres!$A$1:$I$89,3,0)*VLOOKUP('Données projet'!$B$13,Paramètres!$A$1:$I$89,5,0)</f>
        <v>1.2192913345643319E-13</v>
      </c>
      <c r="CV199" s="14">
        <f t="shared" si="173"/>
        <v>1.7899324464546674E-12</v>
      </c>
      <c r="CW199" s="22">
        <f t="shared" si="174"/>
        <v>3.3298255850118335E-12</v>
      </c>
      <c r="CX199" s="62">
        <f t="shared" si="196"/>
        <v>293.33333333333667</v>
      </c>
      <c r="CY199" s="62">
        <f ca="1">AVERAGE(OFFSET($CX$3,0,0,'Données projet'!$E$13+1,1))-AVERAGE(OFFSET($H$3,0,0,'Données projet'!$E$13+1,1))</f>
        <v>255.77222823147724</v>
      </c>
      <c r="CZ199" s="62">
        <f t="shared" si="208"/>
        <v>199.6931080052031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-1.9895196601282805E-13</v>
      </c>
      <c r="DP199" s="18">
        <f>DO199*VLOOKUP('Données projet'!$B$14,Paramètres!$A$1:$I$89,3,0)*VLOOKUP('Données projet'!$B$14,Paramètres!$A$1:$I$89,5,0)</f>
        <v>-1.924263415276073E-13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349.73011349954953</v>
      </c>
      <c r="DU199" s="62">
        <f t="shared" si="209"/>
        <v>154.08406475869634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-1.7053025658242404E-13</v>
      </c>
      <c r="O200" s="14">
        <f>N200*VLOOKUP('Données projet'!$B$9,Paramètres!$A$1:$I$89,3,0)*VLOOKUP('Données projet'!$B$9,Paramètres!$A$1:$I$89,5,0)</f>
        <v>-1.0197709343628959E-13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203.63995177374335</v>
      </c>
      <c r="T200" s="62">
        <f t="shared" si="204"/>
        <v>268.97461244918378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0.51915199802862055</v>
      </c>
      <c r="AA200" s="23">
        <f>EXP(-LN(2)/25)*AA199+(1-EXP(-LN(2)/25))/(LN(2)/25)*Calculateur!V200*Calculateur!X200*VLOOKUP('Données projet'!$B$9,Paramètres!$A$1:$I$89,3,0)*0.475*44/12</f>
        <v>0.12220595828801628</v>
      </c>
      <c r="AB200" s="23">
        <f>EXP(-LN(2)/2)*AB199+(1-EXP(-LN(2)/2))/(LN(2)/2)*V200*Y200*VLOOKUP('Données projet'!$B$9,Paramètres!$A$1:$I$89,3,0)*0.475*44/12</f>
        <v>2.3411379528351406E-25</v>
      </c>
      <c r="AC200" s="24">
        <f t="shared" si="163"/>
        <v>0.64135795631663683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-1.9895196601282805E-13</v>
      </c>
      <c r="AJ200" s="14">
        <f>AI200*VLOOKUP('Données projet'!$B$10,Paramètres!$A$1:$I$89,3,0)*VLOOKUP('Données projet'!$B$10,Paramètres!$A$1:$I$89,5,0)</f>
        <v>-2.0173729353700764E-13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364.69354394930866</v>
      </c>
      <c r="AO200" s="62">
        <f t="shared" si="205"/>
        <v>159.6134369231965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241.00707378755914</v>
      </c>
      <c r="BJ200" s="62">
        <f t="shared" si="206"/>
        <v>239.93573789765657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1.4210854715202004E-13</v>
      </c>
      <c r="BZ200" s="14">
        <f>BY200*VLOOKUP('Données projet'!$B$12,Paramètres!$A$1:$I$89,3,0)*VLOOKUP('Données projet'!$B$12,Paramètres!$A$1:$I$89,5,0)</f>
        <v>9.5326413429575044E-14</v>
      </c>
      <c r="CA200" s="14">
        <f t="shared" si="170"/>
        <v>1.4400742856080346E-12</v>
      </c>
      <c r="CB200" s="22">
        <f t="shared" si="171"/>
        <v>2.6741562174905032E-12</v>
      </c>
      <c r="CC200" s="62">
        <f t="shared" si="195"/>
        <v>293.33333333333599</v>
      </c>
      <c r="CD200" s="62">
        <f ca="1">AVERAGE(OFFSET($CC$3,0,0,'Données projet'!$E$12+1,1))-AVERAGE(OFFSET($H$3,0,0,'Données projet'!$E$12+1,1))</f>
        <v>207.91006140109965</v>
      </c>
      <c r="CE200" s="62">
        <f t="shared" si="207"/>
        <v>164.93317437647255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1.4210854715202004E-13</v>
      </c>
      <c r="CU200" s="18">
        <f>CT200*VLOOKUP('Données projet'!$B$13,Paramètres!$A$1:$I$89,3,0)*VLOOKUP('Données projet'!$B$13,Paramètres!$A$1:$I$89,5,0)</f>
        <v>1.2192913345643319E-13</v>
      </c>
      <c r="CV200" s="14">
        <f t="shared" si="173"/>
        <v>1.7899324464546674E-12</v>
      </c>
      <c r="CW200" s="22">
        <f t="shared" si="174"/>
        <v>3.3298255850118335E-12</v>
      </c>
      <c r="CX200" s="62">
        <f t="shared" si="196"/>
        <v>293.33333333333667</v>
      </c>
      <c r="CY200" s="62">
        <f ca="1">AVERAGE(OFFSET($CX$3,0,0,'Données projet'!$E$13+1,1))-AVERAGE(OFFSET($H$3,0,0,'Données projet'!$E$13+1,1))</f>
        <v>255.77222823147724</v>
      </c>
      <c r="CZ200" s="62">
        <f t="shared" si="208"/>
        <v>199.6931080052031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-1.9895196601282805E-13</v>
      </c>
      <c r="DP200" s="18">
        <f>DO200*VLOOKUP('Données projet'!$B$14,Paramètres!$A$1:$I$89,3,0)*VLOOKUP('Données projet'!$B$14,Paramètres!$A$1:$I$89,5,0)</f>
        <v>-1.924263415276073E-13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349.73011349954953</v>
      </c>
      <c r="DU200" s="62">
        <f t="shared" si="209"/>
        <v>154.08406475869634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-1.7053025658242404E-13</v>
      </c>
      <c r="O201" s="14">
        <f>N201*VLOOKUP('Données projet'!$B$9,Paramètres!$A$1:$I$89,3,0)*VLOOKUP('Données projet'!$B$9,Paramètres!$A$1:$I$89,5,0)</f>
        <v>-1.0197709343628959E-13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203.63995177374335</v>
      </c>
      <c r="T201" s="62">
        <f t="shared" si="204"/>
        <v>268.97461244918378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0.50897174399873135</v>
      </c>
      <c r="AA201" s="23">
        <f>EXP(-LN(2)/25)*AA200+(1-EXP(-LN(2)/25))/(LN(2)/25)*Calculateur!V201*Calculateur!X201*VLOOKUP('Données projet'!$B$9,Paramètres!$A$1:$I$89,3,0)*0.475*44/12</f>
        <v>0.11886422993209843</v>
      </c>
      <c r="AB201" s="23">
        <f>EXP(-LN(2)/2)*AB200+(1-EXP(-LN(2)/2))/(LN(2)/2)*V201*Y201*VLOOKUP('Données projet'!$B$9,Paramètres!$A$1:$I$89,3,0)*0.475*44/12</f>
        <v>1.6554345221429196E-25</v>
      </c>
      <c r="AC201" s="24">
        <f t="shared" si="163"/>
        <v>0.62783597393082979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-1.9895196601282805E-13</v>
      </c>
      <c r="AJ201" s="14">
        <f>AI201*VLOOKUP('Données projet'!$B$10,Paramètres!$A$1:$I$89,3,0)*VLOOKUP('Données projet'!$B$10,Paramètres!$A$1:$I$89,5,0)</f>
        <v>-2.0173729353700764E-13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364.69354394930866</v>
      </c>
      <c r="AO201" s="62">
        <f t="shared" si="205"/>
        <v>159.6134369231965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241.00707378755914</v>
      </c>
      <c r="BJ201" s="62">
        <f t="shared" si="206"/>
        <v>239.93573789765657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1.4210854715202004E-13</v>
      </c>
      <c r="BZ201" s="14">
        <f>BY201*VLOOKUP('Données projet'!$B$12,Paramètres!$A$1:$I$89,3,0)*VLOOKUP('Données projet'!$B$12,Paramètres!$A$1:$I$89,5,0)</f>
        <v>9.5326413429575044E-14</v>
      </c>
      <c r="CA201" s="14">
        <f t="shared" si="170"/>
        <v>1.4400742856080346E-12</v>
      </c>
      <c r="CB201" s="22">
        <f t="shared" si="171"/>
        <v>2.6741562174905032E-12</v>
      </c>
      <c r="CC201" s="62">
        <f t="shared" si="195"/>
        <v>293.33333333333599</v>
      </c>
      <c r="CD201" s="62">
        <f ca="1">AVERAGE(OFFSET($CC$3,0,0,'Données projet'!$E$12+1,1))-AVERAGE(OFFSET($H$3,0,0,'Données projet'!$E$12+1,1))</f>
        <v>207.91006140109965</v>
      </c>
      <c r="CE201" s="62">
        <f t="shared" si="207"/>
        <v>164.93317437647255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1.4210854715202004E-13</v>
      </c>
      <c r="CU201" s="18">
        <f>CT201*VLOOKUP('Données projet'!$B$13,Paramètres!$A$1:$I$89,3,0)*VLOOKUP('Données projet'!$B$13,Paramètres!$A$1:$I$89,5,0)</f>
        <v>1.2192913345643319E-13</v>
      </c>
      <c r="CV201" s="14">
        <f t="shared" si="173"/>
        <v>1.7899324464546674E-12</v>
      </c>
      <c r="CW201" s="22">
        <f t="shared" si="174"/>
        <v>3.3298255850118335E-12</v>
      </c>
      <c r="CX201" s="62">
        <f t="shared" si="196"/>
        <v>293.33333333333667</v>
      </c>
      <c r="CY201" s="62">
        <f ca="1">AVERAGE(OFFSET($CX$3,0,0,'Données projet'!$E$13+1,1))-AVERAGE(OFFSET($H$3,0,0,'Données projet'!$E$13+1,1))</f>
        <v>255.77222823147724</v>
      </c>
      <c r="CZ201" s="62">
        <f t="shared" si="208"/>
        <v>199.6931080052031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-1.9895196601282805E-13</v>
      </c>
      <c r="DP201" s="18">
        <f>DO201*VLOOKUP('Données projet'!$B$14,Paramètres!$A$1:$I$89,3,0)*VLOOKUP('Données projet'!$B$14,Paramètres!$A$1:$I$89,5,0)</f>
        <v>-1.924263415276073E-13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349.73011349954953</v>
      </c>
      <c r="DU201" s="62">
        <f t="shared" si="209"/>
        <v>154.08406475869634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-1.7053025658242404E-13</v>
      </c>
      <c r="O202" s="14">
        <f>N202*VLOOKUP('Données projet'!$B$9,Paramètres!$A$1:$I$89,3,0)*VLOOKUP('Données projet'!$B$9,Paramètres!$A$1:$I$89,5,0)</f>
        <v>-1.0197709343628959E-13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203.63995177374335</v>
      </c>
      <c r="T202" s="62">
        <f t="shared" si="204"/>
        <v>268.97461244918378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0.49899111854102646</v>
      </c>
      <c r="AA202" s="23">
        <f>EXP(-LN(2)/25)*AA201+(1-EXP(-LN(2)/25))/(LN(2)/25)*Calculateur!V202*Calculateur!X202*VLOOKUP('Données projet'!$B$9,Paramètres!$A$1:$I$89,3,0)*0.475*44/12</f>
        <v>0.11561388131380701</v>
      </c>
      <c r="AB202" s="23">
        <f>EXP(-LN(2)/2)*AB201+(1-EXP(-LN(2)/2))/(LN(2)/2)*V202*Y202*VLOOKUP('Données projet'!$B$9,Paramètres!$A$1:$I$89,3,0)*0.475*44/12</f>
        <v>1.1705689764175703E-25</v>
      </c>
      <c r="AC202" s="24">
        <f t="shared" si="163"/>
        <v>0.61460499985483352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-1.9895196601282805E-13</v>
      </c>
      <c r="AJ202" s="14">
        <f>AI202*VLOOKUP('Données projet'!$B$10,Paramètres!$A$1:$I$89,3,0)*VLOOKUP('Données projet'!$B$10,Paramètres!$A$1:$I$89,5,0)</f>
        <v>-2.0173729353700764E-13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364.69354394930866</v>
      </c>
      <c r="AO202" s="62">
        <f t="shared" si="205"/>
        <v>159.6134369231965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241.00707378755914</v>
      </c>
      <c r="BJ202" s="62">
        <f t="shared" si="206"/>
        <v>239.93573789765657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1.4210854715202004E-13</v>
      </c>
      <c r="BZ202" s="14">
        <f>BY202*VLOOKUP('Données projet'!$B$12,Paramètres!$A$1:$I$89,3,0)*VLOOKUP('Données projet'!$B$12,Paramètres!$A$1:$I$89,5,0)</f>
        <v>9.5326413429575044E-14</v>
      </c>
      <c r="CA202" s="14">
        <f t="shared" si="170"/>
        <v>1.4400742856080346E-12</v>
      </c>
      <c r="CB202" s="22">
        <f t="shared" si="171"/>
        <v>2.6741562174905032E-12</v>
      </c>
      <c r="CC202" s="62">
        <f t="shared" si="195"/>
        <v>293.33333333333599</v>
      </c>
      <c r="CD202" s="62">
        <f ca="1">AVERAGE(OFFSET($CC$3,0,0,'Données projet'!$E$12+1,1))-AVERAGE(OFFSET($H$3,0,0,'Données projet'!$E$12+1,1))</f>
        <v>207.91006140109965</v>
      </c>
      <c r="CE202" s="62">
        <f t="shared" si="207"/>
        <v>164.93317437647255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1.4210854715202004E-13</v>
      </c>
      <c r="CU202" s="18">
        <f>CT202*VLOOKUP('Données projet'!$B$13,Paramètres!$A$1:$I$89,3,0)*VLOOKUP('Données projet'!$B$13,Paramètres!$A$1:$I$89,5,0)</f>
        <v>1.2192913345643319E-13</v>
      </c>
      <c r="CV202" s="14">
        <f t="shared" si="173"/>
        <v>1.7899324464546674E-12</v>
      </c>
      <c r="CW202" s="22">
        <f t="shared" si="174"/>
        <v>3.3298255850118335E-12</v>
      </c>
      <c r="CX202" s="62">
        <f t="shared" si="196"/>
        <v>293.33333333333667</v>
      </c>
      <c r="CY202" s="62">
        <f ca="1">AVERAGE(OFFSET($CX$3,0,0,'Données projet'!$E$13+1,1))-AVERAGE(OFFSET($H$3,0,0,'Données projet'!$E$13+1,1))</f>
        <v>255.77222823147724</v>
      </c>
      <c r="CZ202" s="62">
        <f t="shared" si="208"/>
        <v>199.6931080052031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-1.9895196601282805E-13</v>
      </c>
      <c r="DP202" s="18">
        <f>DO202*VLOOKUP('Données projet'!$B$14,Paramètres!$A$1:$I$89,3,0)*VLOOKUP('Données projet'!$B$14,Paramètres!$A$1:$I$89,5,0)</f>
        <v>-1.924263415276073E-13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349.73011349954953</v>
      </c>
      <c r="DU202" s="62">
        <f t="shared" si="209"/>
        <v>154.08406475869634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-1.7053025658242404E-13</v>
      </c>
      <c r="O203" s="14">
        <f>N203*VLOOKUP('Données projet'!$B$9,Paramètres!$A$1:$I$89,3,0)*VLOOKUP('Données projet'!$B$9,Paramètres!$A$1:$I$89,5,0)</f>
        <v>-1.0197709343628959E-13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203.63995177374335</v>
      </c>
      <c r="T203" s="62">
        <f t="shared" si="204"/>
        <v>268.97461244918378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0.48920620706096674</v>
      </c>
      <c r="AA203" s="23">
        <f>EXP(-LN(2)/25)*AA202+(1-EXP(-LN(2)/25))/(LN(2)/25)*Calculateur!V203*Calculateur!X203*VLOOKUP('Données projet'!$B$9,Paramètres!$A$1:$I$89,3,0)*0.475*44/12</f>
        <v>0.11245241364941118</v>
      </c>
      <c r="AB203" s="23">
        <f>EXP(-LN(2)/2)*AB202+(1-EXP(-LN(2)/2))/(LN(2)/2)*V203*Y203*VLOOKUP('Données projet'!$B$9,Paramètres!$A$1:$I$89,3,0)*0.475*44/12</f>
        <v>8.2771726107145979E-26</v>
      </c>
      <c r="AC203" s="24">
        <f t="shared" si="163"/>
        <v>0.6016586207103779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-1.9895196601282805E-13</v>
      </c>
      <c r="AJ203" s="14">
        <f>AI203*VLOOKUP('Données projet'!$B$10,Paramètres!$A$1:$I$89,3,0)*VLOOKUP('Données projet'!$B$10,Paramètres!$A$1:$I$89,5,0)</f>
        <v>-2.0173729353700764E-13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364.69354394930866</v>
      </c>
      <c r="AO203" s="62">
        <f t="shared" si="205"/>
        <v>159.6134369231965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241.00707378755914</v>
      </c>
      <c r="BJ203" s="62">
        <f t="shared" si="206"/>
        <v>239.93573789765657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1.4210854715202004E-13</v>
      </c>
      <c r="BZ203" s="14">
        <f>BY203*VLOOKUP('Données projet'!$B$12,Paramètres!$A$1:$I$89,3,0)*VLOOKUP('Données projet'!$B$12,Paramètres!$A$1:$I$89,5,0)</f>
        <v>9.5326413429575044E-14</v>
      </c>
      <c r="CA203" s="14">
        <f t="shared" si="170"/>
        <v>1.4400742856080346E-12</v>
      </c>
      <c r="CB203" s="22">
        <f t="shared" si="171"/>
        <v>2.6741562174905032E-12</v>
      </c>
      <c r="CC203" s="62">
        <f t="shared" si="195"/>
        <v>293.33333333333599</v>
      </c>
      <c r="CD203" s="62">
        <f ca="1">AVERAGE(OFFSET($CC$3,0,0,'Données projet'!$E$12+1,1))-AVERAGE(OFFSET($H$3,0,0,'Données projet'!$E$12+1,1))</f>
        <v>207.91006140109965</v>
      </c>
      <c r="CE203" s="62">
        <f t="shared" si="207"/>
        <v>164.93317437647255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1.4210854715202004E-13</v>
      </c>
      <c r="CU203" s="18">
        <f>CT203*VLOOKUP('Données projet'!$B$13,Paramètres!$A$1:$I$89,3,0)*VLOOKUP('Données projet'!$B$13,Paramètres!$A$1:$I$89,5,0)</f>
        <v>1.2192913345643319E-13</v>
      </c>
      <c r="CV203" s="14">
        <f t="shared" si="173"/>
        <v>1.7899324464546674E-12</v>
      </c>
      <c r="CW203" s="22">
        <f t="shared" si="174"/>
        <v>3.3298255850118335E-12</v>
      </c>
      <c r="CX203" s="62">
        <f t="shared" si="196"/>
        <v>293.33333333333667</v>
      </c>
      <c r="CY203" s="62">
        <f ca="1">AVERAGE(OFFSET($CX$3,0,0,'Données projet'!$E$13+1,1))-AVERAGE(OFFSET($H$3,0,0,'Données projet'!$E$13+1,1))</f>
        <v>255.77222823147724</v>
      </c>
      <c r="CZ203" s="62">
        <f t="shared" si="208"/>
        <v>199.6931080052031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-1.9895196601282805E-13</v>
      </c>
      <c r="DP203" s="18">
        <f>DO203*VLOOKUP('Données projet'!$B$14,Paramètres!$A$1:$I$89,3,0)*VLOOKUP('Données projet'!$B$14,Paramètres!$A$1:$I$89,5,0)</f>
        <v>-1.924263415276073E-13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349.73011349954953</v>
      </c>
      <c r="DU203" s="62">
        <f t="shared" si="209"/>
        <v>154.08406475869634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1.3269402121798277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1.2457309396155174</v>
      </c>
      <c r="BV205" s="88">
        <f>EXP(LN('Données projet'!B114)/'Données projet'!A114)</f>
        <v>1.1904804802795936</v>
      </c>
      <c r="CQ205" s="88">
        <f>EXP(LN('Données projet'!B140)/'Données projet'!A140)</f>
        <v>1.1904804802795936</v>
      </c>
      <c r="DL205" s="88">
        <f>EXP(LN('Données projet'!B166)/'Données projet'!A166)</f>
        <v>1.1457367676485573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F19" sqref="F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2.548</v>
      </c>
      <c r="C6" s="156">
        <f ca="1">IF(OR('Données projet'!B9="",'Données projet'!C9="",'Données projet'!C9=0%),0,Calculateur!S3)</f>
        <v>203.63995177374335</v>
      </c>
      <c r="D6" s="156">
        <f>IF(OR('Données projet'!B9="",'Données projet'!C9="",'Données projet'!C9=0%),0,Calculateur!T3)</f>
        <v>268.97461244918378</v>
      </c>
      <c r="E6" s="156">
        <f ca="1">MIN(C6,D6)</f>
        <v>203.63995177374335</v>
      </c>
      <c r="F6" s="156">
        <f ca="1">E6*B6</f>
        <v>518.87459711949805</v>
      </c>
      <c r="G6" s="156">
        <f ca="1">F6*(100%-'Données projet'!$C$24)*(100%-'Données projet'!$C$25)*(100%-'Données projet'!$C$26)*(100%-'Données projet'!$C$27)</f>
        <v>443.63778053717078</v>
      </c>
      <c r="H6" s="157">
        <f>IF(OR('Données projet'!B9="",'Données projet'!C9="",'Données projet'!C9=0%),0,AVERAGE(Calculateur!$AC$3:$AC$33)*B6)</f>
        <v>17.606670167696386</v>
      </c>
      <c r="I6" s="158">
        <f>H6*(100%-'Données projet'!$C$24)*(100%-'Données projet'!$C$25)*(100%-'Données projet'!$C$26)*(100%-'Données projet'!$C$27)</f>
        <v>15.05370299338041</v>
      </c>
      <c r="J6" s="159">
        <f>IF(OR('Données projet'!B9="",'Données projet'!C9="",'Données projet'!C9=0%),0,SUM(Calculateur!$V$3:$V$33)*VLOOKUP('Données projet'!$B$9,Paramètres!$A$1:$I$89,9,0)*B6)</f>
        <v>170.62682000000001</v>
      </c>
      <c r="K6" s="160">
        <f>J6*(100%-'Données projet'!$C$24)*(100%-'Données projet'!$C$25)*(100%-'Données projet'!$C$26)*(100%-'Données projet'!$C$27)</f>
        <v>145.88593109999999</v>
      </c>
      <c r="L6" s="161">
        <f ca="1">G6+I6+K6</f>
        <v>604.57741463055117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0.36400000000000005</v>
      </c>
      <c r="C7" s="156">
        <f ca="1">IF(OR('Données projet'!B10="",'Données projet'!C10="",'Données projet'!C10=0%),0,Calculateur!AN3)</f>
        <v>364.69354394930866</v>
      </c>
      <c r="D7" s="156">
        <f>IF(OR('Données projet'!B10="",'Données projet'!C10="",'Données projet'!C10=0%),0,Calculateur!AO3)</f>
        <v>159.6134369231965</v>
      </c>
      <c r="E7" s="156">
        <f t="shared" ref="E7:E15" ca="1" si="0">MIN(C7,D7)</f>
        <v>159.6134369231965</v>
      </c>
      <c r="F7" s="156">
        <f t="shared" ref="F7:F15" ca="1" si="1">E7*B7</f>
        <v>58.099291040043532</v>
      </c>
      <c r="G7" s="156">
        <f ca="1">F7*(100%-'Données projet'!$C$24)*(100%-'Données projet'!$C$25)*(100%-'Données projet'!$C$26)*(100%-'Données projet'!$C$27)</f>
        <v>49.674893839237214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49.674893839237214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rouge d'Amérique</v>
      </c>
      <c r="B8" s="163">
        <f>'Données projet'!D11</f>
        <v>0.36400000000000005</v>
      </c>
      <c r="C8" s="156">
        <f ca="1">IF(OR('Données projet'!B11="",'Données projet'!C11="",'Données projet'!C11=0%),0,Calculateur!BI3)</f>
        <v>241.00707378755914</v>
      </c>
      <c r="D8" s="156">
        <f>IF(OR('Données projet'!B11="",'Données projet'!C11="",'Données projet'!C11=0%),0,Calculateur!BJ3)</f>
        <v>239.93573789765657</v>
      </c>
      <c r="E8" s="156">
        <f t="shared" ca="1" si="0"/>
        <v>239.93573789765657</v>
      </c>
      <c r="F8" s="156">
        <f t="shared" ca="1" si="1"/>
        <v>87.336608594747005</v>
      </c>
      <c r="G8" s="156">
        <f ca="1">F8*(100%-'Données projet'!$C$24)*(100%-'Données projet'!$C$25)*(100%-'Données projet'!$C$26)*(100%-'Données projet'!$C$27)</f>
        <v>74.672800348508687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3.5490000000000004</v>
      </c>
      <c r="K8" s="160">
        <f>J8*(100%-'Données projet'!$C$24)*(100%-'Données projet'!$C$25)*(100%-'Données projet'!$C$26)*(100%-'Données projet'!$C$27)</f>
        <v>3.0343950000000004</v>
      </c>
      <c r="L8" s="161">
        <f t="shared" ca="1" si="2"/>
        <v>77.707195348508691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Tilleul</v>
      </c>
      <c r="B9" s="163">
        <f>'Données projet'!D12</f>
        <v>0.18928</v>
      </c>
      <c r="C9" s="156">
        <f ca="1">IF(OR('Données projet'!B12="",'Données projet'!C12="",'Données projet'!C12=0%),0,Calculateur!CD3)</f>
        <v>207.91006140109965</v>
      </c>
      <c r="D9" s="156">
        <f>IF(OR('Données projet'!B12="",'Données projet'!C12="",'Données projet'!C12=0%),0,Calculateur!CE3)</f>
        <v>164.93317437647255</v>
      </c>
      <c r="E9" s="156">
        <f t="shared" ca="1" si="0"/>
        <v>164.93317437647255</v>
      </c>
      <c r="F9" s="156">
        <f t="shared" ca="1" si="1"/>
        <v>31.218551245978723</v>
      </c>
      <c r="G9" s="156">
        <f ca="1">F9*(100%-'Données projet'!$C$24)*(100%-'Données projet'!$C$25)*(100%-'Données projet'!$C$26)*(100%-'Données projet'!$C$27)</f>
        <v>26.691861315311808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1.2436666666666667</v>
      </c>
      <c r="K9" s="160">
        <f>J9*(100%-'Données projet'!$C$24)*(100%-'Données projet'!$C$25)*(100%-'Données projet'!$C$26)*(100%-'Données projet'!$C$27)</f>
        <v>1.0633349999999999</v>
      </c>
      <c r="L9" s="161">
        <f t="shared" ca="1" si="2"/>
        <v>27.755196315311807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Micocoulier de Provence</v>
      </c>
      <c r="B10" s="163">
        <f>'Données projet'!D13</f>
        <v>7.2800000000000004E-2</v>
      </c>
      <c r="C10" s="156">
        <f ca="1">IF(OR('Données projet'!B13="",'Données projet'!C13="",'Données projet'!C13=0%),0,Calculateur!CY3)</f>
        <v>255.77222823147724</v>
      </c>
      <c r="D10" s="156">
        <f>IF(OR('Données projet'!B13="",'Données projet'!C13="",'Données projet'!C13=0%),0,Calculateur!CZ3)</f>
        <v>199.6931080052031</v>
      </c>
      <c r="E10" s="156">
        <f t="shared" ca="1" si="0"/>
        <v>199.6931080052031</v>
      </c>
      <c r="F10" s="156">
        <f t="shared" ca="1" si="1"/>
        <v>14.537658262778786</v>
      </c>
      <c r="G10" s="156">
        <f ca="1">F10*(100%-'Données projet'!$C$24)*(100%-'Données projet'!$C$25)*(100%-'Données projet'!$C$26)*(100%-'Données projet'!$C$27)</f>
        <v>12.429697814675862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0.47833333333333333</v>
      </c>
      <c r="K10" s="160">
        <f>J10*(100%-'Données projet'!$C$24)*(100%-'Données projet'!$C$25)*(100%-'Données projet'!$C$26)*(100%-'Données projet'!$C$27)</f>
        <v>0.40897499999999998</v>
      </c>
      <c r="L10" s="161">
        <f t="shared" ca="1" si="2"/>
        <v>12.838672814675862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Alisier torminal</v>
      </c>
      <c r="B11" s="163">
        <f>'Données projet'!D14</f>
        <v>7.2800000000000004E-2</v>
      </c>
      <c r="C11" s="156">
        <f ca="1">IF(OR('Données projet'!B14="",'Données projet'!C14="",'Données projet'!C14=0%),0,Calculateur!DT3)</f>
        <v>349.73011349954953</v>
      </c>
      <c r="D11" s="156">
        <f>IF(OR('Données projet'!B14="",'Données projet'!C14="",'Données projet'!C14=0%),0,Calculateur!DU3)</f>
        <v>154.08406475869634</v>
      </c>
      <c r="E11" s="156">
        <f t="shared" ca="1" si="0"/>
        <v>154.08406475869634</v>
      </c>
      <c r="F11" s="156">
        <f t="shared" ca="1" si="1"/>
        <v>11.217319914433094</v>
      </c>
      <c r="G11" s="156">
        <f ca="1">F11*(100%-'Données projet'!$C$24)*(100%-'Données projet'!$C$25)*(100%-'Données projet'!$C$26)*(100%-'Données projet'!$C$27)</f>
        <v>9.5908085268402967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ca="1" si="2"/>
        <v>9.5908085268402967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721.28402617747918</v>
      </c>
      <c r="G16" s="175">
        <f t="shared" ca="1" si="3"/>
        <v>616.69784238174464</v>
      </c>
      <c r="H16" s="176">
        <f t="shared" si="3"/>
        <v>17.606670167696386</v>
      </c>
      <c r="I16" s="176">
        <f t="shared" si="3"/>
        <v>15.05370299338041</v>
      </c>
      <c r="J16" s="177">
        <f t="shared" si="3"/>
        <v>175.89782</v>
      </c>
      <c r="K16" s="177">
        <f t="shared" si="3"/>
        <v>150.39263609999998</v>
      </c>
      <c r="L16" s="178">
        <f t="shared" ca="1" si="3"/>
        <v>782.14418147512504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Tilleul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Micocoulier de Provence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Alisier torminal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I6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622.81770816641199</v>
      </c>
      <c r="U10" s="190">
        <f>'Données projet'!D9</f>
        <v>2.548</v>
      </c>
      <c r="V10" s="189">
        <f>U10*T10</f>
        <v>1586.9395204080179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279.61500338292893</v>
      </c>
      <c r="U11" s="190">
        <f>'Données projet'!D10</f>
        <v>0.36400000000000005</v>
      </c>
      <c r="V11" s="189">
        <f t="shared" ref="V11" si="0">U11*T11</f>
        <v>101.77986123138615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495.69019121257543</v>
      </c>
      <c r="U12" s="190">
        <f>'Données projet'!D11</f>
        <v>0.36400000000000005</v>
      </c>
      <c r="V12" s="189">
        <f t="shared" ref="V12:V19" si="1">U12*T12</f>
        <v>180.43122960137748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Tilleul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289.24986733798511</v>
      </c>
      <c r="U13" s="190">
        <f>'Données projet'!D12</f>
        <v>0.18928</v>
      </c>
      <c r="V13" s="189">
        <f t="shared" si="1"/>
        <v>54.749214889733821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Micocoulier de Provence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254.33942030932303</v>
      </c>
      <c r="U14" s="190">
        <f>'Données projet'!D13</f>
        <v>7.2800000000000004E-2</v>
      </c>
      <c r="V14" s="189">
        <f t="shared" si="1"/>
        <v>18.515909798518717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Alisier torminal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279.61500338292893</v>
      </c>
      <c r="U15" s="190">
        <f>'Données projet'!D14</f>
        <v>7.2800000000000004E-2</v>
      </c>
      <c r="V15" s="189">
        <f t="shared" si="1"/>
        <v>20.355972246277226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7425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-25064.228291824689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14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16</v>
      </c>
      <c r="B25" s="193">
        <f>'Données projet'!D38</f>
        <v>23.1</v>
      </c>
      <c r="C25" s="206">
        <v>10</v>
      </c>
      <c r="D25" s="194">
        <f t="shared" si="2"/>
        <v>231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-25064.228291824689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18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22</v>
      </c>
      <c r="B28" s="193">
        <f>'Données projet'!D41</f>
        <v>35.9</v>
      </c>
      <c r="C28" s="206">
        <v>15</v>
      </c>
      <c r="D28" s="194">
        <f t="shared" si="2"/>
        <v>538.5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26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29</v>
      </c>
      <c r="B30" s="193">
        <f>'Données projet'!D43</f>
        <v>54.5</v>
      </c>
      <c r="C30" s="206">
        <v>20</v>
      </c>
      <c r="D30" s="194">
        <f t="shared" si="2"/>
        <v>1090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30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32</v>
      </c>
      <c r="B32" s="193">
        <f>'Données projet'!D45</f>
        <v>0</v>
      </c>
      <c r="C32" s="206">
        <v>30</v>
      </c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34</v>
      </c>
      <c r="B33" s="193">
        <f>'Données projet'!D46</f>
        <v>60.2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38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42</v>
      </c>
      <c r="B35" s="193">
        <f>'Données projet'!D48</f>
        <v>0</v>
      </c>
      <c r="C35" s="206">
        <v>40</v>
      </c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47</v>
      </c>
      <c r="B36" s="193">
        <f>'Données projet'!D49</f>
        <v>326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13</v>
      </c>
      <c r="C56" s="204">
        <v>10</v>
      </c>
      <c r="D56" s="191">
        <f t="shared" si="4"/>
        <v>130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28</v>
      </c>
      <c r="C58" s="204">
        <v>10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28</v>
      </c>
      <c r="C60" s="204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28</v>
      </c>
      <c r="C62" s="204">
        <v>20</v>
      </c>
      <c r="D62" s="191">
        <f t="shared" si="4"/>
        <v>560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28</v>
      </c>
      <c r="C64" s="204">
        <v>30</v>
      </c>
      <c r="D64" s="191">
        <f t="shared" si="4"/>
        <v>840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28</v>
      </c>
      <c r="C66" s="204">
        <v>40</v>
      </c>
      <c r="D66" s="191">
        <f t="shared" si="4"/>
        <v>1120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100</v>
      </c>
      <c r="B68" s="193">
        <f>'Données projet'!D76</f>
        <v>42</v>
      </c>
      <c r="C68" s="204">
        <v>50</v>
      </c>
      <c r="D68" s="191">
        <f t="shared" si="4"/>
        <v>2100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115</v>
      </c>
      <c r="B69" s="193">
        <f>'Données projet'!D77</f>
        <v>40</v>
      </c>
      <c r="C69" s="204">
        <v>60</v>
      </c>
      <c r="D69" s="191">
        <f t="shared" si="4"/>
        <v>2400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130</v>
      </c>
      <c r="B70" s="193">
        <f>'Données projet'!D78</f>
        <v>33</v>
      </c>
      <c r="C70" s="204">
        <v>70</v>
      </c>
      <c r="D70" s="191">
        <f t="shared" si="4"/>
        <v>2310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150</v>
      </c>
      <c r="B71" s="193">
        <f>'Données projet'!D79</f>
        <v>232</v>
      </c>
      <c r="C71" s="204">
        <v>120</v>
      </c>
      <c r="D71" s="191">
        <f t="shared" si="4"/>
        <v>27840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str">
        <f>IF(O80+1&lt;=MIN('Données projet'!$E$9:$E$18),O80+1,"STOP")</f>
        <v>STOP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15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25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30</v>
      </c>
      <c r="B89" s="193">
        <f>'Données projet'!D92</f>
        <v>39</v>
      </c>
      <c r="C89" s="204">
        <v>10</v>
      </c>
      <c r="D89" s="191">
        <f t="shared" si="6"/>
        <v>390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35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40</v>
      </c>
      <c r="B91" s="193">
        <f>'Données projet'!D94</f>
        <v>24</v>
      </c>
      <c r="C91" s="204">
        <v>15</v>
      </c>
      <c r="D91" s="191">
        <f t="shared" si="6"/>
        <v>360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45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50</v>
      </c>
      <c r="B93" s="193">
        <f>'Données projet'!D96</f>
        <v>23</v>
      </c>
      <c r="C93" s="204">
        <v>20</v>
      </c>
      <c r="D93" s="191">
        <f t="shared" si="6"/>
        <v>460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55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60</v>
      </c>
      <c r="B95" s="193">
        <f>'Données projet'!D98</f>
        <v>21</v>
      </c>
      <c r="C95" s="204">
        <v>25</v>
      </c>
      <c r="D95" s="191">
        <f t="shared" si="6"/>
        <v>525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65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70</v>
      </c>
      <c r="B97" s="193">
        <f>'Données projet'!D100</f>
        <v>18</v>
      </c>
      <c r="C97" s="204">
        <v>30</v>
      </c>
      <c r="D97" s="191">
        <f t="shared" si="6"/>
        <v>540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75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80</v>
      </c>
      <c r="B99" s="193">
        <f>'Données projet'!D102</f>
        <v>16</v>
      </c>
      <c r="C99" s="204">
        <v>40</v>
      </c>
      <c r="D99" s="191">
        <f t="shared" si="6"/>
        <v>640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85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90</v>
      </c>
      <c r="B101" s="193">
        <f>'Données projet'!D104</f>
        <v>16</v>
      </c>
      <c r="C101" s="204">
        <v>50</v>
      </c>
      <c r="D101" s="191">
        <f t="shared" si="6"/>
        <v>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95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100</v>
      </c>
      <c r="B103" s="193">
        <f>'Données projet'!D106</f>
        <v>186</v>
      </c>
      <c r="C103" s="204">
        <v>80</v>
      </c>
      <c r="D103" s="191">
        <f t="shared" si="6"/>
        <v>14880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Tilleul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26.282051282051281</v>
      </c>
      <c r="C118" s="204">
        <v>10</v>
      </c>
      <c r="D118" s="191">
        <f t="shared" si="8"/>
        <v>262.82051282051282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21.794871794871796</v>
      </c>
      <c r="C120" s="204">
        <v>10</v>
      </c>
      <c r="D120" s="191">
        <f t="shared" si="8"/>
        <v>217.94871794871796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21.794871794871796</v>
      </c>
      <c r="C122" s="204">
        <v>15</v>
      </c>
      <c r="D122" s="191">
        <f t="shared" si="8"/>
        <v>326.92307692307691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21.794871794871796</v>
      </c>
      <c r="C124" s="204">
        <v>20</v>
      </c>
      <c r="D124" s="191">
        <f t="shared" si="8"/>
        <v>435.89743589743591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19.871794871794872</v>
      </c>
      <c r="C126" s="204">
        <v>20</v>
      </c>
      <c r="D126" s="191">
        <f t="shared" si="8"/>
        <v>397.43589743589746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18.589743589743588</v>
      </c>
      <c r="C128" s="204">
        <v>25</v>
      </c>
      <c r="D128" s="191">
        <f t="shared" si="8"/>
        <v>464.74358974358967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17.307692307692307</v>
      </c>
      <c r="C130" s="204">
        <v>30</v>
      </c>
      <c r="D130" s="191">
        <f t="shared" si="8"/>
        <v>519.23076923076917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95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100</v>
      </c>
      <c r="B132" s="193">
        <f>'Données projet'!D130</f>
        <v>16.025641025641026</v>
      </c>
      <c r="C132" s="204">
        <v>30</v>
      </c>
      <c r="D132" s="191">
        <f t="shared" si="8"/>
        <v>480.76923076923077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105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210.89743589743588</v>
      </c>
      <c r="C134" s="204">
        <v>40</v>
      </c>
      <c r="D134" s="191">
        <f t="shared" si="8"/>
        <v>8435.8974358974356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Micocoulier de Provence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26.282051282051281</v>
      </c>
      <c r="C149" s="204">
        <v>10</v>
      </c>
      <c r="D149" s="194">
        <f t="shared" si="10"/>
        <v>262.82051282051282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21.794871794871796</v>
      </c>
      <c r="C151" s="204">
        <v>10</v>
      </c>
      <c r="D151" s="194">
        <f t="shared" si="10"/>
        <v>217.94871794871796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21.794871794871796</v>
      </c>
      <c r="C153" s="204">
        <v>10</v>
      </c>
      <c r="D153" s="194">
        <f t="shared" si="10"/>
        <v>217.94871794871796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7">
        <f>'Données projet'!D148</f>
        <v>21.794871794871796</v>
      </c>
      <c r="C155" s="204">
        <v>10</v>
      </c>
      <c r="D155" s="194">
        <f t="shared" si="10"/>
        <v>217.94871794871796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7">
        <f>'Données projet'!D150</f>
        <v>19.871794871794872</v>
      </c>
      <c r="C157" s="204">
        <v>15</v>
      </c>
      <c r="D157" s="194">
        <f t="shared" si="10"/>
        <v>298.07692307692309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7">
        <f>'Données projet'!D152</f>
        <v>18.589743589743588</v>
      </c>
      <c r="C159" s="204">
        <v>20</v>
      </c>
      <c r="D159" s="194">
        <f t="shared" si="10"/>
        <v>371.79487179487177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85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90</v>
      </c>
      <c r="B161" s="187">
        <f>'Données projet'!D154</f>
        <v>17.307692307692307</v>
      </c>
      <c r="C161" s="204">
        <v>30</v>
      </c>
      <c r="D161" s="194">
        <f t="shared" si="10"/>
        <v>519.23076923076917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95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100</v>
      </c>
      <c r="B163" s="187">
        <f>'Données projet'!D156</f>
        <v>16.025641025641026</v>
      </c>
      <c r="C163" s="204">
        <v>30</v>
      </c>
      <c r="D163" s="194">
        <f t="shared" si="10"/>
        <v>480.76923076923077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105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7">
        <f>'Données projet'!D158</f>
        <v>210.89743589743588</v>
      </c>
      <c r="C165" s="204">
        <v>40</v>
      </c>
      <c r="D165" s="194">
        <f t="shared" si="10"/>
        <v>8435.8974358974356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Alisier torminal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25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30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35</v>
      </c>
      <c r="B180" s="193">
        <f>'Données projet'!D168</f>
        <v>13</v>
      </c>
      <c r="C180" s="204">
        <v>10</v>
      </c>
      <c r="D180" s="191">
        <f t="shared" si="11"/>
        <v>130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40</v>
      </c>
      <c r="B181" s="193">
        <f>'Données projet'!D169</f>
        <v>0</v>
      </c>
      <c r="C181" s="204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45</v>
      </c>
      <c r="B182" s="193">
        <f>'Données projet'!D170</f>
        <v>28</v>
      </c>
      <c r="C182" s="204">
        <v>10</v>
      </c>
      <c r="D182" s="191">
        <f t="shared" si="11"/>
        <v>280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50</v>
      </c>
      <c r="B183" s="193">
        <f>'Données projet'!D171</f>
        <v>0</v>
      </c>
      <c r="C183" s="204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55</v>
      </c>
      <c r="B184" s="193">
        <f>'Données projet'!D172</f>
        <v>28</v>
      </c>
      <c r="C184" s="204">
        <v>15</v>
      </c>
      <c r="D184" s="191">
        <f t="shared" si="11"/>
        <v>420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60</v>
      </c>
      <c r="B185" s="193">
        <f>'Données projet'!D173</f>
        <v>0</v>
      </c>
      <c r="C185" s="204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65</v>
      </c>
      <c r="B186" s="193">
        <f>'Données projet'!D174</f>
        <v>28</v>
      </c>
      <c r="C186" s="204">
        <v>20</v>
      </c>
      <c r="D186" s="191">
        <f t="shared" si="11"/>
        <v>560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70</v>
      </c>
      <c r="B187" s="193">
        <f>'Données projet'!D175</f>
        <v>0</v>
      </c>
      <c r="C187" s="204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75</v>
      </c>
      <c r="B188" s="193">
        <f>'Données projet'!D176</f>
        <v>28</v>
      </c>
      <c r="C188" s="204">
        <v>30</v>
      </c>
      <c r="D188" s="191">
        <f t="shared" si="11"/>
        <v>840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80</v>
      </c>
      <c r="B189" s="193">
        <f>'Données projet'!D177</f>
        <v>0</v>
      </c>
      <c r="C189" s="204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85</v>
      </c>
      <c r="B190" s="193">
        <f>'Données projet'!D178</f>
        <v>28</v>
      </c>
      <c r="C190" s="204">
        <v>40</v>
      </c>
      <c r="D190" s="191">
        <f t="shared" si="11"/>
        <v>1120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90</v>
      </c>
      <c r="B191" s="193">
        <f>'Données projet'!D179</f>
        <v>0</v>
      </c>
      <c r="C191" s="204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100</v>
      </c>
      <c r="B192" s="193">
        <f>'Données projet'!D180</f>
        <v>42</v>
      </c>
      <c r="C192" s="204">
        <v>50</v>
      </c>
      <c r="D192" s="191">
        <f t="shared" si="11"/>
        <v>2100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115</v>
      </c>
      <c r="B193" s="193">
        <f>'Données projet'!D181</f>
        <v>40</v>
      </c>
      <c r="C193" s="204">
        <v>60</v>
      </c>
      <c r="D193" s="191">
        <f t="shared" si="11"/>
        <v>2400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130</v>
      </c>
      <c r="B194" s="193">
        <f>'Données projet'!D182</f>
        <v>33</v>
      </c>
      <c r="C194" s="204">
        <v>70</v>
      </c>
      <c r="D194" s="191">
        <f t="shared" si="11"/>
        <v>2310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150</v>
      </c>
      <c r="B195" s="193">
        <f>'Données projet'!D183</f>
        <v>232</v>
      </c>
      <c r="C195" s="204">
        <v>120</v>
      </c>
      <c r="D195" s="191">
        <f t="shared" si="11"/>
        <v>27840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2023-07-19T06:54:57Z</dcterms:modified>
</cp:coreProperties>
</file>