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79 - Fomperron &amp; Chantecorps\"/>
    </mc:Choice>
  </mc:AlternateContent>
  <bookViews>
    <workbookView xWindow="0" yWindow="0" windowWidth="11748" windowHeight="5316" tabRatio="514" activeTab="5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REE" sheetId="4" r:id="rId5"/>
    <sheet name="VAN" sheetId="6" r:id="rId6"/>
    <sheet name="Scénario référence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3" i="1" l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D95" i="1" l="1"/>
  <c r="B88" i="1"/>
  <c r="D88" i="1" s="1"/>
  <c r="B173" i="1" l="1"/>
  <c r="D172" i="1"/>
  <c r="B172" i="1"/>
  <c r="B171" i="1"/>
  <c r="D170" i="1"/>
  <c r="B170" i="1"/>
  <c r="B169" i="1"/>
  <c r="D168" i="1"/>
  <c r="B168" i="1"/>
  <c r="B167" i="1"/>
  <c r="B121" i="1"/>
  <c r="D120" i="1"/>
  <c r="B120" i="1"/>
  <c r="B119" i="1"/>
  <c r="D118" i="1"/>
  <c r="B118" i="1"/>
  <c r="B117" i="1"/>
  <c r="D116" i="1"/>
  <c r="B116" i="1"/>
  <c r="B115" i="1"/>
  <c r="B69" i="1"/>
  <c r="D68" i="1"/>
  <c r="B68" i="1"/>
  <c r="B67" i="1"/>
  <c r="D66" i="1"/>
  <c r="B66" i="1"/>
  <c r="B65" i="1"/>
  <c r="D64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W20" i="2"/>
  <c r="EC20" i="2"/>
  <c r="HG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HH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EA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HG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I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FQ112" i="2"/>
  <c r="HI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W113" i="2"/>
  <c r="EX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FS130" i="2"/>
  <c r="EW130" i="2"/>
  <c r="HG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DI154" i="2"/>
  <c r="EX155" i="2"/>
  <c r="HH155" i="2"/>
  <c r="HG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X156" i="2"/>
  <c r="AB156" i="2"/>
  <c r="DH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G157" i="2"/>
  <c r="EC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HG160" i="2"/>
  <c r="HH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A161" i="2"/>
  <c r="ED160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HH162" i="2"/>
  <c r="HG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Y163" i="2" s="1"/>
  <c r="HG163" i="2"/>
  <c r="HI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X164" i="2" l="1"/>
  <c r="EA164" i="2"/>
  <c r="DI163" i="2"/>
  <c r="FS164" i="2"/>
  <c r="HH164" i="2"/>
  <c r="EV164" i="2"/>
  <c r="HG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HH167" i="2"/>
  <c r="EC167" i="2"/>
  <c r="HI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EV168" i="2"/>
  <c r="EY168" i="2" s="1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HH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V179" i="2"/>
  <c r="EY179" i="2" s="1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V185" i="2"/>
  <c r="EW185" i="2"/>
  <c r="HH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HH186" i="2"/>
  <c r="FR186" i="2"/>
  <c r="EA186" i="2"/>
  <c r="HG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Y189" i="2" s="1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X195" i="2"/>
  <c r="AA195" i="2"/>
  <c r="DH195" i="2"/>
  <c r="HI195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EB199" i="2"/>
  <c r="HH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HH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Z6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34" i="2" l="1" a="1"/>
  <c r="CS134" i="2" s="1"/>
  <c r="CS38" i="2" a="1"/>
  <c r="CS38" i="2" s="1"/>
  <c r="CS77" i="2" a="1"/>
  <c r="CS77" i="2" s="1"/>
  <c r="CS105" i="2" a="1"/>
  <c r="CS105" i="2" s="1"/>
  <c r="CS56" i="2" a="1"/>
  <c r="CS56" i="2" s="1"/>
  <c r="FR203" i="2"/>
  <c r="CS116" i="2" a="1"/>
  <c r="CS116" i="2" s="1"/>
  <c r="CS66" i="2" a="1"/>
  <c r="CS66" i="2" s="1"/>
  <c r="CS185" i="2" a="1"/>
  <c r="CS185" i="2" s="1"/>
  <c r="CS161" i="2" a="1"/>
  <c r="CS161" i="2" s="1"/>
  <c r="CS24" i="2" a="1"/>
  <c r="CS24" i="2" s="1"/>
  <c r="CS120" i="2" a="1"/>
  <c r="CS120" i="2" s="1"/>
  <c r="CS137" i="2" a="1"/>
  <c r="CS137" i="2" s="1"/>
  <c r="CS129" i="2" a="1"/>
  <c r="CS129" i="2" s="1"/>
  <c r="CS52" i="2" a="1"/>
  <c r="CS52" i="2" s="1"/>
  <c r="CS114" i="2" a="1"/>
  <c r="CS114" i="2" s="1"/>
  <c r="HG203" i="2"/>
  <c r="BP203" i="2"/>
  <c r="EC203" i="2"/>
  <c r="EX203" i="2"/>
  <c r="EY203" i="2" s="1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67" i="2" l="1"/>
  <c r="CY196" i="2"/>
  <c r="CY141" i="2"/>
  <c r="CY24" i="2"/>
  <c r="CY123" i="2"/>
  <c r="CY38" i="2"/>
  <c r="CY109" i="2"/>
  <c r="CY103" i="2"/>
  <c r="CY46" i="2"/>
  <c r="CY39" i="2"/>
  <c r="CY108" i="2"/>
  <c r="CY178" i="2"/>
  <c r="CY64" i="2"/>
  <c r="CY143" i="2"/>
  <c r="CY120" i="2"/>
  <c r="CY47" i="2"/>
  <c r="CY102" i="2"/>
  <c r="CY7" i="2"/>
  <c r="CY170" i="2"/>
  <c r="CY165" i="2"/>
  <c r="CY124" i="2"/>
  <c r="CY137" i="2"/>
  <c r="CY156" i="2"/>
  <c r="CY37" i="2"/>
  <c r="CY171" i="2"/>
  <c r="CY52" i="2"/>
  <c r="CY16" i="2"/>
  <c r="CY154" i="2"/>
  <c r="CY113" i="2"/>
  <c r="CY88" i="2"/>
  <c r="CY182" i="2"/>
  <c r="CY160" i="2"/>
  <c r="CY69" i="2"/>
  <c r="CY144" i="2"/>
  <c r="CY122" i="2"/>
  <c r="CY119" i="2"/>
  <c r="CY121" i="2"/>
  <c r="CY174" i="2"/>
  <c r="CY138" i="2"/>
  <c r="CY107" i="2"/>
  <c r="CY125" i="2"/>
  <c r="CY198" i="2"/>
  <c r="CY66" i="2"/>
  <c r="CY78" i="2"/>
  <c r="CY27" i="2"/>
  <c r="CY184" i="2"/>
  <c r="CY111" i="2"/>
  <c r="CY181" i="2"/>
  <c r="CY157" i="2"/>
  <c r="CY177" i="2"/>
  <c r="CY145" i="2"/>
  <c r="CY8" i="2"/>
  <c r="CY130" i="2"/>
  <c r="CY50" i="2"/>
  <c r="CY91" i="2"/>
  <c r="CY70" i="2"/>
  <c r="CY134" i="2"/>
  <c r="CY187" i="2"/>
  <c r="CY57" i="2"/>
  <c r="CY176" i="2"/>
  <c r="CY80" i="2"/>
  <c r="CY99" i="2"/>
  <c r="CY56" i="2"/>
  <c r="CY22" i="2"/>
  <c r="CY132" i="2"/>
  <c r="CY71" i="2"/>
  <c r="CY116" i="2"/>
  <c r="CY183" i="2"/>
  <c r="CY95" i="2"/>
  <c r="CY21" i="2"/>
  <c r="CY61" i="2"/>
  <c r="CY166" i="2"/>
  <c r="CY126" i="2"/>
  <c r="CY112" i="2"/>
  <c r="CY79" i="2"/>
  <c r="CY168" i="2"/>
  <c r="CY199" i="2"/>
  <c r="CY139" i="2"/>
  <c r="CY32" i="2"/>
  <c r="CY180" i="2"/>
  <c r="CY173" i="2"/>
  <c r="CY101" i="2"/>
  <c r="CY163" i="2"/>
  <c r="CY55" i="2"/>
  <c r="CY172" i="2"/>
  <c r="CY201" i="2"/>
  <c r="CY197" i="2"/>
  <c r="CY72" i="2"/>
  <c r="CY87" i="2"/>
  <c r="CY18" i="2"/>
  <c r="CY105" i="2"/>
  <c r="CY149" i="2"/>
  <c r="CY110" i="2"/>
  <c r="CY89" i="2"/>
  <c r="CY6" i="2"/>
  <c r="CY67" i="2"/>
  <c r="CY59" i="2"/>
  <c r="CY128" i="2"/>
  <c r="CY131" i="2"/>
  <c r="CY129" i="2"/>
  <c r="CY169" i="2"/>
  <c r="CY188" i="2"/>
  <c r="CY158" i="2"/>
  <c r="CY12" i="2"/>
  <c r="CY65" i="2"/>
  <c r="CY43" i="2"/>
  <c r="CY133" i="2"/>
  <c r="CY42" i="2"/>
  <c r="CY195" i="2"/>
  <c r="CY63" i="2"/>
  <c r="CY40" i="2"/>
  <c r="CY104" i="2"/>
  <c r="CY200" i="2"/>
  <c r="CY53" i="2"/>
  <c r="CY81" i="2"/>
  <c r="CY45" i="2"/>
  <c r="CY146" i="2"/>
  <c r="CY14" i="2"/>
  <c r="CY127" i="2"/>
  <c r="CY175" i="2"/>
  <c r="CY194" i="2"/>
  <c r="CY106" i="2"/>
  <c r="CY82" i="2"/>
  <c r="CY98" i="2"/>
  <c r="CY94" i="2"/>
  <c r="CY51" i="2"/>
  <c r="CY44" i="2"/>
  <c r="CY164" i="2"/>
  <c r="CY179" i="2"/>
  <c r="CY23" i="2"/>
  <c r="CY142" i="2"/>
  <c r="CY117" i="2"/>
  <c r="CY60" i="2"/>
  <c r="CY33" i="2"/>
  <c r="CY140" i="2"/>
  <c r="CY9" i="2"/>
  <c r="CY192" i="2"/>
  <c r="CY93" i="2"/>
  <c r="CY118" i="2"/>
  <c r="CY186" i="2"/>
  <c r="CY100" i="2"/>
  <c r="CY92" i="2"/>
  <c r="CY73" i="2"/>
  <c r="CY135" i="2"/>
  <c r="CY147" i="2"/>
  <c r="CY25" i="2"/>
  <c r="CY190" i="2"/>
  <c r="CY29" i="2"/>
  <c r="CY10" i="2"/>
  <c r="CY162" i="2"/>
  <c r="CY49" i="2"/>
  <c r="CY191" i="2"/>
  <c r="CY84" i="2"/>
  <c r="CY68" i="2"/>
  <c r="CY159" i="2"/>
  <c r="CY86" i="2"/>
  <c r="CY77" i="2"/>
  <c r="CY26" i="2"/>
  <c r="CY189" i="2"/>
  <c r="CY41" i="2"/>
  <c r="CY96" i="2"/>
  <c r="CY58" i="2"/>
  <c r="CY54" i="2"/>
  <c r="CY13" i="2"/>
  <c r="CY136" i="2"/>
  <c r="CY152" i="2"/>
  <c r="CY161" i="2"/>
  <c r="CY35" i="2"/>
  <c r="CY36" i="2"/>
  <c r="CY76" i="2"/>
  <c r="CY83" i="2"/>
  <c r="CY114" i="2"/>
  <c r="CY148" i="2"/>
  <c r="CY34" i="2"/>
  <c r="CY48" i="2"/>
  <c r="CY75" i="2"/>
  <c r="CY4" i="2"/>
  <c r="CY153" i="2"/>
  <c r="CY85" i="2"/>
  <c r="CY19" i="2"/>
  <c r="CY202" i="2"/>
  <c r="CY203" i="2"/>
  <c r="CY28" i="2"/>
  <c r="CY155" i="2"/>
  <c r="CY74" i="2"/>
  <c r="CY15" i="2"/>
  <c r="CY31" i="2"/>
  <c r="CY62" i="2"/>
  <c r="CY20" i="2"/>
  <c r="CY11" i="2"/>
  <c r="CY30" i="2"/>
  <c r="CY90" i="2"/>
  <c r="CY193" i="2"/>
  <c r="CY17" i="2"/>
  <c r="CY115" i="2"/>
  <c r="CY3" i="2"/>
  <c r="C10" i="4" s="1"/>
  <c r="E10" i="4" s="1"/>
  <c r="F10" i="4" s="1"/>
  <c r="G10" i="4" s="1"/>
  <c r="L10" i="4" s="1"/>
  <c r="CY150" i="2"/>
  <c r="CY185" i="2"/>
  <c r="CY151" i="2"/>
  <c r="CY97" i="2"/>
  <c r="CY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27" i="2" l="1"/>
  <c r="DT186" i="2"/>
  <c r="DT7" i="2"/>
  <c r="DT178" i="2"/>
  <c r="DT158" i="2"/>
  <c r="DT183" i="2"/>
  <c r="DT25" i="2"/>
  <c r="DT44" i="2"/>
  <c r="DT179" i="2"/>
  <c r="DT91" i="2"/>
  <c r="DT70" i="2"/>
  <c r="DT190" i="2"/>
  <c r="DT191" i="2"/>
  <c r="DT132" i="2"/>
  <c r="DT195" i="2"/>
  <c r="DT56" i="2"/>
  <c r="DT32" i="2"/>
  <c r="DT69" i="2"/>
  <c r="DT167" i="2"/>
  <c r="DT102" i="2"/>
  <c r="DT18" i="2"/>
  <c r="DT17" i="2"/>
  <c r="DT139" i="2"/>
  <c r="DT77" i="2"/>
  <c r="DT48" i="2"/>
  <c r="DT38" i="2"/>
  <c r="DT127" i="2"/>
  <c r="DT101" i="2"/>
  <c r="DT152" i="2"/>
  <c r="DT57" i="2"/>
  <c r="DT146" i="2"/>
  <c r="DT157" i="2"/>
  <c r="DT110" i="2"/>
  <c r="DT30" i="2"/>
  <c r="DT83" i="2"/>
  <c r="DT75" i="2"/>
  <c r="DT201" i="2"/>
  <c r="DT8" i="2"/>
  <c r="DT61" i="2"/>
  <c r="DT92" i="2"/>
  <c r="DT98" i="2"/>
  <c r="DT41" i="2"/>
  <c r="DT13" i="2"/>
  <c r="DT16" i="2"/>
  <c r="DT90" i="2"/>
  <c r="DT161" i="2"/>
  <c r="DT135" i="2"/>
  <c r="DT9" i="2"/>
  <c r="DT33" i="2"/>
  <c r="DT187" i="2"/>
  <c r="DT171" i="2"/>
  <c r="DT142" i="2"/>
  <c r="DT162" i="2"/>
  <c r="DT122" i="2"/>
  <c r="DT202" i="2"/>
  <c r="DT23" i="2"/>
  <c r="DT200" i="2"/>
  <c r="DT74" i="2"/>
  <c r="DT37" i="2"/>
  <c r="DT51" i="2"/>
  <c r="DT149" i="2"/>
  <c r="DT203" i="2"/>
  <c r="DT166" i="2"/>
  <c r="DT194" i="2"/>
  <c r="DT52" i="2"/>
  <c r="DT85" i="2"/>
  <c r="DT20" i="2"/>
  <c r="DT14" i="2"/>
  <c r="DT177" i="2"/>
  <c r="DT105" i="2"/>
  <c r="DT67" i="2"/>
  <c r="DT154" i="2"/>
  <c r="DT15" i="2"/>
  <c r="DT147" i="2"/>
  <c r="DT58" i="2"/>
  <c r="DT106" i="2"/>
  <c r="DT107" i="2"/>
  <c r="DT163" i="2"/>
  <c r="DT145" i="2"/>
  <c r="DT55" i="2"/>
  <c r="DT10" i="2"/>
  <c r="DT117" i="2"/>
  <c r="DT87" i="2"/>
  <c r="DT155" i="2"/>
  <c r="DT95" i="2"/>
  <c r="DT11" i="2"/>
  <c r="DT62" i="2"/>
  <c r="DT141" i="2"/>
  <c r="DT125" i="2"/>
  <c r="DT182" i="2"/>
  <c r="DT199" i="2"/>
  <c r="DT22" i="2"/>
  <c r="DT40" i="2"/>
  <c r="DT54" i="2"/>
  <c r="DT123" i="2"/>
  <c r="DT68" i="2"/>
  <c r="DT59" i="2"/>
  <c r="DT140" i="2"/>
  <c r="DT26" i="2"/>
  <c r="DT96" i="2"/>
  <c r="DT72" i="2"/>
  <c r="DT108" i="2"/>
  <c r="DT196" i="2"/>
  <c r="DT19" i="2"/>
  <c r="DT100" i="2"/>
  <c r="DT112" i="2"/>
  <c r="DT148" i="2"/>
  <c r="DT185" i="2"/>
  <c r="DT188" i="2"/>
  <c r="DT35" i="2"/>
  <c r="DT197" i="2"/>
  <c r="DT144" i="2"/>
  <c r="DT192" i="2"/>
  <c r="DT93" i="2"/>
  <c r="DT181" i="2"/>
  <c r="DT39" i="2"/>
  <c r="DT12" i="2"/>
  <c r="DT128" i="2"/>
  <c r="DT118" i="2"/>
  <c r="DT111" i="2"/>
  <c r="DT116" i="2"/>
  <c r="DT115" i="2"/>
  <c r="DT153" i="2"/>
  <c r="DT73" i="2"/>
  <c r="DT114" i="2"/>
  <c r="DT165" i="2"/>
  <c r="DT120" i="2"/>
  <c r="DT136" i="2"/>
  <c r="DT29" i="2"/>
  <c r="DT184" i="2"/>
  <c r="DT86" i="2"/>
  <c r="DT126" i="2"/>
  <c r="DT76" i="2"/>
  <c r="DT82" i="2"/>
  <c r="DT46" i="2"/>
  <c r="DT176" i="2"/>
  <c r="DT78" i="2"/>
  <c r="DT172" i="2"/>
  <c r="DT168" i="2"/>
  <c r="DT170" i="2"/>
  <c r="DT169" i="2"/>
  <c r="DT94" i="2"/>
  <c r="DT49" i="2"/>
  <c r="DT164" i="2"/>
  <c r="DT198" i="2"/>
  <c r="DT42" i="2"/>
  <c r="DT6" i="2"/>
  <c r="DT53" i="2"/>
  <c r="DT143" i="2"/>
  <c r="DT60" i="2"/>
  <c r="DT137" i="2"/>
  <c r="DT43" i="2"/>
  <c r="DT80" i="2"/>
  <c r="DT45" i="2"/>
  <c r="DT31" i="2"/>
  <c r="DT21" i="2"/>
  <c r="DT65" i="2"/>
  <c r="DT4" i="2"/>
  <c r="DT34" i="2"/>
  <c r="DT189" i="2"/>
  <c r="DT104" i="2"/>
  <c r="DT131" i="2"/>
  <c r="DT99" i="2"/>
  <c r="DT71" i="2"/>
  <c r="DT64" i="2"/>
  <c r="DT103" i="2"/>
  <c r="DT81" i="2"/>
  <c r="DT124" i="2"/>
  <c r="DT193" i="2"/>
  <c r="DT109" i="2"/>
  <c r="DT160" i="2"/>
  <c r="DT138" i="2"/>
  <c r="DT3" i="2"/>
  <c r="C11" i="4" s="1"/>
  <c r="E11" i="4" s="1"/>
  <c r="F11" i="4" s="1"/>
  <c r="G11" i="4" s="1"/>
  <c r="L11" i="4" s="1"/>
  <c r="DT133" i="2"/>
  <c r="DT36" i="2"/>
  <c r="DT113" i="2"/>
  <c r="DT66" i="2"/>
  <c r="DT130" i="2"/>
  <c r="DT173" i="2"/>
  <c r="DT84" i="2"/>
  <c r="DT151" i="2"/>
  <c r="DT97" i="2"/>
  <c r="DT174" i="2"/>
  <c r="DT50" i="2"/>
  <c r="DT180" i="2"/>
  <c r="DT150" i="2"/>
  <c r="DT89" i="2"/>
  <c r="DT47" i="2"/>
  <c r="DT79" i="2"/>
  <c r="DT134" i="2"/>
  <c r="DT121" i="2"/>
  <c r="DT88" i="2"/>
  <c r="DT63" i="2"/>
  <c r="DT5" i="2"/>
  <c r="DT129" i="2"/>
  <c r="DT159" i="2"/>
  <c r="DT24" i="2"/>
  <c r="DT156" i="2"/>
  <c r="DT119" i="2"/>
  <c r="DT175" i="2"/>
  <c r="DT28" i="2"/>
  <c r="CD60" i="2"/>
  <c r="CD70" i="2"/>
  <c r="CD151" i="2"/>
  <c r="CD37" i="2"/>
  <c r="CD144" i="2"/>
  <c r="CD143" i="2"/>
  <c r="CD189" i="2"/>
  <c r="CD36" i="2"/>
  <c r="CD126" i="2"/>
  <c r="CD117" i="2"/>
  <c r="CD78" i="2"/>
  <c r="CD145" i="2"/>
  <c r="CD136" i="2"/>
  <c r="CD153" i="2"/>
  <c r="CD164" i="2"/>
  <c r="CD21" i="2"/>
  <c r="CD124" i="2"/>
  <c r="CD129" i="2"/>
  <c r="CD121" i="2"/>
  <c r="CD65" i="2"/>
  <c r="CD181" i="2"/>
  <c r="CD162" i="2"/>
  <c r="CD114" i="2"/>
  <c r="CD74" i="2"/>
  <c r="CD29" i="2"/>
  <c r="CD40" i="2"/>
  <c r="CD35" i="2"/>
  <c r="CD72" i="2"/>
  <c r="CD14" i="2"/>
  <c r="CD10" i="2"/>
  <c r="CD194" i="2"/>
  <c r="CD101" i="2"/>
  <c r="CD90" i="2"/>
  <c r="CD4" i="2"/>
  <c r="CD75" i="2"/>
  <c r="CD161" i="2"/>
  <c r="CD115" i="2"/>
  <c r="CD128" i="2"/>
  <c r="CD67" i="2"/>
  <c r="CD6" i="2"/>
  <c r="CD142" i="2"/>
  <c r="CD185" i="2"/>
  <c r="CD188" i="2"/>
  <c r="CD172" i="2"/>
  <c r="CD112" i="2"/>
  <c r="CD16" i="2"/>
  <c r="CD47" i="2"/>
  <c r="CD11" i="2"/>
  <c r="CD169" i="2"/>
  <c r="CD105" i="2"/>
  <c r="CD23" i="2"/>
  <c r="CD163" i="2"/>
  <c r="CD9" i="2"/>
  <c r="CD159" i="2"/>
  <c r="CD63" i="2"/>
  <c r="CD166" i="2"/>
  <c r="CD41" i="2"/>
  <c r="CD71" i="2"/>
  <c r="CD73" i="2"/>
  <c r="CD61" i="2"/>
  <c r="CD187" i="2"/>
  <c r="CD57" i="2"/>
  <c r="CD56" i="2"/>
  <c r="CD33" i="2"/>
  <c r="CD167" i="2"/>
  <c r="CD7" i="2"/>
  <c r="CD165" i="2"/>
  <c r="CD92" i="2"/>
  <c r="CD87" i="2"/>
  <c r="CD193" i="2"/>
  <c r="CD202" i="2"/>
  <c r="CD81" i="2"/>
  <c r="CD19" i="2"/>
  <c r="CD199" i="2"/>
  <c r="CD140" i="2"/>
  <c r="CD107" i="2"/>
  <c r="CD108" i="2"/>
  <c r="CD49" i="2"/>
  <c r="CD120" i="2"/>
  <c r="CD25" i="2"/>
  <c r="CD30" i="2"/>
  <c r="CD179" i="2"/>
  <c r="CD170" i="2"/>
  <c r="CD186" i="2"/>
  <c r="CD64" i="2"/>
  <c r="CD191" i="2"/>
  <c r="CD34" i="2"/>
  <c r="CD177" i="2"/>
  <c r="CD102" i="2"/>
  <c r="CD31" i="2"/>
  <c r="CD195" i="2"/>
  <c r="CD98" i="2"/>
  <c r="CD133" i="2"/>
  <c r="CD12" i="2"/>
  <c r="CD176" i="2"/>
  <c r="CD84" i="2"/>
  <c r="CD94" i="2"/>
  <c r="CD190" i="2"/>
  <c r="CD158" i="2"/>
  <c r="CD173" i="2"/>
  <c r="CD150" i="2"/>
  <c r="CD58" i="2"/>
  <c r="CD86" i="2"/>
  <c r="CD200" i="2"/>
  <c r="CD171" i="2"/>
  <c r="CD183" i="2"/>
  <c r="CD132" i="2"/>
  <c r="CD197" i="2"/>
  <c r="CD69" i="2"/>
  <c r="CD113" i="2"/>
  <c r="CD46" i="2"/>
  <c r="CD82" i="2"/>
  <c r="CD76" i="2"/>
  <c r="CD62" i="2"/>
  <c r="CD27" i="2"/>
  <c r="CD201" i="2"/>
  <c r="CD77" i="2"/>
  <c r="CD147" i="2"/>
  <c r="CD66" i="2"/>
  <c r="CD18" i="2"/>
  <c r="CD139" i="2"/>
  <c r="CD97" i="2"/>
  <c r="CD50" i="2"/>
  <c r="CD96" i="2"/>
  <c r="CD79" i="2"/>
  <c r="CD141" i="2"/>
  <c r="CD184" i="2"/>
  <c r="CD3" i="2"/>
  <c r="C9" i="4" s="1"/>
  <c r="E9" i="4" s="1"/>
  <c r="F9" i="4" s="1"/>
  <c r="G9" i="4" s="1"/>
  <c r="L9" i="4" s="1"/>
  <c r="CD137" i="2"/>
  <c r="CD155" i="2"/>
  <c r="CD45" i="2"/>
  <c r="CD93" i="2"/>
  <c r="CD127" i="2"/>
  <c r="CD51" i="2"/>
  <c r="CD100" i="2"/>
  <c r="CD85" i="2"/>
  <c r="CD8" i="2"/>
  <c r="CD110" i="2"/>
  <c r="CD175" i="2"/>
  <c r="CD123" i="2"/>
  <c r="CD131" i="2"/>
  <c r="CD55" i="2"/>
  <c r="CD154" i="2"/>
  <c r="CD157" i="2"/>
  <c r="CD203" i="2"/>
  <c r="CD88" i="2"/>
  <c r="CD122" i="2"/>
  <c r="CD22" i="2"/>
  <c r="CD17" i="2"/>
  <c r="CD42" i="2"/>
  <c r="CD26" i="2"/>
  <c r="CD146" i="2"/>
  <c r="CD95" i="2"/>
  <c r="CD192" i="2"/>
  <c r="CD174" i="2"/>
  <c r="CD119" i="2"/>
  <c r="CD160" i="2"/>
  <c r="CD32" i="2"/>
  <c r="CD44" i="2"/>
  <c r="CD13" i="2"/>
  <c r="CD111" i="2"/>
  <c r="CD180" i="2"/>
  <c r="CD52" i="2"/>
  <c r="CD24" i="2"/>
  <c r="CD118" i="2"/>
  <c r="CD38" i="2"/>
  <c r="CD48" i="2"/>
  <c r="CD53" i="2"/>
  <c r="CD109" i="2"/>
  <c r="CD54" i="2"/>
  <c r="CD99" i="2"/>
  <c r="CD28" i="2"/>
  <c r="CD152" i="2"/>
  <c r="CD135" i="2"/>
  <c r="CD103" i="2"/>
  <c r="CD83" i="2"/>
  <c r="CD39" i="2"/>
  <c r="CD182" i="2"/>
  <c r="CD106" i="2"/>
  <c r="CD125" i="2"/>
  <c r="CD43" i="2"/>
  <c r="CD148" i="2"/>
  <c r="CD80" i="2"/>
  <c r="CD134" i="2"/>
  <c r="CD89" i="2"/>
  <c r="CD138" i="2"/>
  <c r="CD178" i="2"/>
  <c r="CD91" i="2"/>
  <c r="CD168" i="2"/>
  <c r="CD5" i="2"/>
  <c r="CD68" i="2"/>
  <c r="CD196" i="2"/>
  <c r="CD149" i="2"/>
  <c r="CD104" i="2"/>
  <c r="CD20" i="2"/>
  <c r="CD59" i="2"/>
  <c r="CD156" i="2"/>
  <c r="CD130" i="2"/>
  <c r="CD15" i="2"/>
  <c r="CD198" i="2"/>
  <c r="CD11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<sst xmlns="http://schemas.openxmlformats.org/spreadsheetml/2006/main" count="1176" uniqueCount="325">
  <si>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</si>
  <si>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</si>
  <si>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</si>
  <si>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</si>
  <si>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</si>
  <si>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</si>
  <si>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</si>
  <si>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</si>
  <si>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</si>
  <si>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</si>
  <si>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</si>
  <si>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</si>
  <si>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</si>
  <si>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</si>
  <si>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</si>
  <si>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</si>
  <si>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</si>
  <si>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</si>
  <si>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</si>
  <si>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</si>
  <si>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</si>
  <si>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</si>
  <si>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</si>
  <si>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</si>
  <si>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</si>
  <si>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</si>
  <si>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</si>
  <si>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</si>
  <si>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</si>
  <si>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</si>
  <si>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</si>
  <si>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</si>
  <si>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</si>
  <si>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</si>
  <si>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</si>
  <si>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</si>
  <si>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</si>
  <si>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</si>
  <si>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</si>
  <si>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</si>
  <si>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</si>
  <si>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</si>
  <si>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</si>
  <si>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</si>
  <si>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</si>
  <si>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</si>
  <si>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</si>
  <si>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</si>
  <si>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</si>
  <si>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</si>
  <si>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</si>
  <si>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</si>
  <si>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</si>
  <si>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</si>
  <si>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</si>
  <si>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</si>
  <si>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</si>
  <si>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</si>
  <si>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</si>
  <si>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</si>
  <si>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</si>
  <si>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</si>
  <si>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</si>
  <si>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</si>
  <si>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</si>
  <si>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</si>
  <si>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</si>
  <si>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</si>
  <si>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</si>
  <si>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</si>
  <si>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</si>
  <si>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</si>
  <si>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</si>
  <si>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</si>
  <si>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</si>
  <si>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</si>
  <si>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</si>
  <si>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</si>
  <si>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</si>
  <si>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</si>
  <si>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</si>
  <si>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</si>
  <si>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</si>
  <si>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</si>
  <si>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</si>
  <si>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</si>
  <si>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</si>
  <si>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</si>
  <si>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</si>
  <si>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</si>
  <si>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</si>
  <si>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</si>
  <si>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</si>
  <si>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</si>
  <si>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</si>
  <si>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</si>
  <si>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</si>
  <si>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</si>
  <si>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</si>
  <si>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</si>
  <si>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</si>
  <si>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</si>
  <si>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</si>
  <si>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</si>
  <si>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</si>
  <si>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</si>
  <si>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</si>
  <si>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</si>
  <si>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</si>
  <si>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</si>
  <si>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</si>
  <si>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</si>
  <si>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</si>
  <si>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</si>
  <si>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</si>
  <si>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</si>
  <si>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</si>
  <si>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</si>
  <si>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</si>
  <si>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</si>
  <si>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</si>
  <si>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</si>
  <si>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</si>
  <si>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</si>
  <si>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</si>
  <si>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</si>
  <si>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</si>
  <si>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</si>
  <si>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</si>
  <si>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</si>
  <si>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</si>
  <si>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</si>
  <si>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</si>
  <si>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</si>
  <si>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</si>
  <si>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</si>
  <si>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</si>
  <si>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</si>
  <si>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</si>
  <si>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</si>
  <si>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</si>
  <si>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</si>
  <si>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</si>
  <si>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</si>
  <si>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</si>
  <si>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</si>
  <si>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</si>
  <si>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</si>
  <si>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</si>
  <si>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</si>
  <si>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</si>
  <si>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</si>
  <si>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</si>
  <si>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</si>
  <si>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</si>
  <si>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</si>
  <si>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</si>
  <si>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</si>
  <si>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</si>
  <si>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</si>
  <si>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</si>
  <si>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</si>
  <si>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</si>
  <si>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</si>
  <si>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</si>
  <si>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</si>
  <si>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</si>
  <si>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</si>
  <si>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</si>
  <si>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</si>
  <si>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</si>
  <si>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</si>
  <si>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</si>
  <si>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</si>
  <si>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</si>
  <si>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</si>
  <si>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</si>
  <si>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</si>
  <si>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</si>
  <si>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</si>
  <si>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</si>
  <si>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</si>
  <si>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</si>
  <si>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</si>
  <si>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</si>
  <si>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</si>
  <si>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</si>
  <si>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</si>
  <si>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</si>
  <si>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</si>
  <si>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</si>
  <si>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</si>
  <si>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</si>
  <si>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</si>
  <si>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</si>
  <si>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</si>
  <si>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</si>
  <si>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</si>
  <si>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</si>
  <si>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</si>
  <si>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</si>
  <si>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</si>
  <si>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</si>
  <si>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</si>
  <si>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</si>
  <si>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</si>
  <si>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</si>
  <si>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</si>
  <si>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</si>
  <si>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</si>
  <si>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</si>
  <si>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</si>
  <si>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</si>
  <si>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</si>
  <si>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</si>
  <si>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</si>
  <si>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</si>
  <si>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</si>
  <si>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</si>
  <si>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</si>
  <si>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</si>
  <si>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</si>
  <si>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</si>
  <si>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</si>
  <si>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</si>
  <si>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</si>
  <si>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</si>
  <si>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</si>
  <si>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</si>
  <si>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</si>
  <si>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</si>
  <si>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</si>
  <si>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</si>
  <si>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</si>
  <si>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</si>
  <si>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</si>
  <si>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</si>
  <si>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</si>
  <si>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</si>
  <si>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</si>
  <si>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</si>
  <si>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</si>
  <si>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</si>
  <si>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</si>
  <si>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</si>
  <si>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</si>
  <si>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</si>
  <si>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</si>
  <si>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</si>
  <si>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</si>
  <si>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</si>
  <si>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</si>
  <si>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</si>
  <si>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</si>
  <si>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</si>
  <si>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</si>
  <si>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</si>
  <si>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</si>
  <si>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</si>
  <si>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</si>
  <si>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</si>
  <si>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</si>
  <si>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</si>
  <si>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</si>
  <si>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</si>
  <si>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</si>
  <si>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</si>
  <si>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</si>
  <si>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</si>
  <si>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</si>
  <si>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</si>
  <si>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</si>
  <si>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</si>
  <si>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</si>
  <si>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</si>
  <si>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</si>
  <si>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</si>
  <si>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</si>
  <si>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</si>
  <si>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</si>
  <si>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</si>
  <si>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</si>
  <si>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</si>
  <si>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</si>
  <si>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</si>
  <si>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</si>
  <si>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</si>
  <si>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</si>
  <si>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</si>
  <si>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</si>
  <si>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</si>
  <si>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</si>
  <si>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</si>
  <si>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</si>
  <si>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</si>
  <si>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</si>
  <si>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</si>
  <si>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</si>
  <si>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</si>
  <si>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</si>
  <si>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</si>
  <si>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</si>
  <si>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</si>
  <si>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</si>
  <si>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</si>
  <si>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</si>
  <si>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</si>
  <si>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</si>
  <si>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</si>
  <si>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</si>
  <si>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</si>
  <si>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</si>
  <si>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</si>
  <si>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</si>
  <si>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</si>
  <si>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</si>
  <si>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</si>
  <si>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</si>
  <si>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</si>
  <si>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</si>
  <si>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</si>
  <si>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</si>
  <si>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</si>
  <si>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</si>
  <si>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 défaut de pouvoir renseigner le chêne des marais, c'est le chêne sessile qui est renseigné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</si>
</sst>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57501648"/>
        <c:axId val="-257499472"/>
      </c:scatterChart>
      <c:valAx>
        <c:axId val="-257501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57499472"/>
        <c:crosses val="autoZero"/>
        <c:crossBetween val="midCat"/>
      </c:valAx>
      <c:valAx>
        <c:axId val="-25749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5750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074496"/>
        <c:axId val="-1908072864"/>
      </c:scatterChart>
      <c:valAx>
        <c:axId val="-1908074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2864"/>
        <c:crosses val="autoZero"/>
        <c:crossBetween val="midCat"/>
      </c:valAx>
      <c:valAx>
        <c:axId val="-190807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60523408"/>
        <c:axId val="-260521776"/>
      </c:scatterChart>
      <c:valAx>
        <c:axId val="-260523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60521776"/>
        <c:crosses val="autoZero"/>
        <c:crossBetween val="midCat"/>
      </c:valAx>
      <c:valAx>
        <c:axId val="-26052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6052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60537008"/>
        <c:axId val="-260536464"/>
      </c:scatterChart>
      <c:valAx>
        <c:axId val="-260537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60536464"/>
        <c:crosses val="autoZero"/>
        <c:crossBetween val="midCat"/>
      </c:valAx>
      <c:valAx>
        <c:axId val="-26053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60537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60534288"/>
        <c:axId val="-260531568"/>
      </c:scatterChart>
      <c:valAx>
        <c:axId val="-260534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60531568"/>
        <c:crosses val="autoZero"/>
        <c:crossBetween val="midCat"/>
      </c:valAx>
      <c:valAx>
        <c:axId val="-26053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6053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156.24214880368183</c:v>
                </c:pt>
                <c:pt idx="27">
                  <c:v>169.22684490502496</c:v>
                </c:pt>
                <c:pt idx="28">
                  <c:v>182.18806689822361</c:v>
                </c:pt>
                <c:pt idx="29">
                  <c:v>195.12772108945578</c:v>
                </c:pt>
                <c:pt idx="30">
                  <c:v>208.04744001071947</c:v>
                </c:pt>
                <c:pt idx="31">
                  <c:v>220.68552368043743</c:v>
                </c:pt>
                <c:pt idx="32">
                  <c:v>233.30699569911027</c:v>
                </c:pt>
                <c:pt idx="33">
                  <c:v>245.9128817487364</c:v>
                </c:pt>
                <c:pt idx="34">
                  <c:v>258.50409369643472</c:v>
                </c:pt>
                <c:pt idx="35">
                  <c:v>271.0814472717563</c:v>
                </c:pt>
                <c:pt idx="36">
                  <c:v>229.1016182515626</c:v>
                </c:pt>
                <c:pt idx="37">
                  <c:v>240.92485492099104</c:v>
                </c:pt>
                <c:pt idx="38">
                  <c:v>252.73488898992335</c:v>
                </c:pt>
                <c:pt idx="39">
                  <c:v>264.53242465514222</c:v>
                </c:pt>
                <c:pt idx="40">
                  <c:v>276.31809813367369</c:v>
                </c:pt>
                <c:pt idx="41">
                  <c:v>287.83095256623977</c:v>
                </c:pt>
                <c:pt idx="42">
                  <c:v>299.33351098507438</c:v>
                </c:pt>
                <c:pt idx="43">
                  <c:v>310.8262249693355</c:v>
                </c:pt>
                <c:pt idx="44">
                  <c:v>322.30950996229876</c:v>
                </c:pt>
                <c:pt idx="45">
                  <c:v>333.78374937501832</c:v>
                </c:pt>
                <c:pt idx="46">
                  <c:v>287.04631762262659</c:v>
                </c:pt>
                <c:pt idx="47">
                  <c:v>297.76556965124479</c:v>
                </c:pt>
                <c:pt idx="48">
                  <c:v>308.47622271912411</c:v>
                </c:pt>
                <c:pt idx="49">
                  <c:v>319.17861763286845</c:v>
                </c:pt>
                <c:pt idx="50">
                  <c:v>329.87307046604047</c:v>
                </c:pt>
                <c:pt idx="51">
                  <c:v>339.7781670611667</c:v>
                </c:pt>
                <c:pt idx="52">
                  <c:v>349.67691259476118</c:v>
                </c:pt>
                <c:pt idx="53">
                  <c:v>359.56951229543256</c:v>
                </c:pt>
                <c:pt idx="54">
                  <c:v>369.45615917184494</c:v>
                </c:pt>
                <c:pt idx="55">
                  <c:v>379.33703505493219</c:v>
                </c:pt>
                <c:pt idx="56">
                  <c:v>331.69818048501043</c:v>
                </c:pt>
                <c:pt idx="57">
                  <c:v>341.34154369544399</c:v>
                </c:pt>
                <c:pt idx="58">
                  <c:v>350.97891730211518</c:v>
                </c:pt>
                <c:pt idx="59">
                  <c:v>360.61048905039712</c:v>
                </c:pt>
                <c:pt idx="60">
                  <c:v>370.23643583282006</c:v>
                </c:pt>
                <c:pt idx="61">
                  <c:v>379.3370350549323</c:v>
                </c:pt>
                <c:pt idx="62">
                  <c:v>388.4328841840873</c:v>
                </c:pt>
                <c:pt idx="63">
                  <c:v>397.52411019447635</c:v>
                </c:pt>
                <c:pt idx="64">
                  <c:v>406.61083377583185</c:v>
                </c:pt>
                <c:pt idx="65">
                  <c:v>415.69316978100875</c:v>
                </c:pt>
                <c:pt idx="66">
                  <c:v>367.37524535104586</c:v>
                </c:pt>
                <c:pt idx="67">
                  <c:v>376.21737131771482</c:v>
                </c:pt>
                <c:pt idx="68">
                  <c:v>385.05497224896385</c:v>
                </c:pt>
                <c:pt idx="69">
                  <c:v>393.88816670507435</c:v>
                </c:pt>
                <c:pt idx="70">
                  <c:v>402.7170674919883</c:v>
                </c:pt>
                <c:pt idx="71">
                  <c:v>410.76329650784623</c:v>
                </c:pt>
                <c:pt idx="72">
                  <c:v>418.80612334095326</c:v>
                </c:pt>
                <c:pt idx="73">
                  <c:v>426.84562257899665</c:v>
                </c:pt>
                <c:pt idx="74">
                  <c:v>434.88186576924096</c:v>
                </c:pt>
                <c:pt idx="75">
                  <c:v>442.91492159758701</c:v>
                </c:pt>
                <c:pt idx="76">
                  <c:v>396.22564203021716</c:v>
                </c:pt>
                <c:pt idx="77">
                  <c:v>404.01507966776506</c:v>
                </c:pt>
                <c:pt idx="78">
                  <c:v>411.80127018050945</c:v>
                </c:pt>
                <c:pt idx="79">
                  <c:v>419.58428366133921</c:v>
                </c:pt>
                <c:pt idx="80">
                  <c:v>427.3641873890769</c:v>
                </c:pt>
                <c:pt idx="81">
                  <c:v>434.88186576924096</c:v>
                </c:pt>
                <c:pt idx="82">
                  <c:v>442.39675481769376</c:v>
                </c:pt>
                <c:pt idx="83">
                  <c:v>449.90890862564248</c:v>
                </c:pt>
                <c:pt idx="84">
                  <c:v>457.41837932963108</c:v>
                </c:pt>
                <c:pt idx="85">
                  <c:v>464.92521721380871</c:v>
                </c:pt>
                <c:pt idx="86">
                  <c:v>425.28984676277349</c:v>
                </c:pt>
                <c:pt idx="87">
                  <c:v>437.4735191242716</c:v>
                </c:pt>
                <c:pt idx="88">
                  <c:v>449.64991379832867</c:v>
                </c:pt>
                <c:pt idx="89">
                  <c:v>461.81925563737559</c:v>
                </c:pt>
                <c:pt idx="90">
                  <c:v>473.98175667722558</c:v>
                </c:pt>
                <c:pt idx="91">
                  <c:v>475.7926201291105</c:v>
                </c:pt>
                <c:pt idx="92">
                  <c:v>477.60333694072818</c:v>
                </c:pt>
                <c:pt idx="93">
                  <c:v>479.41390774717394</c:v>
                </c:pt>
                <c:pt idx="94">
                  <c:v>481.2243331783481</c:v>
                </c:pt>
                <c:pt idx="95">
                  <c:v>483.03461385901966</c:v>
                </c:pt>
                <c:pt idx="96">
                  <c:v>441.61948025110092</c:v>
                </c:pt>
                <c:pt idx="97">
                  <c:v>448.095877722669</c:v>
                </c:pt>
                <c:pt idx="98">
                  <c:v>454.57027201710929</c:v>
                </c:pt>
                <c:pt idx="99">
                  <c:v>461.04269570891194</c:v>
                </c:pt>
                <c:pt idx="100">
                  <c:v>467.51318038276719</c:v>
                </c:pt>
                <c:pt idx="101">
                  <c:v>473.72304989047893</c:v>
                </c:pt>
                <c:pt idx="102">
                  <c:v>479.93118696287434</c:v>
                </c:pt>
                <c:pt idx="103">
                  <c:v>486.13761718470818</c:v>
                </c:pt>
                <c:pt idx="104">
                  <c:v>492.34236543378728</c:v>
                </c:pt>
                <c:pt idx="105">
                  <c:v>498.54545590936368</c:v>
                </c:pt>
                <c:pt idx="106">
                  <c:v>504.7469121590421</c:v>
                </c:pt>
                <c:pt idx="107">
                  <c:v>510.94675710429465</c:v>
                </c:pt>
                <c:pt idx="108">
                  <c:v>517.14501306467344</c:v>
                </c:pt>
                <c:pt idx="109">
                  <c:v>523.34170178080001</c:v>
                </c:pt>
                <c:pt idx="110">
                  <c:v>529.5368444362108</c:v>
                </c:pt>
                <c:pt idx="111">
                  <c:v>467.90134847617452</c:v>
                </c:pt>
                <c:pt idx="112">
                  <c:v>473.46434009613796</c:v>
                </c:pt>
                <c:pt idx="113">
                  <c:v>479.02594054825886</c:v>
                </c:pt>
                <c:pt idx="114">
                  <c:v>484.58616827417518</c:v>
                </c:pt>
                <c:pt idx="115">
                  <c:v>490.14504125750909</c:v>
                </c:pt>
                <c:pt idx="116">
                  <c:v>495.70257704042325</c:v>
                </c:pt>
                <c:pt idx="117">
                  <c:v>501.2587927393958</c:v>
                </c:pt>
                <c:pt idx="118">
                  <c:v>506.81370506025837</c:v>
                </c:pt>
                <c:pt idx="119">
                  <c:v>512.36733031254118</c:v>
                </c:pt>
                <c:pt idx="120">
                  <c:v>517.91968442316272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99823712"/>
        <c:axId val="-299820992"/>
      </c:scatterChart>
      <c:valAx>
        <c:axId val="-2998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9820992"/>
        <c:crosses val="autoZero"/>
        <c:crossBetween val="midCat"/>
      </c:valAx>
      <c:valAx>
        <c:axId val="-29982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98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99825888"/>
        <c:axId val="-1908073952"/>
      </c:scatterChart>
      <c:valAx>
        <c:axId val="-29982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3952"/>
        <c:crosses val="autoZero"/>
        <c:crossBetween val="midCat"/>
      </c:valAx>
      <c:valAx>
        <c:axId val="-190807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9982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148.07114991460617</c:v>
                </c:pt>
                <c:pt idx="22">
                  <c:v>168.92923244181199</c:v>
                </c:pt>
                <c:pt idx="23">
                  <c:v>190.77159636850772</c:v>
                </c:pt>
                <c:pt idx="24">
                  <c:v>213.97096754156919</c:v>
                </c:pt>
                <c:pt idx="25">
                  <c:v>237.91131665522707</c:v>
                </c:pt>
                <c:pt idx="26">
                  <c:v>262.4191790375051</c:v>
                </c:pt>
                <c:pt idx="27">
                  <c:v>286.87538518437105</c:v>
                </c:pt>
                <c:pt idx="28">
                  <c:v>237.05767815907811</c:v>
                </c:pt>
                <c:pt idx="29">
                  <c:v>257.30780573118091</c:v>
                </c:pt>
                <c:pt idx="30">
                  <c:v>277.52190192244632</c:v>
                </c:pt>
                <c:pt idx="31">
                  <c:v>298.22015123846171</c:v>
                </c:pt>
                <c:pt idx="32">
                  <c:v>318.8863942330795</c:v>
                </c:pt>
                <c:pt idx="33">
                  <c:v>255.0484613536668</c:v>
                </c:pt>
                <c:pt idx="34">
                  <c:v>271.66857581099384</c:v>
                </c:pt>
                <c:pt idx="35">
                  <c:v>288.26582722652319</c:v>
                </c:pt>
                <c:pt idx="36">
                  <c:v>304.84171714529225</c:v>
                </c:pt>
                <c:pt idx="37">
                  <c:v>321.3975704655806</c:v>
                </c:pt>
                <c:pt idx="38">
                  <c:v>338.26681317270908</c:v>
                </c:pt>
                <c:pt idx="39">
                  <c:v>355.11754651191865</c:v>
                </c:pt>
                <c:pt idx="40">
                  <c:v>371.95077218720718</c:v>
                </c:pt>
                <c:pt idx="41">
                  <c:v>388.76739385150091</c:v>
                </c:pt>
                <c:pt idx="42">
                  <c:v>405.56823061861064</c:v>
                </c:pt>
                <c:pt idx="43">
                  <c:v>422.39941053572528</c:v>
                </c:pt>
                <c:pt idx="44">
                  <c:v>439.21615689856299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075040"/>
        <c:axId val="-1908080480"/>
      </c:scatterChart>
      <c:valAx>
        <c:axId val="-1908075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80480"/>
        <c:crosses val="autoZero"/>
        <c:crossBetween val="midCat"/>
      </c:valAx>
      <c:valAx>
        <c:axId val="-190808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077760"/>
        <c:axId val="-1908071776"/>
      </c:scatterChart>
      <c:valAx>
        <c:axId val="-1908077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1776"/>
        <c:crosses val="autoZero"/>
        <c:crossBetween val="midCat"/>
      </c:valAx>
      <c:valAx>
        <c:axId val="-1908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7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08069056"/>
        <c:axId val="-1908073408"/>
      </c:scatterChart>
      <c:valAx>
        <c:axId val="-1908069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73408"/>
        <c:crosses val="autoZero"/>
        <c:crossBetween val="midCat"/>
      </c:valAx>
      <c:valAx>
        <c:axId val="-19080734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08069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E39" sqref="A38:E39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showGridLines="0" topLeftCell="A82" zoomScale="70" zoomScaleNormal="70" workbookViewId="0">
      <selection activeCell="D139" sqref="D13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3.44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/>
      <c r="C9" s="35"/>
      <c r="D9" s="36">
        <f t="shared" ref="D9:D18" si="0">C9*$C$5</f>
        <v>0</v>
      </c>
      <c r="E9" s="37"/>
      <c r="F9" s="38" t="str">
        <f t="array" ref="F9">IF(E9="","",IF(INDEX(A:A,MAX(IF(ISNUMBER($A$36:$A$55),ROW($A$36:$A$55),"")))&lt;&gt;E9,"Corrigez : révolution incorrecte","OK"))</f>
        <v/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0.22</v>
      </c>
      <c r="D10" s="36">
        <f t="shared" si="0"/>
        <v>0.75680000000000003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18</v>
      </c>
      <c r="C11" s="35">
        <v>7.0000000000000007E-2</v>
      </c>
      <c r="D11" s="36">
        <f t="shared" si="0"/>
        <v>0.24080000000000001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14</v>
      </c>
      <c r="C12" s="35">
        <v>0.21</v>
      </c>
      <c r="D12" s="36">
        <f t="shared" si="0"/>
        <v>0.72239999999999993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6</v>
      </c>
      <c r="C13" s="35">
        <v>0.21</v>
      </c>
      <c r="D13" s="36">
        <f t="shared" si="0"/>
        <v>0.72239999999999993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0.03</v>
      </c>
      <c r="D14" s="36">
        <f t="shared" si="0"/>
        <v>0.1032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36</v>
      </c>
      <c r="C15" s="35">
        <v>0.22</v>
      </c>
      <c r="D15" s="36">
        <f t="shared" si="0"/>
        <v>0.75680000000000003</v>
      </c>
      <c r="E15" s="37">
        <v>44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0.96</v>
      </c>
      <c r="D19" s="41">
        <f>SUM(D9:D18)</f>
        <v>3.3024000000000004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0.1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/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/>
      <c r="B36" s="61"/>
      <c r="C36" s="61"/>
      <c r="D36" s="61"/>
      <c r="E36" s="54"/>
      <c r="F36" s="54"/>
      <c r="G36" s="54"/>
      <c r="H36" s="54"/>
      <c r="I36" s="52" t="str">
        <f>IFERROR(B36/A36,"")</f>
        <v/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1"/>
      <c r="C37" s="61"/>
      <c r="D37" s="61"/>
      <c r="E37" s="54"/>
      <c r="F37" s="54"/>
      <c r="G37" s="54"/>
      <c r="H37" s="54"/>
      <c r="I37" s="56" t="str">
        <f t="shared" ref="I37:I49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1"/>
      <c r="C38" s="61"/>
      <c r="D38" s="61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1"/>
      <c r="C39" s="61"/>
      <c r="D39" s="61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1"/>
      <c r="C40" s="61"/>
      <c r="D40" s="61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1"/>
      <c r="C41" s="61"/>
      <c r="D41" s="61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1"/>
      <c r="C42" s="61"/>
      <c r="D42" s="61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61"/>
      <c r="C50" s="61"/>
      <c r="D50" s="61"/>
      <c r="E50" s="54"/>
      <c r="F50" s="54"/>
      <c r="G50" s="54"/>
      <c r="H50" s="54"/>
      <c r="I50" s="52" t="str">
        <f>IF(A51&lt;&gt;0,(B51-(B49-D49))/(A51-A49),"")</f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>IF(A52&lt;&gt;0,(B52-(B51-D51))/(A52-A51),"")</f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>IF(A53&lt;&gt;0,(B53-(B52-D52))/(A53-A52),"")</f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>IF(A54&lt;&gt;0,(B54-(B53-D53))/(A54-A53),"")</f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e">
        <f>IF(#REF!&lt;&gt;0,(#REF!-(B54-D54))/(#REF!-A54),"")</f>
        <v>#REF!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>IF(A55&lt;&gt;0,(B55-(#REF!-#REF!))/(A55-#REF!),"")</f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Douglas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21</v>
      </c>
      <c r="B88" s="61">
        <f>10*21</f>
        <v>210</v>
      </c>
      <c r="C88" s="61">
        <v>1</v>
      </c>
      <c r="D88" s="61">
        <f>B88-147</f>
        <v>63</v>
      </c>
      <c r="E88" s="54"/>
      <c r="F88" s="54">
        <v>0.5</v>
      </c>
      <c r="G88" s="54">
        <v>0.5</v>
      </c>
      <c r="H88" s="91"/>
      <c r="I88" s="56">
        <f>IFERROR(B88/A88,"")</f>
        <v>10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28</v>
      </c>
      <c r="B89" s="61">
        <v>280</v>
      </c>
      <c r="C89" s="61">
        <v>2</v>
      </c>
      <c r="D89" s="61">
        <v>64</v>
      </c>
      <c r="E89" s="54"/>
      <c r="F89" s="54">
        <v>0.5</v>
      </c>
      <c r="G89" s="54">
        <v>0.5</v>
      </c>
      <c r="H89" s="91"/>
      <c r="I89" s="56">
        <f t="shared" ref="I89:I107" si="3">IF(A89&lt;&gt;0,(B89-(B88-D88))/(A89-A88),"")</f>
        <v>19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1">
        <v>355</v>
      </c>
      <c r="C90" s="61">
        <v>3</v>
      </c>
      <c r="D90" s="61">
        <v>73</v>
      </c>
      <c r="E90" s="91"/>
      <c r="F90" s="91"/>
      <c r="G90" s="91"/>
      <c r="H90" s="91"/>
      <c r="I90" s="56">
        <f t="shared" si="3"/>
        <v>19.857142857142858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42</v>
      </c>
      <c r="B91" s="61">
        <v>419</v>
      </c>
      <c r="C91" s="61">
        <v>4</v>
      </c>
      <c r="D91" s="61">
        <v>77</v>
      </c>
      <c r="E91" s="91"/>
      <c r="F91" s="91"/>
      <c r="G91" s="91"/>
      <c r="H91" s="91"/>
      <c r="I91" s="56">
        <f t="shared" si="3"/>
        <v>19.571428571428573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49</v>
      </c>
      <c r="B92" s="61">
        <v>473</v>
      </c>
      <c r="C92" s="61">
        <v>5</v>
      </c>
      <c r="D92" s="61">
        <v>80</v>
      </c>
      <c r="E92" s="91"/>
      <c r="F92" s="91"/>
      <c r="G92" s="91"/>
      <c r="H92" s="91"/>
      <c r="I92" s="56">
        <f t="shared" si="3"/>
        <v>18.714285714285715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56</v>
      </c>
      <c r="B93" s="61">
        <v>514</v>
      </c>
      <c r="C93" s="61">
        <v>6</v>
      </c>
      <c r="D93" s="61">
        <v>85</v>
      </c>
      <c r="E93" s="91"/>
      <c r="F93" s="91"/>
      <c r="G93" s="91"/>
      <c r="H93" s="91"/>
      <c r="I93" s="56">
        <f t="shared" si="3"/>
        <v>17.285714285714285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63</v>
      </c>
      <c r="B94" s="61">
        <v>538</v>
      </c>
      <c r="C94" s="61">
        <v>7</v>
      </c>
      <c r="D94" s="61">
        <v>84</v>
      </c>
      <c r="E94" s="91"/>
      <c r="F94" s="91"/>
      <c r="G94" s="91"/>
      <c r="H94" s="91"/>
      <c r="I94" s="56">
        <f t="shared" si="3"/>
        <v>15.571428571428571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70</v>
      </c>
      <c r="B95" s="61">
        <v>551</v>
      </c>
      <c r="C95" s="61">
        <v>8</v>
      </c>
      <c r="D95" s="61">
        <f>B95</f>
        <v>551</v>
      </c>
      <c r="E95" s="91"/>
      <c r="F95" s="91"/>
      <c r="G95" s="91"/>
      <c r="H95" s="91"/>
      <c r="I95" s="56">
        <f t="shared" si="3"/>
        <v>13.857142857142858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/>
      <c r="B96" s="61"/>
      <c r="C96" s="61"/>
      <c r="D96" s="61"/>
      <c r="E96" s="91"/>
      <c r="F96" s="91"/>
      <c r="G96" s="91"/>
      <c r="H96" s="91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/>
      <c r="B97" s="61"/>
      <c r="C97" s="61"/>
      <c r="D97" s="61"/>
      <c r="E97" s="91"/>
      <c r="F97" s="91"/>
      <c r="G97" s="91"/>
      <c r="H97" s="91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/>
      <c r="B98" s="61"/>
      <c r="C98" s="61"/>
      <c r="D98" s="61"/>
      <c r="E98" s="91"/>
      <c r="F98" s="91"/>
      <c r="G98" s="91"/>
      <c r="H98" s="91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sessile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Charme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f>53/1.56</f>
        <v>33.974358974358971</v>
      </c>
      <c r="C140" s="61"/>
      <c r="D140" s="61"/>
      <c r="E140" s="54"/>
      <c r="F140" s="54"/>
      <c r="G140" s="54"/>
      <c r="H140" s="91"/>
      <c r="I140" s="59">
        <f>IFERROR(B140/A140,"")</f>
        <v>2.2649572649572649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f>(89+10)/1.56</f>
        <v>63.46153846153846</v>
      </c>
      <c r="C141" s="61"/>
      <c r="D141" s="61"/>
      <c r="E141" s="54"/>
      <c r="F141" s="54"/>
      <c r="G141" s="54"/>
      <c r="H141" s="91"/>
      <c r="I141" s="59">
        <f t="shared" ref="I141:I159" si="5">IF(A141&lt;&gt;0,(B141-(B140-D140))/(A141-A140),"")</f>
        <v>5.8974358974358978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f>(123+10+14)/1.56</f>
        <v>94.230769230769226</v>
      </c>
      <c r="C142" s="61">
        <v>1</v>
      </c>
      <c r="D142" s="61">
        <f>(10+14+18)/1.56</f>
        <v>26.923076923076923</v>
      </c>
      <c r="E142" s="91"/>
      <c r="F142" s="91"/>
      <c r="G142" s="91"/>
      <c r="H142" s="91">
        <v>1</v>
      </c>
      <c r="I142" s="59">
        <f t="shared" si="5"/>
        <v>6.1538461538461533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1">
        <f>(154)/1.56</f>
        <v>98.717948717948715</v>
      </c>
      <c r="C143" s="61"/>
      <c r="D143" s="61"/>
      <c r="E143" s="91"/>
      <c r="F143" s="91"/>
      <c r="G143" s="91"/>
      <c r="H143" s="91"/>
      <c r="I143" s="59">
        <f t="shared" si="5"/>
        <v>6.2820512820512819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1">
        <f>(182+20)/1.56</f>
        <v>129.48717948717947</v>
      </c>
      <c r="C144" s="61">
        <v>2</v>
      </c>
      <c r="D144" s="61">
        <f>(20+21)/1.56</f>
        <v>26.282051282051281</v>
      </c>
      <c r="E144" s="91"/>
      <c r="F144" s="91"/>
      <c r="G144" s="91"/>
      <c r="H144" s="91"/>
      <c r="I144" s="59">
        <f t="shared" si="5"/>
        <v>6.1538461538461515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1">
        <f>(206)/1.56</f>
        <v>132.05128205128204</v>
      </c>
      <c r="C145" s="61"/>
      <c r="D145" s="61"/>
      <c r="E145" s="91"/>
      <c r="F145" s="91"/>
      <c r="G145" s="91"/>
      <c r="H145" s="91"/>
      <c r="I145" s="59">
        <f t="shared" si="5"/>
        <v>5.7692307692307709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1">
        <f>(228+22)/1.56</f>
        <v>160.25641025641025</v>
      </c>
      <c r="C146" s="61">
        <v>3</v>
      </c>
      <c r="D146" s="61">
        <f>(22+22)/1.56</f>
        <v>28.205128205128204</v>
      </c>
      <c r="E146" s="91"/>
      <c r="F146" s="91"/>
      <c r="G146" s="91"/>
      <c r="H146" s="91"/>
      <c r="I146" s="59">
        <f t="shared" si="5"/>
        <v>5.6410256410256405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1">
        <f>(247)/1.56</f>
        <v>158.33333333333331</v>
      </c>
      <c r="C147" s="61"/>
      <c r="D147" s="61"/>
      <c r="E147" s="91"/>
      <c r="F147" s="91"/>
      <c r="G147" s="91"/>
      <c r="H147" s="91"/>
      <c r="I147" s="59">
        <f>IF(A147&lt;&gt;0,(B147-(B146-D146))/(A147-A146),"")</f>
        <v>5.2564102564102537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1">
        <f>(263+22)/1.56</f>
        <v>182.69230769230768</v>
      </c>
      <c r="C148" s="61">
        <v>4</v>
      </c>
      <c r="D148" s="61">
        <f>(22+22)/1.56</f>
        <v>28.205128205128204</v>
      </c>
      <c r="E148" s="91"/>
      <c r="F148" s="91"/>
      <c r="G148" s="91"/>
      <c r="H148" s="91"/>
      <c r="I148" s="59">
        <f t="shared" si="5"/>
        <v>4.8717948717948731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60</v>
      </c>
      <c r="B149" s="61">
        <f>(278)/1.56</f>
        <v>178.2051282051282</v>
      </c>
      <c r="C149" s="61"/>
      <c r="D149" s="61"/>
      <c r="E149" s="91"/>
      <c r="F149" s="91"/>
      <c r="G149" s="91"/>
      <c r="H149" s="91"/>
      <c r="I149" s="59">
        <f t="shared" si="5"/>
        <v>4.7435897435897463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65</v>
      </c>
      <c r="B150" s="61">
        <f>(291+22)/1.56</f>
        <v>200.64102564102564</v>
      </c>
      <c r="C150" s="61">
        <v>5</v>
      </c>
      <c r="D150" s="61">
        <f>(22+22)/1.56</f>
        <v>28.205128205128204</v>
      </c>
      <c r="E150" s="91"/>
      <c r="F150" s="91"/>
      <c r="G150" s="91"/>
      <c r="H150" s="91"/>
      <c r="I150" s="59">
        <f t="shared" si="5"/>
        <v>4.4871794871794863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70</v>
      </c>
      <c r="B151" s="61">
        <f>(303)/1.56</f>
        <v>194.23076923076923</v>
      </c>
      <c r="C151" s="61"/>
      <c r="D151" s="61"/>
      <c r="E151" s="91"/>
      <c r="F151" s="91"/>
      <c r="G151" s="91"/>
      <c r="H151" s="91"/>
      <c r="I151" s="59">
        <f t="shared" si="5"/>
        <v>4.3589743589743595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75</v>
      </c>
      <c r="B152" s="61">
        <f>(313+21)/1.56</f>
        <v>214.10256410256409</v>
      </c>
      <c r="C152" s="61">
        <v>6</v>
      </c>
      <c r="D152" s="61">
        <f>(21+21)/1.56</f>
        <v>26.923076923076923</v>
      </c>
      <c r="E152" s="66"/>
      <c r="F152" s="66"/>
      <c r="G152" s="66"/>
      <c r="H152" s="66"/>
      <c r="I152" s="59">
        <f t="shared" si="5"/>
        <v>3.9743589743589722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80</v>
      </c>
      <c r="B153" s="61">
        <f>(322)/1.56</f>
        <v>206.41025641025641</v>
      </c>
      <c r="C153" s="61"/>
      <c r="D153" s="61"/>
      <c r="E153" s="66"/>
      <c r="F153" s="66"/>
      <c r="G153" s="66"/>
      <c r="H153" s="66"/>
      <c r="I153" s="59">
        <f t="shared" si="5"/>
        <v>3.8461538461538511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85</v>
      </c>
      <c r="B154" s="53">
        <v>225</v>
      </c>
      <c r="C154" s="61">
        <v>7</v>
      </c>
      <c r="D154" s="53">
        <v>25.641025641025639</v>
      </c>
      <c r="E154" s="57"/>
      <c r="F154" s="57"/>
      <c r="G154" s="57"/>
      <c r="H154" s="57"/>
      <c r="I154" s="59">
        <f t="shared" si="5"/>
        <v>3.7179487179487181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90</v>
      </c>
      <c r="B155" s="53">
        <v>229.48717948717947</v>
      </c>
      <c r="C155" s="61"/>
      <c r="D155" s="53"/>
      <c r="E155" s="57"/>
      <c r="F155" s="57"/>
      <c r="G155" s="57"/>
      <c r="H155" s="57"/>
      <c r="I155" s="59">
        <f t="shared" si="5"/>
        <v>6.025641025641022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95</v>
      </c>
      <c r="B156" s="53">
        <v>233.97435897435898</v>
      </c>
      <c r="C156" s="61">
        <v>8</v>
      </c>
      <c r="D156" s="53">
        <v>23.717948717948715</v>
      </c>
      <c r="E156" s="57"/>
      <c r="F156" s="57"/>
      <c r="G156" s="57"/>
      <c r="H156" s="57"/>
      <c r="I156" s="59">
        <f t="shared" si="5"/>
        <v>0.89743589743590069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53">
        <v>226.28205128205127</v>
      </c>
      <c r="C157" s="53"/>
      <c r="D157" s="53"/>
      <c r="E157" s="57"/>
      <c r="F157" s="57"/>
      <c r="G157" s="57"/>
      <c r="H157" s="57"/>
      <c r="I157" s="59">
        <f t="shared" si="5"/>
        <v>3.2051282051281986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110</v>
      </c>
      <c r="B158" s="53">
        <v>257.05128205128204</v>
      </c>
      <c r="C158" s="53">
        <v>9</v>
      </c>
      <c r="D158" s="53">
        <v>33.333333333333336</v>
      </c>
      <c r="E158" s="57"/>
      <c r="F158" s="57"/>
      <c r="G158" s="57"/>
      <c r="H158" s="57"/>
      <c r="I158" s="59">
        <f t="shared" si="5"/>
        <v>3.0769230769230775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120</v>
      </c>
      <c r="B159" s="53">
        <v>251.28205128205127</v>
      </c>
      <c r="C159" s="53">
        <v>10</v>
      </c>
      <c r="D159" s="53">
        <v>251.28205128205127</v>
      </c>
      <c r="E159" s="57"/>
      <c r="F159" s="57"/>
      <c r="G159" s="57"/>
      <c r="H159" s="57"/>
      <c r="I159" s="59">
        <f t="shared" si="5"/>
        <v>2.7564102564102568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Pin maritime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12</v>
      </c>
      <c r="B192" s="61">
        <v>38.8705</v>
      </c>
      <c r="C192" s="61"/>
      <c r="D192" s="61"/>
      <c r="E192" s="54"/>
      <c r="F192" s="54"/>
      <c r="G192" s="54"/>
      <c r="H192" s="54"/>
      <c r="I192" s="52">
        <f>IFERROR(B192/A192,"")</f>
        <v>3.2392083333333335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13</v>
      </c>
      <c r="B193" s="61">
        <v>53.7455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14.875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14</v>
      </c>
      <c r="B194" s="61">
        <v>70.405500000000004</v>
      </c>
      <c r="C194" s="61"/>
      <c r="D194" s="61"/>
      <c r="E194" s="54"/>
      <c r="F194" s="54"/>
      <c r="G194" s="54"/>
      <c r="H194" s="54"/>
      <c r="I194" s="52">
        <f t="shared" si="7"/>
        <v>16.660000000000004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15</v>
      </c>
      <c r="B195" s="61">
        <v>88.859000000000009</v>
      </c>
      <c r="C195" s="61">
        <v>1</v>
      </c>
      <c r="D195" s="61">
        <v>23.3155</v>
      </c>
      <c r="E195" s="54"/>
      <c r="F195" s="54">
        <v>0.5</v>
      </c>
      <c r="G195" s="54">
        <v>0.5</v>
      </c>
      <c r="H195" s="54"/>
      <c r="I195" s="52">
        <f t="shared" si="7"/>
        <v>18.453500000000005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16</v>
      </c>
      <c r="B196" s="61">
        <v>78.208500000000001</v>
      </c>
      <c r="C196" s="61"/>
      <c r="D196" s="61"/>
      <c r="E196" s="54"/>
      <c r="F196" s="54"/>
      <c r="G196" s="54"/>
      <c r="H196" s="54"/>
      <c r="I196" s="52">
        <f t="shared" si="7"/>
        <v>12.664999999999992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17</v>
      </c>
      <c r="B197" s="61">
        <v>88.340500000000006</v>
      </c>
      <c r="C197" s="61"/>
      <c r="D197" s="61"/>
      <c r="E197" s="54"/>
      <c r="F197" s="54"/>
      <c r="G197" s="54"/>
      <c r="H197" s="54"/>
      <c r="I197" s="52">
        <f t="shared" si="7"/>
        <v>10.132000000000005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18</v>
      </c>
      <c r="B198" s="61">
        <v>100.55499999999999</v>
      </c>
      <c r="C198" s="61"/>
      <c r="D198" s="61"/>
      <c r="E198" s="54"/>
      <c r="F198" s="54"/>
      <c r="G198" s="54"/>
      <c r="H198" s="54"/>
      <c r="I198" s="52">
        <f t="shared" si="7"/>
        <v>12.214499999999987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281">
        <v>19</v>
      </c>
      <c r="B199" s="61">
        <v>113.679</v>
      </c>
      <c r="C199" s="61"/>
      <c r="D199" s="61"/>
      <c r="E199" s="54"/>
      <c r="F199" s="54"/>
      <c r="G199" s="54"/>
      <c r="H199" s="54"/>
      <c r="I199" s="52">
        <f t="shared" si="7"/>
        <v>13.124000000000009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281">
        <v>20</v>
      </c>
      <c r="B200" s="61">
        <v>130.203</v>
      </c>
      <c r="C200" s="61">
        <v>2</v>
      </c>
      <c r="D200" s="61">
        <v>34.110500000000002</v>
      </c>
      <c r="E200" s="54">
        <v>0.25</v>
      </c>
      <c r="F200" s="54">
        <v>0.375</v>
      </c>
      <c r="G200" s="54">
        <v>0.375</v>
      </c>
      <c r="H200" s="54"/>
      <c r="I200" s="52">
        <f t="shared" si="7"/>
        <v>16.524000000000001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281">
        <v>21</v>
      </c>
      <c r="B201" s="61">
        <v>110.82299999999999</v>
      </c>
      <c r="C201" s="61"/>
      <c r="D201" s="61"/>
      <c r="E201" s="54"/>
      <c r="F201" s="54"/>
      <c r="G201" s="54"/>
      <c r="H201" s="54"/>
      <c r="I201" s="52">
        <f t="shared" si="7"/>
        <v>14.730499999999992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281">
        <v>22</v>
      </c>
      <c r="B202" s="61">
        <v>126.871</v>
      </c>
      <c r="C202" s="61"/>
      <c r="D202" s="61"/>
      <c r="E202" s="54"/>
      <c r="F202" s="54"/>
      <c r="G202" s="54"/>
      <c r="H202" s="54"/>
      <c r="I202" s="52">
        <f t="shared" si="7"/>
        <v>16.048000000000002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281">
        <v>23</v>
      </c>
      <c r="B203" s="61">
        <v>143.72650000000002</v>
      </c>
      <c r="C203" s="61"/>
      <c r="D203" s="61"/>
      <c r="E203" s="54"/>
      <c r="F203" s="54"/>
      <c r="G203" s="54"/>
      <c r="H203" s="54"/>
      <c r="I203" s="52">
        <f t="shared" si="7"/>
        <v>16.855500000000021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281">
        <v>24</v>
      </c>
      <c r="B204" s="61">
        <v>161.67850000000001</v>
      </c>
      <c r="C204" s="61"/>
      <c r="D204" s="61"/>
      <c r="E204" s="54"/>
      <c r="F204" s="54"/>
      <c r="G204" s="54"/>
      <c r="H204" s="54"/>
      <c r="I204" s="52">
        <f t="shared" si="7"/>
        <v>17.951999999999998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281">
        <v>25</v>
      </c>
      <c r="B205" s="61">
        <v>180.251</v>
      </c>
      <c r="C205" s="61"/>
      <c r="D205" s="61"/>
      <c r="E205" s="54"/>
      <c r="F205" s="54"/>
      <c r="G205" s="54"/>
      <c r="H205" s="54"/>
      <c r="I205" s="52">
        <f t="shared" si="7"/>
        <v>18.572499999999991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281">
        <v>27</v>
      </c>
      <c r="B206" s="61">
        <v>218.36499999999998</v>
      </c>
      <c r="C206" s="61">
        <v>3</v>
      </c>
      <c r="D206" s="61">
        <v>54.518999999999998</v>
      </c>
      <c r="E206" s="54">
        <v>0.6</v>
      </c>
      <c r="F206" s="54">
        <v>0.2</v>
      </c>
      <c r="G206" s="54">
        <v>0.2</v>
      </c>
      <c r="H206" s="54"/>
      <c r="I206" s="52">
        <f t="shared" si="7"/>
        <v>19.056999999999988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281">
        <v>30</v>
      </c>
      <c r="B207" s="53">
        <v>211.072</v>
      </c>
      <c r="C207" s="53"/>
      <c r="D207" s="53"/>
      <c r="E207" s="54"/>
      <c r="F207" s="54"/>
      <c r="G207" s="54"/>
      <c r="H207" s="54"/>
      <c r="I207" s="52">
        <f t="shared" si="7"/>
        <v>15.74200000000001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281">
        <v>32</v>
      </c>
      <c r="B208" s="53">
        <v>243.36350000000002</v>
      </c>
      <c r="C208" s="53">
        <v>4</v>
      </c>
      <c r="D208" s="53">
        <v>62.73</v>
      </c>
      <c r="E208" s="54"/>
      <c r="F208" s="54"/>
      <c r="G208" s="54"/>
      <c r="H208" s="54"/>
      <c r="I208" s="52">
        <f t="shared" si="7"/>
        <v>16.145750000000007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281">
        <v>37</v>
      </c>
      <c r="B209" s="53">
        <v>245.327</v>
      </c>
      <c r="C209" s="53"/>
      <c r="D209" s="53"/>
      <c r="E209" s="54"/>
      <c r="F209" s="54"/>
      <c r="G209" s="54"/>
      <c r="H209" s="54"/>
      <c r="I209" s="52">
        <f t="shared" si="7"/>
        <v>12.938699999999994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281">
        <v>42</v>
      </c>
      <c r="B210" s="53">
        <v>311.32100000000003</v>
      </c>
      <c r="C210" s="53"/>
      <c r="D210" s="53"/>
      <c r="E210" s="54"/>
      <c r="F210" s="54"/>
      <c r="G210" s="54"/>
      <c r="H210" s="54"/>
      <c r="I210" s="52">
        <f t="shared" si="7"/>
        <v>13.198800000000006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281">
        <v>44</v>
      </c>
      <c r="B211" s="53">
        <v>337.78999999999996</v>
      </c>
      <c r="C211" s="53">
        <v>5</v>
      </c>
      <c r="D211" s="53">
        <v>337.78999999999996</v>
      </c>
      <c r="E211" s="54"/>
      <c r="F211" s="54"/>
      <c r="G211" s="54"/>
      <c r="H211" s="54"/>
      <c r="I211" s="52">
        <f t="shared" si="7"/>
        <v>13.234499999999969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/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>Chêne sessile</v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>Douglas</v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>Chêne sessile</v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>Charme</v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>Alisier torminal</v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>Pin maritime</v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 t="e">
        <f>N3*VLOOKUP('Données projet'!$B$9,Paramètres!$A$1:$I$89,3,0)*VLOOKUP('Données projet'!$B$9,Paramètres!$A$1:$I$89,5,0)</f>
        <v>#N/A</v>
      </c>
      <c r="P3" s="13">
        <v>0</v>
      </c>
      <c r="Q3" s="15" t="e">
        <f>(O3+P3)*0.475*44/12</f>
        <v>#N/A</v>
      </c>
      <c r="R3" s="60" t="e">
        <f t="shared" ref="R3:R66" si="0">Q3+(I3+J3)*44/12</f>
        <v>#N/A</v>
      </c>
      <c r="S3" s="60" t="e">
        <f ca="1">AVERAGE(OFFSET($R$3,0,0,'Données projet'!$E$9+1,1))-AVERAGE(OFFSET($H$3,0,0,'Données projet'!$E$9+1,1))</f>
        <v>#N/A</v>
      </c>
      <c r="T3" s="60" t="e">
        <f>IF('Données projet'!E9&gt;30,$R$33-$H$33,LOOKUP('Données projet'!$E$9,$A$3:$A$203,R3:R203)-LOOKUP('Données projet'!$E$9,$A$3:$A$203,$H$3:$H$203))</f>
        <v>#N/A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428.8489304403459</v>
      </c>
      <c r="AO3" s="60">
        <f>IF('Données projet'!E10&gt;30,$AM$33-$H$33,LOOKUP('Données projet'!$E$10,$A$3:$A$203,AM3:AM203)-LOOKUP('Données projet'!$E$10,$A$3:$A$203,$H$3:$H$203))</f>
        <v>247.01165577562966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374.79806286316051</v>
      </c>
      <c r="BJ3" s="60">
        <f>IF('Données projet'!E11&gt;30,$BH$33-$H$33,LOOKUP('Données projet'!$E$11,$A$3:$A$203,BH3:BH203)-LOOKUP('Données projet'!$E$11,$A$3:$A$203,$H$3:$H$203))</f>
        <v>350.01856672839466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428.8489304403459</v>
      </c>
      <c r="CE3" s="60">
        <f>IF('Données projet'!E12&gt;30,$CC$33-$H$33,LOOKUP('Données projet'!$E$12,$A$3:$A$203,CC3:CC203)-LOOKUP('Données projet'!$E$12,$A$3:$A$203,$H$3:$H$203))</f>
        <v>247.01165577562966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354.63118425028898</v>
      </c>
      <c r="CZ3" s="60">
        <f>IF('Données projet'!E13&gt;30,$CX$33-$H$33,LOOKUP('Données projet'!$E$13,$A$3:$A$203,CX3:CX203)-LOOKUP('Données projet'!$E$13,$A$3:$A$203,$H$3:$H$203))</f>
        <v>244.7141066773861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455.50822833641354</v>
      </c>
      <c r="DU3" s="60">
        <f>IF('Données projet'!E14&gt;30,$DS$33-$H$33,LOOKUP('Données projet'!$E$14,$A$3:$A$203,DS3:DS203)-LOOKUP('Données projet'!$E$14,$A$3:$A$203,$H$3:$H$203))</f>
        <v>261.14722581688039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207.03241199974599</v>
      </c>
      <c r="EP3" s="60">
        <f>IF('Données projet'!E15&gt;30,$EN$33-$H$33,LOOKUP('Données projet'!$E$15,$A$3:$A$203,EN3:EN203)-LOOKUP('Données projet'!$E$15,$A$3:$A$203,$H$3:$H$203))</f>
        <v>314.188568589113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</v>
      </c>
      <c r="N4" s="14">
        <f>IF('Données projet'!$A$36&gt;35,N3+M4-V3,IF(A4&lt;'Données projet'!$A$36,$K$205^A4,IF(A4='Données projet'!$A$36,'Données projet'!$B$36,N3+M4-V3)))</f>
        <v>0</v>
      </c>
      <c r="O4" s="14" t="e">
        <f>N4*VLOOKUP('Données projet'!$B$9,Paramètres!$A$1:$I$89,3,0)*VLOOKUP('Données projet'!$B$9,Paramètres!$A$1:$I$89,5,0)</f>
        <v>#N/A</v>
      </c>
      <c r="P4" s="14" t="e">
        <f>EXP(-1.0587+0.8836*LN(O4)+0.284)</f>
        <v>#N/A</v>
      </c>
      <c r="Q4" s="22" t="e">
        <f t="shared" ref="Q4:Q34" si="2">(O4+P4)*0.475*44/12</f>
        <v>#N/A</v>
      </c>
      <c r="R4" s="60" t="e">
        <f t="shared" si="0"/>
        <v>#N/A</v>
      </c>
      <c r="S4" s="60" t="e">
        <f ca="1">AVERAGE(OFFSET($R$3,0,0,'Données projet'!$E$9+1,1))-AVERAGE(OFFSET($H$3,0,0,'Données projet'!$E$9+1,1))</f>
        <v>#N/A</v>
      </c>
      <c r="T4" s="60" t="e">
        <f>$T$3</f>
        <v>#N/A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 t="e">
        <f>EXP(-LN(2)/35)*Z3+(1-EXP(-LN(2)/35))/(LN(2)/35)*V4*W4*VLOOKUP('Données projet'!$B$9,Paramètres!$A$1:$I$89,3,0)*0.475*44/12</f>
        <v>#N/A</v>
      </c>
      <c r="AA4" s="23" t="e">
        <f>EXP(-LN(2)/25)*AA3+(1-EXP(-LN(2)/25))/(LN(2)/25)*Calculateur!V4*Calculateur!X4*VLOOKUP('Données projet'!$B$9,Paramètres!$A$1:$I$89,3,0)*0.475*44/12</f>
        <v>#N/A</v>
      </c>
      <c r="AB4" s="23" t="e">
        <f>EXP(-LN(2)/2)*AB3+(1-EXP(-LN(2)/2))/(LN(2)/2)*V4*Y4*VLOOKUP('Données projet'!$B$9,Paramètres!$A$1:$I$89,3,0)*0.475*44/12</f>
        <v>#N/A</v>
      </c>
      <c r="AC4" s="24" t="e">
        <f t="shared" ref="AC4:AC67" si="3">SUM(Z4:AB4)</f>
        <v>#N/A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260.65521412271448</v>
      </c>
      <c r="AN4" s="60">
        <f ca="1">AVERAGE(OFFSET($AM$3,0,0,'Données projet'!$E$10+1,1))-AVERAGE(OFFSET($H$3,0,0,'Données projet'!$E$10+1,1))</f>
        <v>428.8489304403459</v>
      </c>
      <c r="AO4" s="60">
        <f>$AO$3</f>
        <v>247.01165577562966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10</v>
      </c>
      <c r="BD4" s="13">
        <f>IF('Données projet'!$A$88&gt;35,BD3+BC4-BL3,IF(A4&lt;'Données projet'!$A$88,$BA$205^A4,IF(A4='Données projet'!$A$88,'Données projet'!$B$88,BD3+BC4-BL3)))</f>
        <v>1.289976715395158</v>
      </c>
      <c r="BE4" s="14">
        <f>BD4*VLOOKUP('Données projet'!$B$11,Paramètres!$A$1:$I$89,3,0)*VLOOKUP('Données projet'!$B$11,Paramètres!$A$1:$I$89,5,0)</f>
        <v>0.72109698390589339</v>
      </c>
      <c r="BF4" s="14">
        <f>EXP(-1.0587+0.8836*LN(BE4)+0.284)</f>
        <v>0.34520357101002697</v>
      </c>
      <c r="BG4" s="22">
        <f t="shared" ref="BG4:BG67" si="7">(BE4+BF4)*0.475*44/12</f>
        <v>1.8571401331452277</v>
      </c>
      <c r="BH4" s="60">
        <f t="shared" ref="BH4:BH67" si="8">BG4+(AY4+AZ4)*44/12</f>
        <v>259.74602902203407</v>
      </c>
      <c r="BI4" s="60">
        <f ca="1">AVERAGE(OFFSET($BH$3,0,0,'Données projet'!$E$11+1,1))-AVERAGE(OFFSET($H$3,0,0,'Données projet'!$E$11+1,1))</f>
        <v>374.79806286316051</v>
      </c>
      <c r="BJ4" s="60">
        <f>$BJ$3</f>
        <v>350.01856672839466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0">
        <f t="shared" ref="CC4:CC67" si="11">CB4+(BT4+BU4)*44/12</f>
        <v>260.65521412271448</v>
      </c>
      <c r="CD4" s="60">
        <f ca="1">AVERAGE(OFFSET($CC$3,0,0,'Données projet'!$E$12+1,1))-AVERAGE(OFFSET($H$3,0,0,'Données projet'!$E$12+1,1))</f>
        <v>428.8489304403459</v>
      </c>
      <c r="CE4" s="60">
        <f>$CE$3</f>
        <v>247.01165577562966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2.2649572649572649</v>
      </c>
      <c r="CT4" s="13">
        <f>IF('Données projet'!$A$140&gt;35,CT3+CS4-DB3,IF(A4&lt;'Données projet'!$A$140,$CQ$205^A4,IF(A4='Données projet'!$A$140,'Données projet'!$B$140,CT3+CS4-DB3)))</f>
        <v>1.2649598798623627</v>
      </c>
      <c r="CU4" s="18">
        <f>CT4*VLOOKUP('Données projet'!$B$13,Paramètres!$A$1:$I$89,3,0)*VLOOKUP('Données projet'!$B$13,Paramètres!$A$1:$I$89,5,0)</f>
        <v>1.2037358216770244</v>
      </c>
      <c r="CV4" s="14">
        <f>EXP(-1.0587+0.8836*LN(CU4)+0.284)</f>
        <v>0.54288697199953284</v>
      </c>
      <c r="CW4" s="22">
        <f t="shared" ref="CW4:CW67" si="13">(CU4+CV4)*0.475*44/12</f>
        <v>3.0420346989866704</v>
      </c>
      <c r="CX4" s="60">
        <f t="shared" ref="CX4:CX67" si="14">CW4+(CO4+CP4)*44/12</f>
        <v>260.93092358787555</v>
      </c>
      <c r="CY4" s="60">
        <f ca="1">AVERAGE(OFFSET($CX$3,0,0,'Données projet'!$E$13+1,1))-AVERAGE(OFFSET($H$3,0,0,'Données projet'!$E$13+1,1))</f>
        <v>354.63118425028898</v>
      </c>
      <c r="CZ4" s="60">
        <f>$CZ$3</f>
        <v>244.7141066773861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0">
        <f t="shared" ref="DS4:DS67" si="17">DR4+(DJ4+DK4)*44/12</f>
        <v>260.83883136632869</v>
      </c>
      <c r="DT4" s="60">
        <f ca="1">AVERAGE(OFFSET($DS$3,0,0,'Données projet'!$E$14+1,1))-AVERAGE(OFFSET($H$3,0,0,'Données projet'!$E$14+1,1))</f>
        <v>455.50822833641354</v>
      </c>
      <c r="DU4" s="60">
        <f>$DU$3</f>
        <v>261.14722581688039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3.2392083333333335</v>
      </c>
      <c r="EJ4" s="13">
        <f>IF('Données projet'!$A$192&gt;35,EJ3+EI4-ER3,IF(A4&lt;'Données projet'!$A$192,$EG$205^A4,IF(A4='Données projet'!$A$192,'Données projet'!$B$192,EJ3+EI4-ER3)))</f>
        <v>1.3566516392624868</v>
      </c>
      <c r="EK4" s="18">
        <f>EJ4*VLOOKUP('Données projet'!$B$15,Paramètres!$A$1:$I$89,3,0)*VLOOKUP('Données projet'!$B$15,Paramètres!$A$1:$I$89,5,0)</f>
        <v>0.81127768027896718</v>
      </c>
      <c r="EL4" s="14">
        <f>EXP(-1.0587+0.8836*LN(EK4)+0.284)</f>
        <v>0.38308421720764524</v>
      </c>
      <c r="EM4" s="22">
        <f t="shared" ref="EM4:EM67" si="19">(EK4+EL4)*0.475*44/12</f>
        <v>2.0801803047891831</v>
      </c>
      <c r="EN4" s="60">
        <f t="shared" ref="EN4:EN67" si="20">EM4+(EE4+EF4)*44/12</f>
        <v>259.96906919367802</v>
      </c>
      <c r="EO4" s="60">
        <f ca="1">AVERAGE(OFFSET($EN$3,0,0,'Données projet'!$E$15+1,1))-AVERAGE(OFFSET($H$3,0,0,'Données projet'!$E$15+1,1))</f>
        <v>207.03241199974599</v>
      </c>
      <c r="EP4" s="60">
        <f>$EP$3</f>
        <v>314.188568589113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</v>
      </c>
      <c r="N5" s="14">
        <f>IF('Données projet'!$A$36&gt;35,N4+M5-V4,IF(A5&lt;'Données projet'!$A$36,$K$205^A5,IF(A5='Données projet'!$A$36,'Données projet'!$B$36,N4+M5-V4)))</f>
        <v>0</v>
      </c>
      <c r="O5" s="14" t="e">
        <f>N5*VLOOKUP('Données projet'!$B$9,Paramètres!$A$1:$I$89,3,0)*VLOOKUP('Données projet'!$B$9,Paramètres!$A$1:$I$89,5,0)</f>
        <v>#N/A</v>
      </c>
      <c r="P5" s="14" t="e">
        <f t="shared" ref="P5:P68" si="33">EXP(-1.0587+0.8836*LN(O5)+0.284)</f>
        <v>#N/A</v>
      </c>
      <c r="Q5" s="22" t="e">
        <f t="shared" si="2"/>
        <v>#N/A</v>
      </c>
      <c r="R5" s="60" t="e">
        <f t="shared" si="0"/>
        <v>#N/A</v>
      </c>
      <c r="S5" s="60" t="e">
        <f ca="1">AVERAGE(OFFSET($R$3,0,0,'Données projet'!$E$9+1,1))-AVERAGE(OFFSET($H$3,0,0,'Données projet'!$E$9+1,1))</f>
        <v>#N/A</v>
      </c>
      <c r="T5" s="60" t="e">
        <f t="shared" ref="T5:T68" si="34">$T$3</f>
        <v>#N/A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 t="e">
        <f>EXP(-LN(2)/35)*Z4+(1-EXP(-LN(2)/35))/(LN(2)/35)*V5*W5*VLOOKUP('Données projet'!$B$9,Paramètres!$A$1:$I$89,3,0)*0.475*44/12</f>
        <v>#N/A</v>
      </c>
      <c r="AA5" s="23" t="e">
        <f>EXP(-LN(2)/25)*AA4+(1-EXP(-LN(2)/25))/(LN(2)/25)*Calculateur!V5*Calculateur!X5*VLOOKUP('Données projet'!$B$9,Paramètres!$A$1:$I$89,3,0)*0.475*44/12</f>
        <v>#N/A</v>
      </c>
      <c r="AB5" s="23" t="e">
        <f>EXP(-LN(2)/2)*AB4+(1-EXP(-LN(2)/2))/(LN(2)/2)*V5*Y5*VLOOKUP('Données projet'!$B$9,Paramètres!$A$1:$I$89,3,0)*0.475*44/12</f>
        <v>#N/A</v>
      </c>
      <c r="AC5" s="24" t="e">
        <f t="shared" si="3"/>
        <v>#N/A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262.42339882093205</v>
      </c>
      <c r="AN5" s="60">
        <f ca="1">AVERAGE(OFFSET($AM$3,0,0,'Données projet'!$E$10+1,1))-AVERAGE(OFFSET($H$3,0,0,'Données projet'!$E$10+1,1))</f>
        <v>428.8489304403459</v>
      </c>
      <c r="AO5" s="60">
        <f t="shared" ref="AO5:AO68" si="36">$AO$3</f>
        <v>247.01165577562966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10</v>
      </c>
      <c r="BD5" s="13">
        <f>IF('Données projet'!$A$88&gt;35,BD4+BC5-BL4,IF(A5&lt;'Données projet'!$A$88,$BA$205^A5,IF(A5='Données projet'!$A$88,'Données projet'!$B$88,BD4+BC5-BL4)))</f>
        <v>1.6640399262616805</v>
      </c>
      <c r="BE5" s="14">
        <f>BD5*VLOOKUP('Données projet'!$B$11,Paramètres!$A$1:$I$89,3,0)*VLOOKUP('Données projet'!$B$11,Paramètres!$A$1:$I$89,5,0)</f>
        <v>0.93019831878027937</v>
      </c>
      <c r="BF5" s="14">
        <f t="shared" ref="BF5:BF68" si="37">EXP(-1.0587+0.8836*LN(BE5)+0.284)</f>
        <v>0.43230018467776149</v>
      </c>
      <c r="BG5" s="22">
        <f t="shared" si="7"/>
        <v>2.3730182268560873</v>
      </c>
      <c r="BH5" s="60">
        <f t="shared" si="8"/>
        <v>261.4841293379672</v>
      </c>
      <c r="BI5" s="60">
        <f ca="1">AVERAGE(OFFSET($BH$3,0,0,'Données projet'!$E$11+1,1))-AVERAGE(OFFSET($H$3,0,0,'Données projet'!$E$11+1,1))</f>
        <v>374.79806286316051</v>
      </c>
      <c r="BJ5" s="60">
        <f t="shared" ref="BJ5:BJ68" si="38">$BJ$3</f>
        <v>350.01856672839466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0">
        <f t="shared" si="11"/>
        <v>262.42339882093205</v>
      </c>
      <c r="CD5" s="60">
        <f ca="1">AVERAGE(OFFSET($CC$3,0,0,'Données projet'!$E$12+1,1))-AVERAGE(OFFSET($H$3,0,0,'Données projet'!$E$12+1,1))</f>
        <v>428.8489304403459</v>
      </c>
      <c r="CE5" s="60">
        <f t="shared" ref="CE5:CE68" si="40">$CE$3</f>
        <v>247.01165577562966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2.2649572649572649</v>
      </c>
      <c r="CT5" s="13">
        <f>IF('Données projet'!$A$140&gt;35,CT4+CS5-DB4,IF(A5&lt;'Données projet'!$A$140,$CQ$205^A5,IF(A5='Données projet'!$A$140,'Données projet'!$B$140,CT4+CS5-DB4)))</f>
        <v>1.6001234976614032</v>
      </c>
      <c r="CU5" s="18">
        <f>CT5*VLOOKUP('Données projet'!$B$13,Paramètres!$A$1:$I$89,3,0)*VLOOKUP('Données projet'!$B$13,Paramètres!$A$1:$I$89,5,0)</f>
        <v>1.5226775203745913</v>
      </c>
      <c r="CV5" s="14">
        <f t="shared" ref="CV5:CV68" si="41">EXP(-1.0587+0.8836*LN(CU5)+0.284)</f>
        <v>0.66819687050841592</v>
      </c>
      <c r="CW5" s="22">
        <f t="shared" si="13"/>
        <v>3.8157728974545706</v>
      </c>
      <c r="CX5" s="60">
        <f t="shared" si="14"/>
        <v>262.92688400856571</v>
      </c>
      <c r="CY5" s="60">
        <f ca="1">AVERAGE(OFFSET($CX$3,0,0,'Données projet'!$E$13+1,1))-AVERAGE(OFFSET($H$3,0,0,'Données projet'!$E$13+1,1))</f>
        <v>354.63118425028898</v>
      </c>
      <c r="CZ5" s="60">
        <f t="shared" ref="CZ5:CZ68" si="42">$CZ$3</f>
        <v>244.7141066773861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0">
        <f t="shared" si="17"/>
        <v>262.64338241092526</v>
      </c>
      <c r="DT5" s="60">
        <f ca="1">AVERAGE(OFFSET($DS$3,0,0,'Données projet'!$E$14+1,1))-AVERAGE(OFFSET($H$3,0,0,'Données projet'!$E$14+1,1))</f>
        <v>455.50822833641354</v>
      </c>
      <c r="DU5" s="60">
        <f t="shared" ref="DU5:DU68" si="44">$DU$3</f>
        <v>261.14722581688039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3.2392083333333335</v>
      </c>
      <c r="EJ5" s="13">
        <f>IF('Données projet'!$A$192&gt;35,EJ4+EI5-ER4,IF(A5&lt;'Données projet'!$A$192,$EG$205^A5,IF(A5='Données projet'!$A$192,'Données projet'!$B$192,EJ4+EI5-ER4)))</f>
        <v>1.8405036703135926</v>
      </c>
      <c r="EK5" s="18">
        <f>EJ5*VLOOKUP('Données projet'!$B$15,Paramètres!$A$1:$I$89,3,0)*VLOOKUP('Données projet'!$B$15,Paramètres!$A$1:$I$89,5,0)</f>
        <v>1.1006211948475284</v>
      </c>
      <c r="EL5" s="14">
        <f t="shared" ref="EL5:EL68" si="45">EXP(-1.0587+0.8836*LN(EK5)+0.284)</f>
        <v>0.5015835540976048</v>
      </c>
      <c r="EM5" s="22">
        <f t="shared" si="19"/>
        <v>2.7905066044127733</v>
      </c>
      <c r="EN5" s="60">
        <f t="shared" si="20"/>
        <v>261.90161771552391</v>
      </c>
      <c r="EO5" s="60">
        <f ca="1">AVERAGE(OFFSET($EN$3,0,0,'Données projet'!$E$15+1,1))-AVERAGE(OFFSET($H$3,0,0,'Données projet'!$E$15+1,1))</f>
        <v>207.03241199974599</v>
      </c>
      <c r="EP5" s="60">
        <f t="shared" ref="EP5:EP68" si="46">$EP$3</f>
        <v>314.188568589113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</v>
      </c>
      <c r="N6" s="14">
        <f>IF('Données projet'!$A$36&gt;35,N5+M6-V5,IF(A6&lt;'Données projet'!$A$36,$K$205^A6,IF(A6='Données projet'!$A$36,'Données projet'!$B$36,N5+M6-V5)))</f>
        <v>0</v>
      </c>
      <c r="O6" s="14" t="e">
        <f>N6*VLOOKUP('Données projet'!$B$9,Paramètres!$A$1:$I$89,3,0)*VLOOKUP('Données projet'!$B$9,Paramètres!$A$1:$I$89,5,0)</f>
        <v>#N/A</v>
      </c>
      <c r="P6" s="14" t="e">
        <f t="shared" si="33"/>
        <v>#N/A</v>
      </c>
      <c r="Q6" s="22" t="e">
        <f t="shared" si="2"/>
        <v>#N/A</v>
      </c>
      <c r="R6" s="60" t="e">
        <f t="shared" si="0"/>
        <v>#N/A</v>
      </c>
      <c r="S6" s="60" t="e">
        <f ca="1">AVERAGE(OFFSET($R$3,0,0,'Données projet'!$E$9+1,1))-AVERAGE(OFFSET($H$3,0,0,'Données projet'!$E$9+1,1))</f>
        <v>#N/A</v>
      </c>
      <c r="T6" s="60" t="e">
        <f t="shared" si="34"/>
        <v>#N/A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 t="e">
        <f>EXP(-LN(2)/35)*Z5+(1-EXP(-LN(2)/35))/(LN(2)/35)*V6*W6*VLOOKUP('Données projet'!$B$9,Paramètres!$A$1:$I$89,3,0)*0.475*44/12</f>
        <v>#N/A</v>
      </c>
      <c r="AA6" s="23" t="e">
        <f>EXP(-LN(2)/25)*AA5+(1-EXP(-LN(2)/25))/(LN(2)/25)*Calculateur!V6*Calculateur!X6*VLOOKUP('Données projet'!$B$9,Paramètres!$A$1:$I$89,3,0)*0.475*44/12</f>
        <v>#N/A</v>
      </c>
      <c r="AB6" s="23" t="e">
        <f>EXP(-LN(2)/2)*AB5+(1-EXP(-LN(2)/2))/(LN(2)/2)*V6*Y6*VLOOKUP('Données projet'!$B$9,Paramètres!$A$1:$I$89,3,0)*0.475*44/12</f>
        <v>#N/A</v>
      </c>
      <c r="AC6" s="24" t="e">
        <f t="shared" si="3"/>
        <v>#N/A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264.29973523978072</v>
      </c>
      <c r="AN6" s="60">
        <f ca="1">AVERAGE(OFFSET($AM$3,0,0,'Données projet'!$E$10+1,1))-AVERAGE(OFFSET($H$3,0,0,'Données projet'!$E$10+1,1))</f>
        <v>428.8489304403459</v>
      </c>
      <c r="AO6" s="60">
        <f t="shared" si="36"/>
        <v>247.01165577562966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10</v>
      </c>
      <c r="BD6" s="13">
        <f>IF('Données projet'!$A$88&gt;35,BD5+BC6-BL5,IF(A6&lt;'Données projet'!$A$88,$BA$205^A6,IF(A6='Données projet'!$A$88,'Données projet'!$B$88,BD5+BC6-BL5)))</f>
        <v>2.1465727583654437</v>
      </c>
      <c r="BE6" s="14">
        <f>BD6*VLOOKUP('Données projet'!$B$11,Paramètres!$A$1:$I$89,3,0)*VLOOKUP('Données projet'!$B$11,Paramètres!$A$1:$I$89,5,0)</f>
        <v>1.199934171926283</v>
      </c>
      <c r="BF6" s="14">
        <f t="shared" si="37"/>
        <v>0.54137171618945512</v>
      </c>
      <c r="BG6" s="22">
        <f t="shared" si="7"/>
        <v>3.0327744218015771</v>
      </c>
      <c r="BH6" s="60">
        <f t="shared" si="8"/>
        <v>263.36610775513492</v>
      </c>
      <c r="BI6" s="60">
        <f ca="1">AVERAGE(OFFSET($BH$3,0,0,'Données projet'!$E$11+1,1))-AVERAGE(OFFSET($H$3,0,0,'Données projet'!$E$11+1,1))</f>
        <v>374.79806286316051</v>
      </c>
      <c r="BJ6" s="60">
        <f t="shared" si="38"/>
        <v>350.01856672839466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0">
        <f t="shared" si="11"/>
        <v>264.29973523978072</v>
      </c>
      <c r="CD6" s="60">
        <f ca="1">AVERAGE(OFFSET($CC$3,0,0,'Données projet'!$E$12+1,1))-AVERAGE(OFFSET($H$3,0,0,'Données projet'!$E$12+1,1))</f>
        <v>428.8489304403459</v>
      </c>
      <c r="CE6" s="60">
        <f t="shared" si="40"/>
        <v>247.01165577562966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2.2649572649572649</v>
      </c>
      <c r="CT6" s="13">
        <f>IF('Données projet'!$A$140&gt;35,CT5+CS6-DB5,IF(A6&lt;'Données projet'!$A$140,$CQ$205^A6,IF(A6='Données projet'!$A$140,'Données projet'!$B$140,CT5+CS6-DB5)))</f>
        <v>2.024092027366712</v>
      </c>
      <c r="CU6" s="18">
        <f>CT6*VLOOKUP('Données projet'!$B$13,Paramètres!$A$1:$I$89,3,0)*VLOOKUP('Données projet'!$B$13,Paramètres!$A$1:$I$89,5,0)</f>
        <v>1.9261259732421634</v>
      </c>
      <c r="CV6" s="14">
        <f t="shared" si="41"/>
        <v>0.8224309677441014</v>
      </c>
      <c r="CW6" s="22">
        <f t="shared" si="13"/>
        <v>4.7870700055510769</v>
      </c>
      <c r="CX6" s="60">
        <f t="shared" si="14"/>
        <v>265.12040333888439</v>
      </c>
      <c r="CY6" s="60">
        <f ca="1">AVERAGE(OFFSET($CX$3,0,0,'Données projet'!$E$13+1,1))-AVERAGE(OFFSET($H$3,0,0,'Données projet'!$E$13+1,1))</f>
        <v>354.63118425028898</v>
      </c>
      <c r="CZ6" s="60">
        <f t="shared" si="42"/>
        <v>244.7141066773861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0">
        <f t="shared" si="17"/>
        <v>264.56331297563963</v>
      </c>
      <c r="DT6" s="60">
        <f ca="1">AVERAGE(OFFSET($DS$3,0,0,'Données projet'!$E$14+1,1))-AVERAGE(OFFSET($H$3,0,0,'Données projet'!$E$14+1,1))</f>
        <v>455.50822833641354</v>
      </c>
      <c r="DU6" s="60">
        <f t="shared" si="44"/>
        <v>261.14722581688039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3.2392083333333335</v>
      </c>
      <c r="EJ6" s="13">
        <f>IF('Données projet'!$A$192&gt;35,EJ5+EI6-ER5,IF(A6&lt;'Données projet'!$A$192,$EG$205^A6,IF(A6='Données projet'!$A$192,'Données projet'!$B$192,EJ5+EI6-ER5)))</f>
        <v>2.4969223213995591</v>
      </c>
      <c r="EK6" s="18">
        <f>EJ6*VLOOKUP('Données projet'!$B$15,Paramètres!$A$1:$I$89,3,0)*VLOOKUP('Données projet'!$B$15,Paramètres!$A$1:$I$89,5,0)</f>
        <v>1.4931595481969364</v>
      </c>
      <c r="EL6" s="14">
        <f t="shared" si="45"/>
        <v>0.6567382586916034</v>
      </c>
      <c r="EM6" s="22">
        <f t="shared" si="19"/>
        <v>3.74440534699754</v>
      </c>
      <c r="EN6" s="60">
        <f t="shared" si="20"/>
        <v>264.07773868033087</v>
      </c>
      <c r="EO6" s="60">
        <f ca="1">AVERAGE(OFFSET($EN$3,0,0,'Données projet'!$E$15+1,1))-AVERAGE(OFFSET($H$3,0,0,'Données projet'!$E$15+1,1))</f>
        <v>207.03241199974599</v>
      </c>
      <c r="EP6" s="60">
        <f t="shared" si="46"/>
        <v>314.188568589113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</v>
      </c>
      <c r="N7" s="14">
        <f>IF('Données projet'!$A$36&gt;35,N6+M7-V6,IF(A7&lt;'Données projet'!$A$36,$K$205^A7,IF(A7='Données projet'!$A$36,'Données projet'!$B$36,N6+M7-V6)))</f>
        <v>0</v>
      </c>
      <c r="O7" s="14" t="e">
        <f>N7*VLOOKUP('Données projet'!$B$9,Paramètres!$A$1:$I$89,3,0)*VLOOKUP('Données projet'!$B$9,Paramètres!$A$1:$I$89,5,0)</f>
        <v>#N/A</v>
      </c>
      <c r="P7" s="14" t="e">
        <f t="shared" si="33"/>
        <v>#N/A</v>
      </c>
      <c r="Q7" s="22" t="e">
        <f t="shared" si="2"/>
        <v>#N/A</v>
      </c>
      <c r="R7" s="60" t="e">
        <f t="shared" si="0"/>
        <v>#N/A</v>
      </c>
      <c r="S7" s="60" t="e">
        <f ca="1">AVERAGE(OFFSET($R$3,0,0,'Données projet'!$E$9+1,1))-AVERAGE(OFFSET($H$3,0,0,'Données projet'!$E$9+1,1))</f>
        <v>#N/A</v>
      </c>
      <c r="T7" s="60" t="e">
        <f t="shared" si="34"/>
        <v>#N/A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 t="e">
        <f>EXP(-LN(2)/35)*Z6+(1-EXP(-LN(2)/35))/(LN(2)/35)*V7*W7*VLOOKUP('Données projet'!$B$9,Paramètres!$A$1:$I$89,3,0)*0.475*44/12</f>
        <v>#N/A</v>
      </c>
      <c r="AA7" s="23" t="e">
        <f>EXP(-LN(2)/25)*AA6+(1-EXP(-LN(2)/25))/(LN(2)/25)*Calculateur!V7*Calculateur!X7*VLOOKUP('Données projet'!$B$9,Paramètres!$A$1:$I$89,3,0)*0.475*44/12</f>
        <v>#N/A</v>
      </c>
      <c r="AB7" s="23" t="e">
        <f>EXP(-LN(2)/2)*AB6+(1-EXP(-LN(2)/2))/(LN(2)/2)*V7*Y7*VLOOKUP('Données projet'!$B$9,Paramètres!$A$1:$I$89,3,0)*0.475*44/12</f>
        <v>#N/A</v>
      </c>
      <c r="AC7" s="24" t="e">
        <f t="shared" si="3"/>
        <v>#N/A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266.30572241486152</v>
      </c>
      <c r="AN7" s="60">
        <f ca="1">AVERAGE(OFFSET($AM$3,0,0,'Données projet'!$E$10+1,1))-AVERAGE(OFFSET($H$3,0,0,'Données projet'!$E$10+1,1))</f>
        <v>428.8489304403459</v>
      </c>
      <c r="AO7" s="60">
        <f t="shared" si="36"/>
        <v>247.01165577562966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10</v>
      </c>
      <c r="BD7" s="13">
        <f>IF('Données projet'!$A$88&gt;35,BD6+BC7-BL6,IF(A7&lt;'Données projet'!$A$88,$BA$205^A7,IF(A7='Données projet'!$A$88,'Données projet'!$B$88,BD6+BC7-BL6)))</f>
        <v>2.7690288761929791</v>
      </c>
      <c r="BE7" s="14">
        <f>BD7*VLOOKUP('Données projet'!$B$11,Paramètres!$A$1:$I$89,3,0)*VLOOKUP('Données projet'!$B$11,Paramètres!$A$1:$I$89,5,0)</f>
        <v>1.5478871417918754</v>
      </c>
      <c r="BF7" s="14">
        <f t="shared" si="37"/>
        <v>0.67796254889037699</v>
      </c>
      <c r="BG7" s="22">
        <f t="shared" si="7"/>
        <v>3.8766882112715897</v>
      </c>
      <c r="BH7" s="60">
        <f t="shared" si="8"/>
        <v>265.43224376682713</v>
      </c>
      <c r="BI7" s="60">
        <f ca="1">AVERAGE(OFFSET($BH$3,0,0,'Données projet'!$E$11+1,1))-AVERAGE(OFFSET($H$3,0,0,'Données projet'!$E$11+1,1))</f>
        <v>374.79806286316051</v>
      </c>
      <c r="BJ7" s="60">
        <f t="shared" si="38"/>
        <v>350.01856672839466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0">
        <f t="shared" si="11"/>
        <v>266.30572241486152</v>
      </c>
      <c r="CD7" s="60">
        <f ca="1">AVERAGE(OFFSET($CC$3,0,0,'Données projet'!$E$12+1,1))-AVERAGE(OFFSET($H$3,0,0,'Données projet'!$E$12+1,1))</f>
        <v>428.8489304403459</v>
      </c>
      <c r="CE7" s="60">
        <f t="shared" si="40"/>
        <v>247.01165577562966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2.2649572649572649</v>
      </c>
      <c r="CT7" s="13">
        <f>IF('Données projet'!$A$140&gt;35,CT6+CS7-DB6,IF(A7&lt;'Données projet'!$A$140,$CQ$205^A7,IF(A7='Données projet'!$A$140,'Données projet'!$B$140,CT6+CS7-DB6)))</f>
        <v>2.5603952077681624</v>
      </c>
      <c r="CU7" s="18">
        <f>CT7*VLOOKUP('Données projet'!$B$13,Paramètres!$A$1:$I$89,3,0)*VLOOKUP('Données projet'!$B$13,Paramètres!$A$1:$I$89,5,0)</f>
        <v>2.4364720797121833</v>
      </c>
      <c r="CV7" s="14">
        <f t="shared" si="41"/>
        <v>1.0122655860238423</v>
      </c>
      <c r="CW7" s="22">
        <f t="shared" si="13"/>
        <v>6.0065514344902446</v>
      </c>
      <c r="CX7" s="60">
        <f t="shared" si="14"/>
        <v>267.56210699004578</v>
      </c>
      <c r="CY7" s="60">
        <f ca="1">AVERAGE(OFFSET($CX$3,0,0,'Données projet'!$E$13+1,1))-AVERAGE(OFFSET($H$3,0,0,'Données projet'!$E$13+1,1))</f>
        <v>354.63118425028898</v>
      </c>
      <c r="CZ7" s="60">
        <f t="shared" si="42"/>
        <v>244.7141066773861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0">
        <f t="shared" si="17"/>
        <v>266.62156332368357</v>
      </c>
      <c r="DT7" s="60">
        <f ca="1">AVERAGE(OFFSET($DS$3,0,0,'Données projet'!$E$14+1,1))-AVERAGE(OFFSET($H$3,0,0,'Données projet'!$E$14+1,1))</f>
        <v>455.50822833641354</v>
      </c>
      <c r="DU7" s="60">
        <f t="shared" si="44"/>
        <v>261.14722581688039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3.2392083333333335</v>
      </c>
      <c r="EJ7" s="13">
        <f>IF('Données projet'!$A$192&gt;35,EJ6+EI7-ER6,IF(A7&lt;'Données projet'!$A$192,$EG$205^A7,IF(A7='Données projet'!$A$192,'Données projet'!$B$192,EJ6+EI7-ER6)))</f>
        <v>3.3874537604378059</v>
      </c>
      <c r="EK7" s="18">
        <f>EJ7*VLOOKUP('Données projet'!$B$15,Paramètres!$A$1:$I$89,3,0)*VLOOKUP('Données projet'!$B$15,Paramètres!$A$1:$I$89,5,0)</f>
        <v>2.025697348741808</v>
      </c>
      <c r="EL7" s="14">
        <f t="shared" si="45"/>
        <v>0.85988692592849703</v>
      </c>
      <c r="EM7" s="22">
        <f t="shared" si="19"/>
        <v>5.0257259450507812</v>
      </c>
      <c r="EN7" s="60">
        <f t="shared" si="20"/>
        <v>266.58128150060634</v>
      </c>
      <c r="EO7" s="60">
        <f ca="1">AVERAGE(OFFSET($EN$3,0,0,'Données projet'!$E$15+1,1))-AVERAGE(OFFSET($H$3,0,0,'Données projet'!$E$15+1,1))</f>
        <v>207.03241199974599</v>
      </c>
      <c r="EP7" s="60">
        <f t="shared" si="46"/>
        <v>314.188568589113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</v>
      </c>
      <c r="N8" s="14">
        <f>IF('Données projet'!$A$36&gt;35,N7+M8-V7,IF(A8&lt;'Données projet'!$A$36,$K$205^A8,IF(A8='Données projet'!$A$36,'Données projet'!$B$36,N7+M8-V7)))</f>
        <v>0</v>
      </c>
      <c r="O8" s="14" t="e">
        <f>N8*VLOOKUP('Données projet'!$B$9,Paramètres!$A$1:$I$89,3,0)*VLOOKUP('Données projet'!$B$9,Paramètres!$A$1:$I$89,5,0)</f>
        <v>#N/A</v>
      </c>
      <c r="P8" s="14" t="e">
        <f t="shared" si="33"/>
        <v>#N/A</v>
      </c>
      <c r="Q8" s="22" t="e">
        <f t="shared" si="2"/>
        <v>#N/A</v>
      </c>
      <c r="R8" s="60" t="e">
        <f t="shared" si="0"/>
        <v>#N/A</v>
      </c>
      <c r="S8" s="60" t="e">
        <f ca="1">AVERAGE(OFFSET($R$3,0,0,'Données projet'!$E$9+1,1))-AVERAGE(OFFSET($H$3,0,0,'Données projet'!$E$9+1,1))</f>
        <v>#N/A</v>
      </c>
      <c r="T8" s="60" t="e">
        <f t="shared" si="34"/>
        <v>#N/A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 t="e">
        <f>EXP(-LN(2)/35)*Z7+(1-EXP(-LN(2)/35))/(LN(2)/35)*V8*W8*VLOOKUP('Données projet'!$B$9,Paramètres!$A$1:$I$89,3,0)*0.475*44/12</f>
        <v>#N/A</v>
      </c>
      <c r="AA8" s="23" t="e">
        <f>EXP(-LN(2)/25)*AA7+(1-EXP(-LN(2)/25))/(LN(2)/25)*Calculateur!V8*Calculateur!X8*VLOOKUP('Données projet'!$B$9,Paramètres!$A$1:$I$89,3,0)*0.475*44/12</f>
        <v>#N/A</v>
      </c>
      <c r="AB8" s="23" t="e">
        <f>EXP(-LN(2)/2)*AB7+(1-EXP(-LN(2)/2))/(LN(2)/2)*V8*Y8*VLOOKUP('Données projet'!$B$9,Paramètres!$A$1:$I$89,3,0)*0.475*44/12</f>
        <v>#N/A</v>
      </c>
      <c r="AC8" s="24" t="e">
        <f t="shared" si="3"/>
        <v>#N/A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268.46714702955143</v>
      </c>
      <c r="AN8" s="60">
        <f ca="1">AVERAGE(OFFSET($AM$3,0,0,'Données projet'!$E$10+1,1))-AVERAGE(OFFSET($H$3,0,0,'Données projet'!$E$10+1,1))</f>
        <v>428.8489304403459</v>
      </c>
      <c r="AO8" s="60">
        <f t="shared" si="36"/>
        <v>247.01165577562966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10</v>
      </c>
      <c r="BD8" s="13">
        <f>IF('Données projet'!$A$88&gt;35,BD7+BC8-BL7,IF(A8&lt;'Données projet'!$A$88,$BA$205^A8,IF(A8='Données projet'!$A$88,'Données projet'!$B$88,BD7+BC8-BL7)))</f>
        <v>3.5719827745457646</v>
      </c>
      <c r="BE8" s="14">
        <f>BD8*VLOOKUP('Données projet'!$B$11,Paramètres!$A$1:$I$89,3,0)*VLOOKUP('Données projet'!$B$11,Paramètres!$A$1:$I$89,5,0)</f>
        <v>1.9967383709710824</v>
      </c>
      <c r="BF8" s="14">
        <f t="shared" si="37"/>
        <v>0.84901594219430265</v>
      </c>
      <c r="BG8" s="22">
        <f t="shared" si="7"/>
        <v>4.9563554287630449</v>
      </c>
      <c r="BH8" s="60">
        <f t="shared" si="8"/>
        <v>267.73413320654083</v>
      </c>
      <c r="BI8" s="60">
        <f ca="1">AVERAGE(OFFSET($BH$3,0,0,'Données projet'!$E$11+1,1))-AVERAGE(OFFSET($H$3,0,0,'Données projet'!$E$11+1,1))</f>
        <v>374.79806286316051</v>
      </c>
      <c r="BJ8" s="60">
        <f t="shared" si="38"/>
        <v>350.01856672839466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0">
        <f t="shared" si="11"/>
        <v>268.46714702955143</v>
      </c>
      <c r="CD8" s="60">
        <f ca="1">AVERAGE(OFFSET($CC$3,0,0,'Données projet'!$E$12+1,1))-AVERAGE(OFFSET($H$3,0,0,'Données projet'!$E$12+1,1))</f>
        <v>428.8489304403459</v>
      </c>
      <c r="CE8" s="60">
        <f t="shared" si="40"/>
        <v>247.01165577562966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2.2649572649572649</v>
      </c>
      <c r="CT8" s="13">
        <f>IF('Données projet'!$A$140&gt;35,CT7+CS8-DB7,IF(A8&lt;'Données projet'!$A$140,$CQ$205^A8,IF(A8='Données projet'!$A$140,'Données projet'!$B$140,CT7+CS8-DB7)))</f>
        <v>3.2387972144185837</v>
      </c>
      <c r="CU8" s="18">
        <f>CT8*VLOOKUP('Données projet'!$B$13,Paramètres!$A$1:$I$89,3,0)*VLOOKUP('Données projet'!$B$13,Paramètres!$A$1:$I$89,5,0)</f>
        <v>3.0820394292407243</v>
      </c>
      <c r="CV8" s="14">
        <f t="shared" si="41"/>
        <v>1.2459180853304419</v>
      </c>
      <c r="CW8" s="22">
        <f t="shared" si="13"/>
        <v>7.5378593378781131</v>
      </c>
      <c r="CX8" s="60">
        <f t="shared" si="14"/>
        <v>270.31563711565587</v>
      </c>
      <c r="CY8" s="60">
        <f ca="1">AVERAGE(OFFSET($CX$3,0,0,'Données projet'!$E$13+1,1))-AVERAGE(OFFSET($H$3,0,0,'Données projet'!$E$13+1,1))</f>
        <v>354.63118425028898</v>
      </c>
      <c r="CZ8" s="60">
        <f t="shared" si="42"/>
        <v>244.7141066773861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0">
        <f t="shared" si="17"/>
        <v>268.84564962107572</v>
      </c>
      <c r="DT8" s="60">
        <f ca="1">AVERAGE(OFFSET($DS$3,0,0,'Données projet'!$E$14+1,1))-AVERAGE(OFFSET($H$3,0,0,'Données projet'!$E$14+1,1))</f>
        <v>455.50822833641354</v>
      </c>
      <c r="DU8" s="60">
        <f t="shared" si="44"/>
        <v>261.14722581688039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3.2392083333333335</v>
      </c>
      <c r="EJ8" s="13">
        <f>IF('Données projet'!$A$192&gt;35,EJ7+EI8-ER7,IF(A8&lt;'Données projet'!$A$192,$EG$205^A8,IF(A8='Données projet'!$A$192,'Données projet'!$B$192,EJ7+EI8-ER7)))</f>
        <v>4.5955946970238246</v>
      </c>
      <c r="EK8" s="18">
        <f>EJ8*VLOOKUP('Données projet'!$B$15,Paramètres!$A$1:$I$89,3,0)*VLOOKUP('Données projet'!$B$15,Paramètres!$A$1:$I$89,5,0)</f>
        <v>2.7481656288202476</v>
      </c>
      <c r="EL8" s="14">
        <f t="shared" si="45"/>
        <v>1.1258755152408089</v>
      </c>
      <c r="EM8" s="22">
        <f t="shared" si="19"/>
        <v>6.7472883259063394</v>
      </c>
      <c r="EN8" s="60">
        <f t="shared" si="20"/>
        <v>269.52506610368414</v>
      </c>
      <c r="EO8" s="60">
        <f ca="1">AVERAGE(OFFSET($EN$3,0,0,'Données projet'!$E$15+1,1))-AVERAGE(OFFSET($H$3,0,0,'Données projet'!$E$15+1,1))</f>
        <v>207.03241199974599</v>
      </c>
      <c r="EP8" s="60">
        <f t="shared" si="46"/>
        <v>314.188568589113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</v>
      </c>
      <c r="N9" s="14">
        <f>IF('Données projet'!$A$36&gt;35,N8+M9-V8,IF(A9&lt;'Données projet'!$A$36,$K$205^A9,IF(A9='Données projet'!$A$36,'Données projet'!$B$36,N8+M9-V8)))</f>
        <v>0</v>
      </c>
      <c r="O9" s="14" t="e">
        <f>N9*VLOOKUP('Données projet'!$B$9,Paramètres!$A$1:$I$89,3,0)*VLOOKUP('Données projet'!$B$9,Paramètres!$A$1:$I$89,5,0)</f>
        <v>#N/A</v>
      </c>
      <c r="P9" s="14" t="e">
        <f t="shared" si="33"/>
        <v>#N/A</v>
      </c>
      <c r="Q9" s="22" t="e">
        <f t="shared" si="2"/>
        <v>#N/A</v>
      </c>
      <c r="R9" s="60" t="e">
        <f t="shared" si="0"/>
        <v>#N/A</v>
      </c>
      <c r="S9" s="60" t="e">
        <f ca="1">AVERAGE(OFFSET($R$3,0,0,'Données projet'!$E$9+1,1))-AVERAGE(OFFSET($H$3,0,0,'Données projet'!$E$9+1,1))</f>
        <v>#N/A</v>
      </c>
      <c r="T9" s="60" t="e">
        <f t="shared" si="34"/>
        <v>#N/A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 t="e">
        <f>EXP(-LN(2)/35)*Z8+(1-EXP(-LN(2)/35))/(LN(2)/35)*V9*W9*VLOOKUP('Données projet'!$B$9,Paramètres!$A$1:$I$89,3,0)*0.475*44/12</f>
        <v>#N/A</v>
      </c>
      <c r="AA9" s="23" t="e">
        <f>EXP(-LN(2)/25)*AA8+(1-EXP(-LN(2)/25))/(LN(2)/25)*Calculateur!V9*Calculateur!X9*VLOOKUP('Données projet'!$B$9,Paramètres!$A$1:$I$89,3,0)*0.475*44/12</f>
        <v>#N/A</v>
      </c>
      <c r="AB9" s="23" t="e">
        <f>EXP(-LN(2)/2)*AB8+(1-EXP(-LN(2)/2))/(LN(2)/2)*V9*Y9*VLOOKUP('Données projet'!$B$9,Paramètres!$A$1:$I$89,3,0)*0.475*44/12</f>
        <v>#N/A</v>
      </c>
      <c r="AC9" s="24" t="e">
        <f t="shared" si="3"/>
        <v>#N/A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270.81494110736412</v>
      </c>
      <c r="AN9" s="60">
        <f ca="1">AVERAGE(OFFSET($AM$3,0,0,'Données projet'!$E$10+1,1))-AVERAGE(OFFSET($H$3,0,0,'Données projet'!$E$10+1,1))</f>
        <v>428.8489304403459</v>
      </c>
      <c r="AO9" s="60">
        <f t="shared" si="36"/>
        <v>247.01165577562966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10</v>
      </c>
      <c r="BD9" s="13">
        <f>IF('Données projet'!$A$88&gt;35,BD8+BC9-BL8,IF(A9&lt;'Données projet'!$A$88,$BA$205^A9,IF(A9='Données projet'!$A$88,'Données projet'!$B$88,BD8+BC9-BL8)))</f>
        <v>4.607774606956629</v>
      </c>
      <c r="BE9" s="14">
        <f>BD9*VLOOKUP('Données projet'!$B$11,Paramètres!$A$1:$I$89,3,0)*VLOOKUP('Données projet'!$B$11,Paramètres!$A$1:$I$89,5,0)</f>
        <v>2.5757460052887557</v>
      </c>
      <c r="BF9" s="14">
        <f t="shared" si="37"/>
        <v>1.0632269751181105</v>
      </c>
      <c r="BG9" s="22">
        <f t="shared" si="7"/>
        <v>6.3378779408752912</v>
      </c>
      <c r="BH9" s="60">
        <f t="shared" si="8"/>
        <v>270.33787794087527</v>
      </c>
      <c r="BI9" s="60">
        <f ca="1">AVERAGE(OFFSET($BH$3,0,0,'Données projet'!$E$11+1,1))-AVERAGE(OFFSET($H$3,0,0,'Données projet'!$E$11+1,1))</f>
        <v>374.79806286316051</v>
      </c>
      <c r="BJ9" s="60">
        <f t="shared" si="38"/>
        <v>350.01856672839466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0">
        <f t="shared" si="11"/>
        <v>270.81494110736412</v>
      </c>
      <c r="CD9" s="60">
        <f ca="1">AVERAGE(OFFSET($CC$3,0,0,'Données projet'!$E$12+1,1))-AVERAGE(OFFSET($H$3,0,0,'Données projet'!$E$12+1,1))</f>
        <v>428.8489304403459</v>
      </c>
      <c r="CE9" s="60">
        <f t="shared" si="40"/>
        <v>247.01165577562966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2.2649572649572649</v>
      </c>
      <c r="CT9" s="13">
        <f>IF('Données projet'!$A$140&gt;35,CT8+CS9-DB8,IF(A9&lt;'Données projet'!$A$140,$CQ$205^A9,IF(A9='Données projet'!$A$140,'Données projet'!$B$140,CT8+CS9-DB8)))</f>
        <v>4.0969485352494868</v>
      </c>
      <c r="CU9" s="18">
        <f>CT9*VLOOKUP('Données projet'!$B$13,Paramètres!$A$1:$I$89,3,0)*VLOOKUP('Données projet'!$B$13,Paramètres!$A$1:$I$89,5,0)</f>
        <v>3.8986562261434119</v>
      </c>
      <c r="CV9" s="14">
        <f t="shared" si="41"/>
        <v>1.5335025676916687</v>
      </c>
      <c r="CW9" s="22">
        <f t="shared" si="13"/>
        <v>9.4610098992627645</v>
      </c>
      <c r="CX9" s="60">
        <f t="shared" si="14"/>
        <v>273.46100989926276</v>
      </c>
      <c r="CY9" s="60">
        <f ca="1">AVERAGE(OFFSET($CX$3,0,0,'Données projet'!$E$13+1,1))-AVERAGE(OFFSET($H$3,0,0,'Données projet'!$E$13+1,1))</f>
        <v>354.63118425028898</v>
      </c>
      <c r="CZ9" s="60">
        <f t="shared" si="42"/>
        <v>244.7141066773861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0">
        <f t="shared" si="17"/>
        <v>271.26857944350741</v>
      </c>
      <c r="DT9" s="60">
        <f ca="1">AVERAGE(OFFSET($DS$3,0,0,'Données projet'!$E$14+1,1))-AVERAGE(OFFSET($H$3,0,0,'Données projet'!$E$14+1,1))</f>
        <v>455.50822833641354</v>
      </c>
      <c r="DU9" s="60">
        <f t="shared" si="44"/>
        <v>261.14722581688039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3.2392083333333335</v>
      </c>
      <c r="EJ9" s="13">
        <f>IF('Données projet'!$A$192&gt;35,EJ8+EI9-ER8,IF(A9&lt;'Données projet'!$A$192,$EG$205^A9,IF(A9='Données projet'!$A$192,'Données projet'!$B$192,EJ8+EI9-ER8)))</f>
        <v>6.2346210791033627</v>
      </c>
      <c r="EK9" s="18">
        <f>EJ9*VLOOKUP('Données projet'!$B$15,Paramètres!$A$1:$I$89,3,0)*VLOOKUP('Données projet'!$B$15,Paramètres!$A$1:$I$89,5,0)</f>
        <v>3.7283034053038109</v>
      </c>
      <c r="EL9" s="14">
        <f t="shared" si="45"/>
        <v>1.4741422826611996</v>
      </c>
      <c r="EM9" s="22">
        <f t="shared" si="19"/>
        <v>9.0609262398723924</v>
      </c>
      <c r="EN9" s="60">
        <f t="shared" si="20"/>
        <v>273.0609262398724</v>
      </c>
      <c r="EO9" s="60">
        <f ca="1">AVERAGE(OFFSET($EN$3,0,0,'Données projet'!$E$15+1,1))-AVERAGE(OFFSET($H$3,0,0,'Données projet'!$E$15+1,1))</f>
        <v>207.03241199974599</v>
      </c>
      <c r="EP9" s="60">
        <f t="shared" si="46"/>
        <v>314.188568589113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</v>
      </c>
      <c r="N10" s="14">
        <f>IF('Données projet'!$A$36&gt;35,N9+M10-V9,IF(A10&lt;'Données projet'!$A$36,$K$205^A10,IF(A10='Données projet'!$A$36,'Données projet'!$B$36,N9+M10-V9)))</f>
        <v>0</v>
      </c>
      <c r="O10" s="14" t="e">
        <f>N10*VLOOKUP('Données projet'!$B$9,Paramètres!$A$1:$I$89,3,0)*VLOOKUP('Données projet'!$B$9,Paramètres!$A$1:$I$89,5,0)</f>
        <v>#N/A</v>
      </c>
      <c r="P10" s="14" t="e">
        <f t="shared" si="33"/>
        <v>#N/A</v>
      </c>
      <c r="Q10" s="22" t="e">
        <f t="shared" si="2"/>
        <v>#N/A</v>
      </c>
      <c r="R10" s="60" t="e">
        <f t="shared" si="0"/>
        <v>#N/A</v>
      </c>
      <c r="S10" s="60" t="e">
        <f ca="1">AVERAGE(OFFSET($R$3,0,0,'Données projet'!$E$9+1,1))-AVERAGE(OFFSET($H$3,0,0,'Données projet'!$E$9+1,1))</f>
        <v>#N/A</v>
      </c>
      <c r="T10" s="60" t="e">
        <f t="shared" si="34"/>
        <v>#N/A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 t="e">
        <f>EXP(-LN(2)/35)*Z9+(1-EXP(-LN(2)/35))/(LN(2)/35)*V10*W10*VLOOKUP('Données projet'!$B$9,Paramètres!$A$1:$I$89,3,0)*0.475*44/12</f>
        <v>#N/A</v>
      </c>
      <c r="AA10" s="23" t="e">
        <f>EXP(-LN(2)/25)*AA9+(1-EXP(-LN(2)/25))/(LN(2)/25)*Calculateur!V10*Calculateur!X10*VLOOKUP('Données projet'!$B$9,Paramètres!$A$1:$I$89,3,0)*0.475*44/12</f>
        <v>#N/A</v>
      </c>
      <c r="AB10" s="23" t="e">
        <f>EXP(-LN(2)/2)*AB9+(1-EXP(-LN(2)/2))/(LN(2)/2)*V10*Y10*VLOOKUP('Données projet'!$B$9,Paramètres!$A$1:$I$89,3,0)*0.475*44/12</f>
        <v>#N/A</v>
      </c>
      <c r="AC10" s="24" t="e">
        <f t="shared" si="3"/>
        <v>#N/A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273.38621175408076</v>
      </c>
      <c r="AN10" s="60">
        <f ca="1">AVERAGE(OFFSET($AM$3,0,0,'Données projet'!$E$10+1,1))-AVERAGE(OFFSET($H$3,0,0,'Données projet'!$E$10+1,1))</f>
        <v>428.8489304403459</v>
      </c>
      <c r="AO10" s="60">
        <f t="shared" si="36"/>
        <v>247.01165577562966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10</v>
      </c>
      <c r="BD10" s="13">
        <f>IF('Données projet'!$A$88&gt;35,BD9+BC10-BL9,IF(A10&lt;'Données projet'!$A$88,$BA$205^A10,IF(A10='Données projet'!$A$88,'Données projet'!$B$88,BD9+BC10-BL9)))</f>
        <v>5.9439219527631275</v>
      </c>
      <c r="BE10" s="14">
        <f>BD10*VLOOKUP('Données projet'!$B$11,Paramètres!$A$1:$I$89,3,0)*VLOOKUP('Données projet'!$B$11,Paramètres!$A$1:$I$89,5,0)</f>
        <v>3.3226523715945881</v>
      </c>
      <c r="BF10" s="14">
        <f t="shared" si="37"/>
        <v>1.3314845392621566</v>
      </c>
      <c r="BG10" s="22">
        <f t="shared" si="7"/>
        <v>8.1059551197421627</v>
      </c>
      <c r="BH10" s="60">
        <f t="shared" si="8"/>
        <v>273.32817734196442</v>
      </c>
      <c r="BI10" s="60">
        <f ca="1">AVERAGE(OFFSET($BH$3,0,0,'Données projet'!$E$11+1,1))-AVERAGE(OFFSET($H$3,0,0,'Données projet'!$E$11+1,1))</f>
        <v>374.79806286316051</v>
      </c>
      <c r="BJ10" s="60">
        <f t="shared" si="38"/>
        <v>350.01856672839466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0">
        <f t="shared" si="11"/>
        <v>273.38621175408076</v>
      </c>
      <c r="CD10" s="60">
        <f ca="1">AVERAGE(OFFSET($CC$3,0,0,'Données projet'!$E$12+1,1))-AVERAGE(OFFSET($H$3,0,0,'Données projet'!$E$12+1,1))</f>
        <v>428.8489304403459</v>
      </c>
      <c r="CE10" s="60">
        <f t="shared" si="40"/>
        <v>247.01165577562966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2.2649572649572649</v>
      </c>
      <c r="CT10" s="13">
        <f>IF('Données projet'!$A$140&gt;35,CT9+CS10-DB9,IF(A10&lt;'Données projet'!$A$140,$CQ$205^A10,IF(A10='Données projet'!$A$140,'Données projet'!$B$140,CT9+CS10-DB9)))</f>
        <v>5.1824755269514737</v>
      </c>
      <c r="CU10" s="18">
        <f>CT10*VLOOKUP('Données projet'!$B$13,Paramètres!$A$1:$I$89,3,0)*VLOOKUP('Données projet'!$B$13,Paramètres!$A$1:$I$89,5,0)</f>
        <v>4.9316437114470224</v>
      </c>
      <c r="CV10" s="14">
        <f t="shared" si="41"/>
        <v>1.8874676857212829</v>
      </c>
      <c r="CW10" s="22">
        <f t="shared" si="13"/>
        <v>11.876619016734798</v>
      </c>
      <c r="CX10" s="60">
        <f t="shared" si="14"/>
        <v>277.09884123895705</v>
      </c>
      <c r="CY10" s="60">
        <f ca="1">AVERAGE(OFFSET($CX$3,0,0,'Données projet'!$E$13+1,1))-AVERAGE(OFFSET($H$3,0,0,'Données projet'!$E$13+1,1))</f>
        <v>354.63118425028898</v>
      </c>
      <c r="CZ10" s="60">
        <f t="shared" si="42"/>
        <v>244.7141066773861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0">
        <f t="shared" si="17"/>
        <v>273.92995095848107</v>
      </c>
      <c r="DT10" s="60">
        <f ca="1">AVERAGE(OFFSET($DS$3,0,0,'Données projet'!$E$14+1,1))-AVERAGE(OFFSET($H$3,0,0,'Données projet'!$E$14+1,1))</f>
        <v>455.50822833641354</v>
      </c>
      <c r="DU10" s="60">
        <f t="shared" si="44"/>
        <v>261.14722581688039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3.2392083333333335</v>
      </c>
      <c r="EJ10" s="13">
        <f>IF('Données projet'!$A$192&gt;35,EJ9+EI10-ER9,IF(A10&lt;'Données projet'!$A$192,$EG$205^A10,IF(A10='Données projet'!$A$192,'Données projet'!$B$192,EJ9+EI10-ER9)))</f>
        <v>8.458208907146032</v>
      </c>
      <c r="EK10" s="18">
        <f>EJ10*VLOOKUP('Données projet'!$B$15,Paramètres!$A$1:$I$89,3,0)*VLOOKUP('Données projet'!$B$15,Paramètres!$A$1:$I$89,5,0)</f>
        <v>5.0580089264733274</v>
      </c>
      <c r="EL10" s="14">
        <f t="shared" si="45"/>
        <v>1.9301383146828432</v>
      </c>
      <c r="EM10" s="22">
        <f t="shared" si="19"/>
        <v>12.171023111680329</v>
      </c>
      <c r="EN10" s="60">
        <f t="shared" si="20"/>
        <v>277.39324533390254</v>
      </c>
      <c r="EO10" s="60">
        <f ca="1">AVERAGE(OFFSET($EN$3,0,0,'Données projet'!$E$15+1,1))-AVERAGE(OFFSET($H$3,0,0,'Données projet'!$E$15+1,1))</f>
        <v>207.03241199974599</v>
      </c>
      <c r="EP10" s="60">
        <f t="shared" si="46"/>
        <v>314.188568589113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</v>
      </c>
      <c r="N11" s="14">
        <f>IF('Données projet'!$A$36&gt;35,N10+M11-V10,IF(A11&lt;'Données projet'!$A$36,$K$205^A11,IF(A11='Données projet'!$A$36,'Données projet'!$B$36,N10+M11-V10)))</f>
        <v>0</v>
      </c>
      <c r="O11" s="14" t="e">
        <f>N11*VLOOKUP('Données projet'!$B$9,Paramètres!$A$1:$I$89,3,0)*VLOOKUP('Données projet'!$B$9,Paramètres!$A$1:$I$89,5,0)</f>
        <v>#N/A</v>
      </c>
      <c r="P11" s="14" t="e">
        <f t="shared" si="33"/>
        <v>#N/A</v>
      </c>
      <c r="Q11" s="22" t="e">
        <f t="shared" si="2"/>
        <v>#N/A</v>
      </c>
      <c r="R11" s="60" t="e">
        <f t="shared" si="0"/>
        <v>#N/A</v>
      </c>
      <c r="S11" s="60" t="e">
        <f ca="1">AVERAGE(OFFSET($R$3,0,0,'Données projet'!$E$9+1,1))-AVERAGE(OFFSET($H$3,0,0,'Données projet'!$E$9+1,1))</f>
        <v>#N/A</v>
      </c>
      <c r="T11" s="60" t="e">
        <f t="shared" si="34"/>
        <v>#N/A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 t="e">
        <f>EXP(-LN(2)/35)*Z10+(1-EXP(-LN(2)/35))/(LN(2)/35)*V11*W11*VLOOKUP('Données projet'!$B$9,Paramètres!$A$1:$I$89,3,0)*0.475*44/12</f>
        <v>#N/A</v>
      </c>
      <c r="AA11" s="23" t="e">
        <f>EXP(-LN(2)/25)*AA10+(1-EXP(-LN(2)/25))/(LN(2)/25)*Calculateur!V11*Calculateur!X11*VLOOKUP('Données projet'!$B$9,Paramètres!$A$1:$I$89,3,0)*0.475*44/12</f>
        <v>#N/A</v>
      </c>
      <c r="AB11" s="23" t="e">
        <f>EXP(-LN(2)/2)*AB10+(1-EXP(-LN(2)/2))/(LN(2)/2)*V11*Y11*VLOOKUP('Données projet'!$B$9,Paramètres!$A$1:$I$89,3,0)*0.475*44/12</f>
        <v>#N/A</v>
      </c>
      <c r="AC11" s="24" t="e">
        <f t="shared" si="3"/>
        <v>#N/A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276.22547755046565</v>
      </c>
      <c r="AN11" s="60">
        <f ca="1">AVERAGE(OFFSET($AM$3,0,0,'Données projet'!$E$10+1,1))-AVERAGE(OFFSET($H$3,0,0,'Données projet'!$E$10+1,1))</f>
        <v>428.8489304403459</v>
      </c>
      <c r="AO11" s="60">
        <f t="shared" si="36"/>
        <v>247.01165577562966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10</v>
      </c>
      <c r="BD11" s="13">
        <f>IF('Données projet'!$A$88&gt;35,BD10+BC11-BL10,IF(A11&lt;'Données projet'!$A$88,$BA$205^A11,IF(A11='Données projet'!$A$88,'Données projet'!$B$88,BD10+BC11-BL10)))</f>
        <v>7.6675209171905525</v>
      </c>
      <c r="BE11" s="14">
        <f>BD11*VLOOKUP('Données projet'!$B$11,Paramètres!$A$1:$I$89,3,0)*VLOOKUP('Données projet'!$B$11,Paramètres!$A$1:$I$89,5,0)</f>
        <v>4.2861441927095187</v>
      </c>
      <c r="BF11" s="14">
        <f t="shared" si="37"/>
        <v>1.6674248488637313</v>
      </c>
      <c r="BG11" s="22">
        <f t="shared" si="7"/>
        <v>10.369132747406743</v>
      </c>
      <c r="BH11" s="60">
        <f t="shared" si="8"/>
        <v>276.81357719185121</v>
      </c>
      <c r="BI11" s="60">
        <f ca="1">AVERAGE(OFFSET($BH$3,0,0,'Données projet'!$E$11+1,1))-AVERAGE(OFFSET($H$3,0,0,'Données projet'!$E$11+1,1))</f>
        <v>374.79806286316051</v>
      </c>
      <c r="BJ11" s="60">
        <f t="shared" si="38"/>
        <v>350.01856672839466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0">
        <f t="shared" si="11"/>
        <v>276.22547755046565</v>
      </c>
      <c r="CD11" s="60">
        <f ca="1">AVERAGE(OFFSET($CC$3,0,0,'Données projet'!$E$12+1,1))-AVERAGE(OFFSET($H$3,0,0,'Données projet'!$E$12+1,1))</f>
        <v>428.8489304403459</v>
      </c>
      <c r="CE11" s="60">
        <f t="shared" si="40"/>
        <v>247.01165577562966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2.2649572649572649</v>
      </c>
      <c r="CT11" s="13">
        <f>IF('Données projet'!$A$140&gt;35,CT10+CS11-DB10,IF(A11&lt;'Données projet'!$A$140,$CQ$205^A11,IF(A11='Données projet'!$A$140,'Données projet'!$B$140,CT10+CS11-DB10)))</f>
        <v>6.555623619962172</v>
      </c>
      <c r="CU11" s="18">
        <f>CT11*VLOOKUP('Données projet'!$B$13,Paramètres!$A$1:$I$89,3,0)*VLOOKUP('Données projet'!$B$13,Paramètres!$A$1:$I$89,5,0)</f>
        <v>6.2383314367560025</v>
      </c>
      <c r="CV11" s="14">
        <f t="shared" si="41"/>
        <v>2.3231355067142938</v>
      </c>
      <c r="CW11" s="22">
        <f t="shared" si="13"/>
        <v>14.911221593210763</v>
      </c>
      <c r="CX11" s="60">
        <f t="shared" si="14"/>
        <v>281.35566603765523</v>
      </c>
      <c r="CY11" s="60">
        <f ca="1">AVERAGE(OFFSET($CX$3,0,0,'Données projet'!$E$13+1,1))-AVERAGE(OFFSET($H$3,0,0,'Données projet'!$E$13+1,1))</f>
        <v>354.63118425028898</v>
      </c>
      <c r="CZ11" s="60">
        <f t="shared" si="42"/>
        <v>244.7141066773861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0">
        <f t="shared" si="17"/>
        <v>276.87727272670787</v>
      </c>
      <c r="DT11" s="60">
        <f ca="1">AVERAGE(OFFSET($DS$3,0,0,'Données projet'!$E$14+1,1))-AVERAGE(OFFSET($H$3,0,0,'Données projet'!$E$14+1,1))</f>
        <v>455.50822833641354</v>
      </c>
      <c r="DU11" s="60">
        <f t="shared" si="44"/>
        <v>261.14722581688039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3.2392083333333335</v>
      </c>
      <c r="EJ11" s="13">
        <f>IF('Données projet'!$A$192&gt;35,EJ10+EI11-ER10,IF(A11&lt;'Données projet'!$A$192,$EG$205^A11,IF(A11='Données projet'!$A$192,'Données projet'!$B$192,EJ10+EI11-ER10)))</f>
        <v>11.474842979104231</v>
      </c>
      <c r="EK11" s="18">
        <f>EJ11*VLOOKUP('Données projet'!$B$15,Paramètres!$A$1:$I$89,3,0)*VLOOKUP('Données projet'!$B$15,Paramètres!$A$1:$I$89,5,0)</f>
        <v>6.8619561015043313</v>
      </c>
      <c r="EL11" s="14">
        <f t="shared" si="45"/>
        <v>2.5271874754731107</v>
      </c>
      <c r="EM11" s="22">
        <f t="shared" si="19"/>
        <v>16.352758396569048</v>
      </c>
      <c r="EN11" s="60">
        <f t="shared" si="20"/>
        <v>282.79720284101353</v>
      </c>
      <c r="EO11" s="60">
        <f ca="1">AVERAGE(OFFSET($EN$3,0,0,'Données projet'!$E$15+1,1))-AVERAGE(OFFSET($H$3,0,0,'Données projet'!$E$15+1,1))</f>
        <v>207.03241199974599</v>
      </c>
      <c r="EP11" s="60">
        <f t="shared" si="46"/>
        <v>314.188568589113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</v>
      </c>
      <c r="N12" s="14">
        <f>IF('Données projet'!$A$36&gt;35,N11+M12-V11,IF(A12&lt;'Données projet'!$A$36,$K$205^A12,IF(A12='Données projet'!$A$36,'Données projet'!$B$36,N11+M12-V11)))</f>
        <v>0</v>
      </c>
      <c r="O12" s="14" t="e">
        <f>N12*VLOOKUP('Données projet'!$B$9,Paramètres!$A$1:$I$89,3,0)*VLOOKUP('Données projet'!$B$9,Paramètres!$A$1:$I$89,5,0)</f>
        <v>#N/A</v>
      </c>
      <c r="P12" s="14" t="e">
        <f t="shared" si="33"/>
        <v>#N/A</v>
      </c>
      <c r="Q12" s="22" t="e">
        <f t="shared" si="2"/>
        <v>#N/A</v>
      </c>
      <c r="R12" s="60" t="e">
        <f t="shared" si="0"/>
        <v>#N/A</v>
      </c>
      <c r="S12" s="60" t="e">
        <f ca="1">AVERAGE(OFFSET($R$3,0,0,'Données projet'!$E$9+1,1))-AVERAGE(OFFSET($H$3,0,0,'Données projet'!$E$9+1,1))</f>
        <v>#N/A</v>
      </c>
      <c r="T12" s="60" t="e">
        <f t="shared" si="34"/>
        <v>#N/A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 t="e">
        <f>EXP(-LN(2)/35)*Z11+(1-EXP(-LN(2)/35))/(LN(2)/35)*V12*W12*VLOOKUP('Données projet'!$B$9,Paramètres!$A$1:$I$89,3,0)*0.475*44/12</f>
        <v>#N/A</v>
      </c>
      <c r="AA12" s="23" t="e">
        <f>EXP(-LN(2)/25)*AA11+(1-EXP(-LN(2)/25))/(LN(2)/25)*Calculateur!V12*Calculateur!X12*VLOOKUP('Données projet'!$B$9,Paramètres!$A$1:$I$89,3,0)*0.475*44/12</f>
        <v>#N/A</v>
      </c>
      <c r="AB12" s="23" t="e">
        <f>EXP(-LN(2)/2)*AB11+(1-EXP(-LN(2)/2))/(LN(2)/2)*V12*Y12*VLOOKUP('Données projet'!$B$9,Paramètres!$A$1:$I$89,3,0)*0.475*44/12</f>
        <v>#N/A</v>
      </c>
      <c r="AC12" s="24" t="e">
        <f t="shared" si="3"/>
        <v>#N/A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279.38615317116773</v>
      </c>
      <c r="AN12" s="60">
        <f ca="1">AVERAGE(OFFSET($AM$3,0,0,'Données projet'!$E$10+1,1))-AVERAGE(OFFSET($H$3,0,0,'Données projet'!$E$10+1,1))</f>
        <v>428.8489304403459</v>
      </c>
      <c r="AO12" s="60">
        <f t="shared" si="36"/>
        <v>247.01165577562966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10</v>
      </c>
      <c r="BD12" s="13">
        <f>IF('Données projet'!$A$88&gt;35,BD11+BC12-BL11,IF(A12&lt;'Données projet'!$A$88,$BA$205^A12,IF(A12='Données projet'!$A$88,'Données projet'!$B$88,BD11+BC12-BL11)))</f>
        <v>9.8909234479811374</v>
      </c>
      <c r="BE12" s="14">
        <f>BD12*VLOOKUP('Données projet'!$B$11,Paramètres!$A$1:$I$89,3,0)*VLOOKUP('Données projet'!$B$11,Paramètres!$A$1:$I$89,5,0)</f>
        <v>5.529026207421456</v>
      </c>
      <c r="BF12" s="14">
        <f t="shared" si="37"/>
        <v>2.0881246042473354</v>
      </c>
      <c r="BG12" s="22">
        <f t="shared" si="7"/>
        <v>13.266537663656479</v>
      </c>
      <c r="BH12" s="60">
        <f t="shared" si="8"/>
        <v>280.93320433032318</v>
      </c>
      <c r="BI12" s="60">
        <f ca="1">AVERAGE(OFFSET($BH$3,0,0,'Données projet'!$E$11+1,1))-AVERAGE(OFFSET($H$3,0,0,'Données projet'!$E$11+1,1))</f>
        <v>374.79806286316051</v>
      </c>
      <c r="BJ12" s="60">
        <f t="shared" si="38"/>
        <v>350.01856672839466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0">
        <f t="shared" si="11"/>
        <v>279.38615317116773</v>
      </c>
      <c r="CD12" s="60">
        <f ca="1">AVERAGE(OFFSET($CC$3,0,0,'Données projet'!$E$12+1,1))-AVERAGE(OFFSET($H$3,0,0,'Données projet'!$E$12+1,1))</f>
        <v>428.8489304403459</v>
      </c>
      <c r="CE12" s="60">
        <f t="shared" si="40"/>
        <v>247.01165577562966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2.2649572649572649</v>
      </c>
      <c r="CT12" s="13">
        <f>IF('Données projet'!$A$140&gt;35,CT11+CS12-DB11,IF(A12&lt;'Données projet'!$A$140,$CQ$205^A12,IF(A12='Données projet'!$A$140,'Données projet'!$B$140,CT11+CS12-DB11)))</f>
        <v>8.2926008667302167</v>
      </c>
      <c r="CU12" s="18">
        <f>CT12*VLOOKUP('Données projet'!$B$13,Paramètres!$A$1:$I$89,3,0)*VLOOKUP('Données projet'!$B$13,Paramètres!$A$1:$I$89,5,0)</f>
        <v>7.8912389847804736</v>
      </c>
      <c r="CV12" s="14">
        <f t="shared" si="41"/>
        <v>2.8593647580749275</v>
      </c>
      <c r="CW12" s="22">
        <f t="shared" si="13"/>
        <v>18.723968185473154</v>
      </c>
      <c r="CX12" s="60">
        <f t="shared" si="14"/>
        <v>286.39063485213984</v>
      </c>
      <c r="CY12" s="60">
        <f ca="1">AVERAGE(OFFSET($CX$3,0,0,'Données projet'!$E$13+1,1))-AVERAGE(OFFSET($H$3,0,0,'Données projet'!$E$13+1,1))</f>
        <v>354.63118425028898</v>
      </c>
      <c r="CZ12" s="60">
        <f t="shared" si="42"/>
        <v>244.7141066773861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0">
        <f t="shared" si="17"/>
        <v>280.16754851482153</v>
      </c>
      <c r="DT12" s="60">
        <f ca="1">AVERAGE(OFFSET($DS$3,0,0,'Données projet'!$E$14+1,1))-AVERAGE(OFFSET($H$3,0,0,'Données projet'!$E$14+1,1))</f>
        <v>455.50822833641354</v>
      </c>
      <c r="DU12" s="60">
        <f t="shared" si="44"/>
        <v>261.14722581688039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3.2392083333333335</v>
      </c>
      <c r="EJ12" s="13">
        <f>IF('Données projet'!$A$192&gt;35,EJ11+EI12-ER11,IF(A12&lt;'Données projet'!$A$192,$EG$205^A12,IF(A12='Données projet'!$A$192,'Données projet'!$B$192,EJ11+EI12-ER11)))</f>
        <v>15.567364537881392</v>
      </c>
      <c r="EK12" s="18">
        <f>EJ12*VLOOKUP('Données projet'!$B$15,Paramètres!$A$1:$I$89,3,0)*VLOOKUP('Données projet'!$B$15,Paramètres!$A$1:$I$89,5,0)</f>
        <v>9.3092839936530734</v>
      </c>
      <c r="EL12" s="14">
        <f t="shared" si="45"/>
        <v>3.3089216910538366</v>
      </c>
      <c r="EM12" s="22">
        <f t="shared" si="19"/>
        <v>21.976708234197869</v>
      </c>
      <c r="EN12" s="60">
        <f t="shared" si="20"/>
        <v>289.64337490086456</v>
      </c>
      <c r="EO12" s="60">
        <f ca="1">AVERAGE(OFFSET($EN$3,0,0,'Données projet'!$E$15+1,1))-AVERAGE(OFFSET($H$3,0,0,'Données projet'!$E$15+1,1))</f>
        <v>207.03241199974599</v>
      </c>
      <c r="EP12" s="60">
        <f t="shared" si="46"/>
        <v>314.188568589113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</v>
      </c>
      <c r="N13" s="14">
        <f>IF('Données projet'!$A$36&gt;35,N12+M13-V12,IF(A13&lt;'Données projet'!$A$36,$K$205^A13,IF(A13='Données projet'!$A$36,'Données projet'!$B$36,N12+M13-V12)))</f>
        <v>0</v>
      </c>
      <c r="O13" s="14" t="e">
        <f>N13*VLOOKUP('Données projet'!$B$9,Paramètres!$A$1:$I$89,3,0)*VLOOKUP('Données projet'!$B$9,Paramètres!$A$1:$I$89,5,0)</f>
        <v>#N/A</v>
      </c>
      <c r="P13" s="14" t="e">
        <f t="shared" si="33"/>
        <v>#N/A</v>
      </c>
      <c r="Q13" s="22" t="e">
        <f t="shared" si="2"/>
        <v>#N/A</v>
      </c>
      <c r="R13" s="60" t="e">
        <f t="shared" si="0"/>
        <v>#N/A</v>
      </c>
      <c r="S13" s="60" t="e">
        <f ca="1">AVERAGE(OFFSET($R$3,0,0,'Données projet'!$E$9+1,1))-AVERAGE(OFFSET($H$3,0,0,'Données projet'!$E$9+1,1))</f>
        <v>#N/A</v>
      </c>
      <c r="T13" s="60" t="e">
        <f t="shared" si="34"/>
        <v>#N/A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 t="e">
        <f>EXP(-LN(2)/35)*Z12+(1-EXP(-LN(2)/35))/(LN(2)/35)*V13*W13*VLOOKUP('Données projet'!$B$9,Paramètres!$A$1:$I$89,3,0)*0.475*44/12</f>
        <v>#N/A</v>
      </c>
      <c r="AA13" s="23" t="e">
        <f>EXP(-LN(2)/25)*AA12+(1-EXP(-LN(2)/25))/(LN(2)/25)*Calculateur!V13*Calculateur!X13*VLOOKUP('Données projet'!$B$9,Paramètres!$A$1:$I$89,3,0)*0.475*44/12</f>
        <v>#N/A</v>
      </c>
      <c r="AB13" s="23" t="e">
        <f>EXP(-LN(2)/2)*AB12+(1-EXP(-LN(2)/2))/(LN(2)/2)*V13*Y13*VLOOKUP('Données projet'!$B$9,Paramètres!$A$1:$I$89,3,0)*0.475*44/12</f>
        <v>#N/A</v>
      </c>
      <c r="AC13" s="24" t="e">
        <f t="shared" si="3"/>
        <v>#N/A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282.93233218914207</v>
      </c>
      <c r="AN13" s="60">
        <f ca="1">AVERAGE(OFFSET($AM$3,0,0,'Données projet'!$E$10+1,1))-AVERAGE(OFFSET($H$3,0,0,'Données projet'!$E$10+1,1))</f>
        <v>428.8489304403459</v>
      </c>
      <c r="AO13" s="60">
        <f t="shared" si="36"/>
        <v>247.01165577562966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10</v>
      </c>
      <c r="BD13" s="13">
        <f>IF('Données projet'!$A$88&gt;35,BD12+BC13-BL12,IF(A13&lt;'Données projet'!$A$88,$BA$205^A13,IF(A13='Données projet'!$A$88,'Données projet'!$B$88,BD12+BC13-BL12)))</f>
        <v>12.75906094165166</v>
      </c>
      <c r="BE13" s="14">
        <f>BD13*VLOOKUP('Données projet'!$B$11,Paramètres!$A$1:$I$89,3,0)*VLOOKUP('Données projet'!$B$11,Paramètres!$A$1:$I$89,5,0)</f>
        <v>7.1323150663832777</v>
      </c>
      <c r="BF13" s="14">
        <f t="shared" si="37"/>
        <v>2.6149690439328648</v>
      </c>
      <c r="BG13" s="22">
        <f t="shared" si="7"/>
        <v>16.976519825467278</v>
      </c>
      <c r="BH13" s="60">
        <f t="shared" si="8"/>
        <v>285.86540871435614</v>
      </c>
      <c r="BI13" s="60">
        <f ca="1">AVERAGE(OFFSET($BH$3,0,0,'Données projet'!$E$11+1,1))-AVERAGE(OFFSET($H$3,0,0,'Données projet'!$E$11+1,1))</f>
        <v>374.79806286316051</v>
      </c>
      <c r="BJ13" s="60">
        <f t="shared" si="38"/>
        <v>350.01856672839466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0">
        <f t="shared" si="11"/>
        <v>282.93233218914207</v>
      </c>
      <c r="CD13" s="60">
        <f ca="1">AVERAGE(OFFSET($CC$3,0,0,'Données projet'!$E$12+1,1))-AVERAGE(OFFSET($H$3,0,0,'Données projet'!$E$12+1,1))</f>
        <v>428.8489304403459</v>
      </c>
      <c r="CE13" s="60">
        <f t="shared" si="40"/>
        <v>247.01165577562966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2.2649572649572649</v>
      </c>
      <c r="CT13" s="13">
        <f>IF('Données projet'!$A$140&gt;35,CT12+CS13-DB12,IF(A13&lt;'Données projet'!$A$140,$CQ$205^A13,IF(A13='Données projet'!$A$140,'Données projet'!$B$140,CT12+CS13-DB12)))</f>
        <v>10.489807396125579</v>
      </c>
      <c r="CU13" s="18">
        <f>CT13*VLOOKUP('Données projet'!$B$13,Paramètres!$A$1:$I$89,3,0)*VLOOKUP('Données projet'!$B$13,Paramètres!$A$1:$I$89,5,0)</f>
        <v>9.9821007181531005</v>
      </c>
      <c r="CV13" s="14">
        <f t="shared" si="41"/>
        <v>3.5193671639432234</v>
      </c>
      <c r="CW13" s="22">
        <f t="shared" si="13"/>
        <v>23.515056561317763</v>
      </c>
      <c r="CX13" s="60">
        <f t="shared" si="14"/>
        <v>292.40394545020661</v>
      </c>
      <c r="CY13" s="60">
        <f ca="1">AVERAGE(OFFSET($CX$3,0,0,'Données projet'!$E$13+1,1))-AVERAGE(OFFSET($H$3,0,0,'Données projet'!$E$13+1,1))</f>
        <v>354.63118425028898</v>
      </c>
      <c r="CZ13" s="60">
        <f t="shared" si="42"/>
        <v>244.7141066773861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0">
        <f t="shared" si="17"/>
        <v>283.86918046425899</v>
      </c>
      <c r="DT13" s="60">
        <f ca="1">AVERAGE(OFFSET($DS$3,0,0,'Données projet'!$E$14+1,1))-AVERAGE(OFFSET($H$3,0,0,'Données projet'!$E$14+1,1))</f>
        <v>455.50822833641354</v>
      </c>
      <c r="DU13" s="60">
        <f t="shared" si="44"/>
        <v>261.14722581688039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3.2392083333333335</v>
      </c>
      <c r="EJ13" s="13">
        <f>IF('Données projet'!$A$192&gt;35,EJ12+EI13-ER12,IF(A13&lt;'Données projet'!$A$192,$EG$205^A13,IF(A13='Données projet'!$A$192,'Données projet'!$B$192,EJ12+EI13-ER12)))</f>
        <v>21.119490619313495</v>
      </c>
      <c r="EK13" s="18">
        <f>EJ13*VLOOKUP('Données projet'!$B$15,Paramètres!$A$1:$I$89,3,0)*VLOOKUP('Données projet'!$B$15,Paramètres!$A$1:$I$89,5,0)</f>
        <v>12.629455390349472</v>
      </c>
      <c r="EL13" s="14">
        <f t="shared" si="45"/>
        <v>4.3324695392758059</v>
      </c>
      <c r="EM13" s="22">
        <f t="shared" si="19"/>
        <v>29.542019252430688</v>
      </c>
      <c r="EN13" s="60">
        <f t="shared" si="20"/>
        <v>298.43090814131955</v>
      </c>
      <c r="EO13" s="60">
        <f ca="1">AVERAGE(OFFSET($EN$3,0,0,'Données projet'!$E$15+1,1))-AVERAGE(OFFSET($H$3,0,0,'Données projet'!$E$15+1,1))</f>
        <v>207.03241199974599</v>
      </c>
      <c r="EP13" s="60">
        <f t="shared" si="46"/>
        <v>314.188568589113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</v>
      </c>
      <c r="N14" s="14">
        <f>IF('Données projet'!$A$36&gt;35,N13+M14-V13,IF(A14&lt;'Données projet'!$A$36,$K$205^A14,IF(A14='Données projet'!$A$36,'Données projet'!$B$36,N13+M14-V13)))</f>
        <v>0</v>
      </c>
      <c r="O14" s="14" t="e">
        <f>N14*VLOOKUP('Données projet'!$B$9,Paramètres!$A$1:$I$89,3,0)*VLOOKUP('Données projet'!$B$9,Paramètres!$A$1:$I$89,5,0)</f>
        <v>#N/A</v>
      </c>
      <c r="P14" s="14" t="e">
        <f t="shared" si="33"/>
        <v>#N/A</v>
      </c>
      <c r="Q14" s="22" t="e">
        <f t="shared" si="2"/>
        <v>#N/A</v>
      </c>
      <c r="R14" s="60" t="e">
        <f t="shared" si="0"/>
        <v>#N/A</v>
      </c>
      <c r="S14" s="60" t="e">
        <f ca="1">AVERAGE(OFFSET($R$3,0,0,'Données projet'!$E$9+1,1))-AVERAGE(OFFSET($H$3,0,0,'Données projet'!$E$9+1,1))</f>
        <v>#N/A</v>
      </c>
      <c r="T14" s="60" t="e">
        <f t="shared" si="34"/>
        <v>#N/A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 t="e">
        <f>EXP(-LN(2)/35)*Z13+(1-EXP(-LN(2)/35))/(LN(2)/35)*V14*W14*VLOOKUP('Données projet'!$B$9,Paramètres!$A$1:$I$89,3,0)*0.475*44/12</f>
        <v>#N/A</v>
      </c>
      <c r="AA14" s="23" t="e">
        <f>EXP(-LN(2)/25)*AA13+(1-EXP(-LN(2)/25))/(LN(2)/25)*Calculateur!V14*Calculateur!X14*VLOOKUP('Données projet'!$B$9,Paramètres!$A$1:$I$89,3,0)*0.475*44/12</f>
        <v>#N/A</v>
      </c>
      <c r="AB14" s="23" t="e">
        <f>EXP(-LN(2)/2)*AB13+(1-EXP(-LN(2)/2))/(LN(2)/2)*V14*Y14*VLOOKUP('Données projet'!$B$9,Paramètres!$A$1:$I$89,3,0)*0.475*44/12</f>
        <v>#N/A</v>
      </c>
      <c r="AC14" s="24" t="e">
        <f t="shared" si="3"/>
        <v>#N/A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286.94092810276993</v>
      </c>
      <c r="AN14" s="60">
        <f ca="1">AVERAGE(OFFSET($AM$3,0,0,'Données projet'!$E$10+1,1))-AVERAGE(OFFSET($H$3,0,0,'Données projet'!$E$10+1,1))</f>
        <v>428.8489304403459</v>
      </c>
      <c r="AO14" s="60">
        <f t="shared" si="36"/>
        <v>247.01165577562966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</v>
      </c>
      <c r="BD14" s="13">
        <f>IF('Données projet'!$A$88&gt;35,BD13+BC14-BL13,IF(A14&lt;'Données projet'!$A$88,$BA$205^A14,IF(A14='Données projet'!$A$88,'Données projet'!$B$88,BD13+BC14-BL13)))</f>
        <v>16.45889152503846</v>
      </c>
      <c r="BE14" s="14">
        <f>BD14*VLOOKUP('Données projet'!$B$11,Paramètres!$A$1:$I$89,3,0)*VLOOKUP('Données projet'!$B$11,Paramètres!$A$1:$I$89,5,0)</f>
        <v>9.2005203624964995</v>
      </c>
      <c r="BF14" s="14">
        <f t="shared" si="37"/>
        <v>3.2747390106980423</v>
      </c>
      <c r="BG14" s="22">
        <f t="shared" si="7"/>
        <v>21.727743408313824</v>
      </c>
      <c r="BH14" s="60">
        <f t="shared" si="8"/>
        <v>291.83885451942496</v>
      </c>
      <c r="BI14" s="60">
        <f ca="1">AVERAGE(OFFSET($BH$3,0,0,'Données projet'!$E$11+1,1))-AVERAGE(OFFSET($H$3,0,0,'Données projet'!$E$11+1,1))</f>
        <v>374.79806286316051</v>
      </c>
      <c r="BJ14" s="60">
        <f t="shared" si="38"/>
        <v>350.01856672839466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0">
        <f t="shared" si="11"/>
        <v>286.94092810276993</v>
      </c>
      <c r="CD14" s="60">
        <f ca="1">AVERAGE(OFFSET($CC$3,0,0,'Données projet'!$E$12+1,1))-AVERAGE(OFFSET($H$3,0,0,'Données projet'!$E$12+1,1))</f>
        <v>428.8489304403459</v>
      </c>
      <c r="CE14" s="60">
        <f t="shared" si="40"/>
        <v>247.01165577562966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2.2649572649572649</v>
      </c>
      <c r="CT14" s="13">
        <f>IF('Données projet'!$A$140&gt;35,CT13+CS14-DB13,IF(A14&lt;'Données projet'!$A$140,$CQ$205^A14,IF(A14='Données projet'!$A$140,'Données projet'!$B$140,CT13+CS14-DB13)))</f>
        <v>13.269185503582337</v>
      </c>
      <c r="CU14" s="18">
        <f>CT14*VLOOKUP('Données projet'!$B$13,Paramètres!$A$1:$I$89,3,0)*VLOOKUP('Données projet'!$B$13,Paramètres!$A$1:$I$89,5,0)</f>
        <v>12.626956925208951</v>
      </c>
      <c r="CV14" s="14">
        <f t="shared" si="41"/>
        <v>4.3317122097359233</v>
      </c>
      <c r="CW14" s="22">
        <f t="shared" si="13"/>
        <v>29.536348743362321</v>
      </c>
      <c r="CX14" s="60">
        <f t="shared" si="14"/>
        <v>299.64745985447348</v>
      </c>
      <c r="CY14" s="60">
        <f ca="1">AVERAGE(OFFSET($CX$3,0,0,'Données projet'!$E$13+1,1))-AVERAGE(OFFSET($H$3,0,0,'Données projet'!$E$13+1,1))</f>
        <v>354.63118425028898</v>
      </c>
      <c r="CZ14" s="60">
        <f t="shared" si="42"/>
        <v>244.7141066773861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0">
        <f t="shared" si="17"/>
        <v>288.0642547232635</v>
      </c>
      <c r="DT14" s="60">
        <f ca="1">AVERAGE(OFFSET($DS$3,0,0,'Données projet'!$E$14+1,1))-AVERAGE(OFFSET($H$3,0,0,'Données projet'!$E$14+1,1))</f>
        <v>455.50822833641354</v>
      </c>
      <c r="DU14" s="60">
        <f t="shared" si="44"/>
        <v>261.14722581688039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3.2392083333333335</v>
      </c>
      <c r="EJ14" s="13">
        <f>IF('Données projet'!$A$192&gt;35,EJ13+EI14-ER13,IF(A14&lt;'Données projet'!$A$192,$EG$205^A14,IF(A14='Données projet'!$A$192,'Données projet'!$B$192,EJ13+EI14-ER13)))</f>
        <v>28.65179156908037</v>
      </c>
      <c r="EK14" s="18">
        <f>EJ14*VLOOKUP('Données projet'!$B$15,Paramètres!$A$1:$I$89,3,0)*VLOOKUP('Données projet'!$B$15,Paramètres!$A$1:$I$89,5,0)</f>
        <v>17.133771358310064</v>
      </c>
      <c r="EL14" s="14">
        <f t="shared" si="45"/>
        <v>5.6726311654642698</v>
      </c>
      <c r="EM14" s="22">
        <f t="shared" si="19"/>
        <v>39.721151062240295</v>
      </c>
      <c r="EN14" s="60">
        <f t="shared" si="20"/>
        <v>309.83226217335141</v>
      </c>
      <c r="EO14" s="60">
        <f ca="1">AVERAGE(OFFSET($EN$3,0,0,'Données projet'!$E$15+1,1))-AVERAGE(OFFSET($H$3,0,0,'Données projet'!$E$15+1,1))</f>
        <v>207.03241199974599</v>
      </c>
      <c r="EP14" s="60">
        <f t="shared" si="46"/>
        <v>314.188568589113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</v>
      </c>
      <c r="N15" s="14">
        <f>IF('Données projet'!$A$36&gt;35,N14+M15-V14,IF(A15&lt;'Données projet'!$A$36,$K$205^A15,IF(A15='Données projet'!$A$36,'Données projet'!$B$36,N14+M15-V14)))</f>
        <v>0</v>
      </c>
      <c r="O15" s="14" t="e">
        <f>N15*VLOOKUP('Données projet'!$B$9,Paramètres!$A$1:$I$89,3,0)*VLOOKUP('Données projet'!$B$9,Paramètres!$A$1:$I$89,5,0)</f>
        <v>#N/A</v>
      </c>
      <c r="P15" s="14" t="e">
        <f t="shared" si="33"/>
        <v>#N/A</v>
      </c>
      <c r="Q15" s="22" t="e">
        <f t="shared" si="2"/>
        <v>#N/A</v>
      </c>
      <c r="R15" s="60" t="e">
        <f t="shared" si="0"/>
        <v>#N/A</v>
      </c>
      <c r="S15" s="60" t="e">
        <f ca="1">AVERAGE(OFFSET($R$3,0,0,'Données projet'!$E$9+1,1))-AVERAGE(OFFSET($H$3,0,0,'Données projet'!$E$9+1,1))</f>
        <v>#N/A</v>
      </c>
      <c r="T15" s="60" t="e">
        <f t="shared" si="34"/>
        <v>#N/A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 t="e">
        <f>EXP(-LN(2)/35)*Z14+(1-EXP(-LN(2)/35))/(LN(2)/35)*V15*W15*VLOOKUP('Données projet'!$B$9,Paramètres!$A$1:$I$89,3,0)*0.475*44/12</f>
        <v>#N/A</v>
      </c>
      <c r="AA15" s="23" t="e">
        <f>EXP(-LN(2)/25)*AA14+(1-EXP(-LN(2)/25))/(LN(2)/25)*Calculateur!V15*Calculateur!X15*VLOOKUP('Données projet'!$B$9,Paramètres!$A$1:$I$89,3,0)*0.475*44/12</f>
        <v>#N/A</v>
      </c>
      <c r="AB15" s="23" t="e">
        <f>EXP(-LN(2)/2)*AB14+(1-EXP(-LN(2)/2))/(LN(2)/2)*V15*Y15*VLOOKUP('Données projet'!$B$9,Paramètres!$A$1:$I$89,3,0)*0.475*44/12</f>
        <v>#N/A</v>
      </c>
      <c r="AC15" s="24" t="e">
        <f t="shared" si="3"/>
        <v>#N/A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291.50424573777804</v>
      </c>
      <c r="AN15" s="60">
        <f ca="1">AVERAGE(OFFSET($AM$3,0,0,'Données projet'!$E$10+1,1))-AVERAGE(OFFSET($H$3,0,0,'Données projet'!$E$10+1,1))</f>
        <v>428.8489304403459</v>
      </c>
      <c r="AO15" s="60">
        <f t="shared" si="36"/>
        <v>247.01165577562966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</v>
      </c>
      <c r="BD15" s="13">
        <f>IF('Données projet'!$A$88&gt;35,BD14+BC15-BL14,IF(A15&lt;'Données projet'!$A$88,$BA$205^A15,IF(A15='Données projet'!$A$88,'Données projet'!$B$88,BD14+BC15-BL14)))</f>
        <v>21.231586828514317</v>
      </c>
      <c r="BE15" s="14">
        <f>BD15*VLOOKUP('Données projet'!$B$11,Paramètres!$A$1:$I$89,3,0)*VLOOKUP('Données projet'!$B$11,Paramètres!$A$1:$I$89,5,0)</f>
        <v>11.868457037139505</v>
      </c>
      <c r="BF15" s="14">
        <f t="shared" si="37"/>
        <v>4.1009722899277703</v>
      </c>
      <c r="BG15" s="22">
        <f t="shared" si="7"/>
        <v>27.813422744642168</v>
      </c>
      <c r="BH15" s="60">
        <f t="shared" si="8"/>
        <v>299.14675607797551</v>
      </c>
      <c r="BI15" s="60">
        <f ca="1">AVERAGE(OFFSET($BH$3,0,0,'Données projet'!$E$11+1,1))-AVERAGE(OFFSET($H$3,0,0,'Données projet'!$E$11+1,1))</f>
        <v>374.79806286316051</v>
      </c>
      <c r="BJ15" s="60">
        <f t="shared" si="38"/>
        <v>350.01856672839466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0">
        <f t="shared" si="11"/>
        <v>291.50424573777804</v>
      </c>
      <c r="CD15" s="60">
        <f ca="1">AVERAGE(OFFSET($CC$3,0,0,'Données projet'!$E$12+1,1))-AVERAGE(OFFSET($H$3,0,0,'Données projet'!$E$12+1,1))</f>
        <v>428.8489304403459</v>
      </c>
      <c r="CE15" s="60">
        <f t="shared" si="40"/>
        <v>247.01165577562966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2.2649572649572649</v>
      </c>
      <c r="CT15" s="13">
        <f>IF('Données projet'!$A$140&gt;35,CT14+CS15-DB14,IF(A15&lt;'Données projet'!$A$140,$CQ$205^A15,IF(A15='Données projet'!$A$140,'Données projet'!$B$140,CT14+CS15-DB14)))</f>
        <v>16.784987300482918</v>
      </c>
      <c r="CU15" s="18">
        <f>CT15*VLOOKUP('Données projet'!$B$13,Paramètres!$A$1:$I$89,3,0)*VLOOKUP('Données projet'!$B$13,Paramètres!$A$1:$I$89,5,0)</f>
        <v>15.972593915139546</v>
      </c>
      <c r="CV15" s="14">
        <f t="shared" si="41"/>
        <v>5.3315638277853701</v>
      </c>
      <c r="CW15" s="22">
        <f t="shared" si="13"/>
        <v>37.104741402260892</v>
      </c>
      <c r="CX15" s="60">
        <f t="shared" si="14"/>
        <v>308.43807473559423</v>
      </c>
      <c r="CY15" s="60">
        <f ca="1">AVERAGE(OFFSET($CX$3,0,0,'Données projet'!$E$13+1,1))-AVERAGE(OFFSET($H$3,0,0,'Données projet'!$E$13+1,1))</f>
        <v>354.63118425028898</v>
      </c>
      <c r="CZ15" s="60">
        <f t="shared" si="42"/>
        <v>244.7141066773861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0">
        <f t="shared" si="17"/>
        <v>292.8512865867026</v>
      </c>
      <c r="DT15" s="60">
        <f ca="1">AVERAGE(OFFSET($DS$3,0,0,'Données projet'!$E$14+1,1))-AVERAGE(OFFSET($H$3,0,0,'Données projet'!$E$14+1,1))</f>
        <v>455.50822833641354</v>
      </c>
      <c r="DU15" s="60">
        <f t="shared" si="44"/>
        <v>261.14722581688039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>
        <f>VLOOKUP(A15,'Données projet'!$A$191:$I$211,2,0)</f>
        <v>38.8705</v>
      </c>
      <c r="EH15" s="13">
        <f>VLOOKUP(A15,'Données projet'!$A$191:$I$211,9,0)</f>
        <v>3.2392083333333335</v>
      </c>
      <c r="EI15" s="13">
        <f t="array" ref="EI15">INDEX(EH:EH,MIN(IF(ISNUMBER(EH15:EH211),ROW(EH15:EH211),"")))</f>
        <v>3.2392083333333335</v>
      </c>
      <c r="EJ15" s="13">
        <f>IF('Données projet'!$A$192&gt;35,EJ14+EI15-ER14,IF(A15&lt;'Données projet'!$A$192,$EG$205^A15,IF(A15='Données projet'!$A$192,'Données projet'!$B$192,EJ14+EI15-ER14)))</f>
        <v>38.8705</v>
      </c>
      <c r="EK15" s="18">
        <f>EJ15*VLOOKUP('Données projet'!$B$15,Paramètres!$A$1:$I$89,3,0)*VLOOKUP('Données projet'!$B$15,Paramètres!$A$1:$I$89,5,0)</f>
        <v>23.244559000000002</v>
      </c>
      <c r="EL15" s="14">
        <f t="shared" si="45"/>
        <v>7.427344623587441</v>
      </c>
      <c r="EM15" s="22">
        <f t="shared" si="19"/>
        <v>53.420232144414797</v>
      </c>
      <c r="EN15" s="60">
        <f t="shared" si="20"/>
        <v>324.75356547774811</v>
      </c>
      <c r="EO15" s="60">
        <f ca="1">AVERAGE(OFFSET($EN$3,0,0,'Données projet'!$E$15+1,1))-AVERAGE(OFFSET($H$3,0,0,'Données projet'!$E$15+1,1))</f>
        <v>207.03241199974599</v>
      </c>
      <c r="EP15" s="60">
        <f t="shared" si="46"/>
        <v>314.188568589113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</v>
      </c>
      <c r="N16" s="14">
        <f>IF('Données projet'!$A$36&gt;35,N15+M16-V15,IF(A16&lt;'Données projet'!$A$36,$K$205^A16,IF(A16='Données projet'!$A$36,'Données projet'!$B$36,N15+M16-V15)))</f>
        <v>0</v>
      </c>
      <c r="O16" s="14" t="e">
        <f>N16*VLOOKUP('Données projet'!$B$9,Paramètres!$A$1:$I$89,3,0)*VLOOKUP('Données projet'!$B$9,Paramètres!$A$1:$I$89,5,0)</f>
        <v>#N/A</v>
      </c>
      <c r="P16" s="14" t="e">
        <f t="shared" si="33"/>
        <v>#N/A</v>
      </c>
      <c r="Q16" s="22" t="e">
        <f t="shared" si="2"/>
        <v>#N/A</v>
      </c>
      <c r="R16" s="60" t="e">
        <f t="shared" si="0"/>
        <v>#N/A</v>
      </c>
      <c r="S16" s="60" t="e">
        <f ca="1">AVERAGE(OFFSET($R$3,0,0,'Données projet'!$E$9+1,1))-AVERAGE(OFFSET($H$3,0,0,'Données projet'!$E$9+1,1))</f>
        <v>#N/A</v>
      </c>
      <c r="T16" s="60" t="e">
        <f t="shared" si="34"/>
        <v>#N/A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 t="e">
        <f>EXP(-LN(2)/35)*Z15+(1-EXP(-LN(2)/35))/(LN(2)/35)*V16*W16*VLOOKUP('Données projet'!$B$9,Paramètres!$A$1:$I$89,3,0)*0.475*44/12</f>
        <v>#N/A</v>
      </c>
      <c r="AA16" s="23" t="e">
        <f>EXP(-LN(2)/25)*AA15+(1-EXP(-LN(2)/25))/(LN(2)/25)*Calculateur!V16*Calculateur!X16*VLOOKUP('Données projet'!$B$9,Paramètres!$A$1:$I$89,3,0)*0.475*44/12</f>
        <v>#N/A</v>
      </c>
      <c r="AB16" s="23" t="e">
        <f>EXP(-LN(2)/2)*AB15+(1-EXP(-LN(2)/2))/(LN(2)/2)*V16*Y16*VLOOKUP('Données projet'!$B$9,Paramètres!$A$1:$I$89,3,0)*0.475*44/12</f>
        <v>#N/A</v>
      </c>
      <c r="AC16" s="24" t="e">
        <f t="shared" si="3"/>
        <v>#N/A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296.73306974060051</v>
      </c>
      <c r="AN16" s="60">
        <f ca="1">AVERAGE(OFFSET($AM$3,0,0,'Données projet'!$E$10+1,1))-AVERAGE(OFFSET($H$3,0,0,'Données projet'!$E$10+1,1))</f>
        <v>428.8489304403459</v>
      </c>
      <c r="AO16" s="60">
        <f t="shared" si="36"/>
        <v>247.01165577562966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</v>
      </c>
      <c r="BD16" s="13">
        <f>IF('Données projet'!$A$88&gt;35,BD15+BC16-BL15,IF(A16&lt;'Données projet'!$A$88,$BA$205^A16,IF(A16='Données projet'!$A$88,'Données projet'!$B$88,BD15+BC16-BL15)))</f>
        <v>27.388252639673997</v>
      </c>
      <c r="BE16" s="14">
        <f>BD16*VLOOKUP('Données projet'!$B$11,Paramètres!$A$1:$I$89,3,0)*VLOOKUP('Données projet'!$B$11,Paramètres!$A$1:$I$89,5,0)</f>
        <v>15.310033225577765</v>
      </c>
      <c r="BF16" s="14">
        <f t="shared" si="37"/>
        <v>5.1356684205409415</v>
      </c>
      <c r="BG16" s="22">
        <f t="shared" si="7"/>
        <v>35.609597033656748</v>
      </c>
      <c r="BH16" s="60">
        <f t="shared" si="8"/>
        <v>308.16515258921231</v>
      </c>
      <c r="BI16" s="60">
        <f ca="1">AVERAGE(OFFSET($BH$3,0,0,'Données projet'!$E$11+1,1))-AVERAGE(OFFSET($H$3,0,0,'Données projet'!$E$11+1,1))</f>
        <v>374.79806286316051</v>
      </c>
      <c r="BJ16" s="60">
        <f t="shared" si="38"/>
        <v>350.01856672839466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0">
        <f t="shared" si="11"/>
        <v>296.73306974060051</v>
      </c>
      <c r="CD16" s="60">
        <f ca="1">AVERAGE(OFFSET($CC$3,0,0,'Données projet'!$E$12+1,1))-AVERAGE(OFFSET($H$3,0,0,'Données projet'!$E$12+1,1))</f>
        <v>428.8489304403459</v>
      </c>
      <c r="CE16" s="60">
        <f t="shared" si="40"/>
        <v>247.01165577562966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2.2649572649572649</v>
      </c>
      <c r="CT16" s="13">
        <f>IF('Données projet'!$A$140&gt;35,CT15+CS16-DB15,IF(A16&lt;'Données projet'!$A$140,$CQ$205^A16,IF(A16='Données projet'!$A$140,'Données projet'!$B$140,CT15+CS16-DB15)))</f>
        <v>21.232335519110155</v>
      </c>
      <c r="CU16" s="18">
        <f>CT16*VLOOKUP('Données projet'!$B$13,Paramètres!$A$1:$I$89,3,0)*VLOOKUP('Données projet'!$B$13,Paramètres!$A$1:$I$89,5,0)</f>
        <v>20.204690479985224</v>
      </c>
      <c r="CV16" s="14">
        <f t="shared" si="41"/>
        <v>6.5622025364151133</v>
      </c>
      <c r="CW16" s="22">
        <f t="shared" si="13"/>
        <v>46.619005336897253</v>
      </c>
      <c r="CX16" s="60">
        <f t="shared" si="14"/>
        <v>319.1745608924528</v>
      </c>
      <c r="CY16" s="60">
        <f ca="1">AVERAGE(OFFSET($CX$3,0,0,'Données projet'!$E$13+1,1))-AVERAGE(OFFSET($H$3,0,0,'Données projet'!$E$13+1,1))</f>
        <v>354.63118425028898</v>
      </c>
      <c r="CZ16" s="60">
        <f t="shared" si="42"/>
        <v>244.7141066773861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0">
        <f t="shared" si="17"/>
        <v>298.34851774240968</v>
      </c>
      <c r="DT16" s="60">
        <f ca="1">AVERAGE(OFFSET($DS$3,0,0,'Données projet'!$E$14+1,1))-AVERAGE(OFFSET($H$3,0,0,'Données projet'!$E$14+1,1))</f>
        <v>455.50822833641354</v>
      </c>
      <c r="DU16" s="60">
        <f t="shared" si="44"/>
        <v>261.14722581688039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>
        <f>VLOOKUP(A16,'Données projet'!$A$191:$I$211,2,0)</f>
        <v>53.7455</v>
      </c>
      <c r="EH16" s="13">
        <f>VLOOKUP(A16,'Données projet'!$A$191:$I$211,9,0)</f>
        <v>14.875</v>
      </c>
      <c r="EI16" s="13">
        <f t="array" ref="EI16">INDEX(EH:EH,MIN(IF(ISNUMBER(EH16:EH212),ROW(EH16:EH212),"")))</f>
        <v>14.875</v>
      </c>
      <c r="EJ16" s="13">
        <f>IF('Données projet'!$A$192&gt;35,EJ15+EI16-ER15,IF(A16&lt;'Données projet'!$A$192,$EG$205^A16,IF(A16='Données projet'!$A$192,'Données projet'!$B$192,EJ15+EI16-ER15)))</f>
        <v>53.7455</v>
      </c>
      <c r="EK16" s="18">
        <f>EJ16*VLOOKUP('Données projet'!$B$15,Paramètres!$A$1:$I$89,3,0)*VLOOKUP('Données projet'!$B$15,Paramètres!$A$1:$I$89,5,0)</f>
        <v>32.139809000000007</v>
      </c>
      <c r="EL16" s="14">
        <f t="shared" si="45"/>
        <v>9.8895269261794354</v>
      </c>
      <c r="EM16" s="22">
        <f t="shared" si="19"/>
        <v>73.201093404762517</v>
      </c>
      <c r="EN16" s="60">
        <f t="shared" si="20"/>
        <v>345.75664896031805</v>
      </c>
      <c r="EO16" s="60">
        <f ca="1">AVERAGE(OFFSET($EN$3,0,0,'Données projet'!$E$15+1,1))-AVERAGE(OFFSET($H$3,0,0,'Données projet'!$E$15+1,1))</f>
        <v>207.03241199974599</v>
      </c>
      <c r="EP16" s="60">
        <f t="shared" si="46"/>
        <v>314.188568589113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</v>
      </c>
      <c r="N17" s="14">
        <f>IF('Données projet'!$A$36&gt;35,N16+M17-V16,IF(A17&lt;'Données projet'!$A$36,$K$205^A17,IF(A17='Données projet'!$A$36,'Données projet'!$B$36,N16+M17-V16)))</f>
        <v>0</v>
      </c>
      <c r="O17" s="14" t="e">
        <f>N17*VLOOKUP('Données projet'!$B$9,Paramètres!$A$1:$I$89,3,0)*VLOOKUP('Données projet'!$B$9,Paramètres!$A$1:$I$89,5,0)</f>
        <v>#N/A</v>
      </c>
      <c r="P17" s="14" t="e">
        <f t="shared" si="33"/>
        <v>#N/A</v>
      </c>
      <c r="Q17" s="22" t="e">
        <f t="shared" si="2"/>
        <v>#N/A</v>
      </c>
      <c r="R17" s="60" t="e">
        <f t="shared" si="0"/>
        <v>#N/A</v>
      </c>
      <c r="S17" s="60" t="e">
        <f ca="1">AVERAGE(OFFSET($R$3,0,0,'Données projet'!$E$9+1,1))-AVERAGE(OFFSET($H$3,0,0,'Données projet'!$E$9+1,1))</f>
        <v>#N/A</v>
      </c>
      <c r="T17" s="60" t="e">
        <f t="shared" si="34"/>
        <v>#N/A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 t="e">
        <f>EXP(-LN(2)/35)*Z16+(1-EXP(-LN(2)/35))/(LN(2)/35)*V17*W17*VLOOKUP('Données projet'!$B$9,Paramètres!$A$1:$I$89,3,0)*0.475*44/12</f>
        <v>#N/A</v>
      </c>
      <c r="AA17" s="23" t="e">
        <f>EXP(-LN(2)/25)*AA16+(1-EXP(-LN(2)/25))/(LN(2)/25)*Calculateur!V17*Calculateur!X17*VLOOKUP('Données projet'!$B$9,Paramètres!$A$1:$I$89,3,0)*0.475*44/12</f>
        <v>#N/A</v>
      </c>
      <c r="AB17" s="23" t="e">
        <f>EXP(-LN(2)/2)*AB16+(1-EXP(-LN(2)/2))/(LN(2)/2)*V17*Y17*VLOOKUP('Données projet'!$B$9,Paramètres!$A$1:$I$89,3,0)*0.475*44/12</f>
        <v>#N/A</v>
      </c>
      <c r="AC17" s="24" t="e">
        <f t="shared" si="3"/>
        <v>#N/A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302.76037439017989</v>
      </c>
      <c r="AN17" s="60">
        <f ca="1">AVERAGE(OFFSET($AM$3,0,0,'Données projet'!$E$10+1,1))-AVERAGE(OFFSET($H$3,0,0,'Données projet'!$E$10+1,1))</f>
        <v>428.8489304403459</v>
      </c>
      <c r="AO17" s="60">
        <f t="shared" si="36"/>
        <v>247.01165577562966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</v>
      </c>
      <c r="BD17" s="13">
        <f>IF('Données projet'!$A$88&gt;35,BD16+BC17-BL16,IF(A17&lt;'Données projet'!$A$88,$BA$205^A17,IF(A17='Données projet'!$A$88,'Données projet'!$B$88,BD16+BC17-BL16)))</f>
        <v>35.330208180539429</v>
      </c>
      <c r="BE17" s="14">
        <f>BD17*VLOOKUP('Données projet'!$B$11,Paramètres!$A$1:$I$89,3,0)*VLOOKUP('Données projet'!$B$11,Paramètres!$A$1:$I$89,5,0)</f>
        <v>19.749586372921542</v>
      </c>
      <c r="BF17" s="14">
        <f t="shared" si="37"/>
        <v>6.4314236383699175</v>
      </c>
      <c r="BG17" s="22">
        <f t="shared" si="7"/>
        <v>45.598592436332616</v>
      </c>
      <c r="BH17" s="60">
        <f t="shared" si="8"/>
        <v>319.37637021411041</v>
      </c>
      <c r="BI17" s="60">
        <f ca="1">AVERAGE(OFFSET($BH$3,0,0,'Données projet'!$E$11+1,1))-AVERAGE(OFFSET($H$3,0,0,'Données projet'!$E$11+1,1))</f>
        <v>374.79806286316051</v>
      </c>
      <c r="BJ17" s="60">
        <f t="shared" si="38"/>
        <v>350.01856672839466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0">
        <f t="shared" si="11"/>
        <v>302.76037439017989</v>
      </c>
      <c r="CD17" s="60">
        <f ca="1">AVERAGE(OFFSET($CC$3,0,0,'Données projet'!$E$12+1,1))-AVERAGE(OFFSET($H$3,0,0,'Données projet'!$E$12+1,1))</f>
        <v>428.8489304403459</v>
      </c>
      <c r="CE17" s="60">
        <f t="shared" si="40"/>
        <v>247.01165577562966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2.2649572649572649</v>
      </c>
      <c r="CT17" s="13">
        <f>IF('Données projet'!$A$140&gt;35,CT16+CS17-DB16,IF(A17&lt;'Données projet'!$A$140,$CQ$205^A17,IF(A17='Données projet'!$A$140,'Données projet'!$B$140,CT16+CS17-DB16)))</f>
        <v>26.85805258745096</v>
      </c>
      <c r="CU17" s="18">
        <f>CT17*VLOOKUP('Données projet'!$B$13,Paramètres!$A$1:$I$89,3,0)*VLOOKUP('Données projet'!$B$13,Paramètres!$A$1:$I$89,5,0)</f>
        <v>25.558122842218335</v>
      </c>
      <c r="CV17" s="14">
        <f t="shared" si="41"/>
        <v>8.0768989211970617</v>
      </c>
      <c r="CW17" s="22">
        <f t="shared" si="13"/>
        <v>58.580996237948476</v>
      </c>
      <c r="CX17" s="60">
        <f t="shared" si="14"/>
        <v>332.35877401572623</v>
      </c>
      <c r="CY17" s="60">
        <f ca="1">AVERAGE(OFFSET($CX$3,0,0,'Données projet'!$E$13+1,1))-AVERAGE(OFFSET($H$3,0,0,'Données projet'!$E$13+1,1))</f>
        <v>354.63118425028898</v>
      </c>
      <c r="CZ17" s="60">
        <f t="shared" si="42"/>
        <v>244.7141066773861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0">
        <f t="shared" si="17"/>
        <v>304.69787692305528</v>
      </c>
      <c r="DT17" s="60">
        <f ca="1">AVERAGE(OFFSET($DS$3,0,0,'Données projet'!$E$14+1,1))-AVERAGE(OFFSET($H$3,0,0,'Données projet'!$E$14+1,1))</f>
        <v>455.50822833641354</v>
      </c>
      <c r="DU17" s="60">
        <f t="shared" si="44"/>
        <v>261.14722581688039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>
        <f>VLOOKUP(A17,'Données projet'!$A$191:$I$211,2,0)</f>
        <v>70.405500000000004</v>
      </c>
      <c r="EH17" s="13">
        <f>VLOOKUP(A17,'Données projet'!$A$191:$I$211,9,0)</f>
        <v>16.660000000000004</v>
      </c>
      <c r="EI17" s="13">
        <f t="array" ref="EI17">INDEX(EH:EH,MIN(IF(ISNUMBER(EH17:EH213),ROW(EH17:EH213),"")))</f>
        <v>16.660000000000004</v>
      </c>
      <c r="EJ17" s="13">
        <f>IF('Données projet'!$A$192&gt;35,EJ16+EI17-ER16,IF(A17&lt;'Données projet'!$A$192,$EG$205^A17,IF(A17='Données projet'!$A$192,'Données projet'!$B$192,EJ16+EI17-ER16)))</f>
        <v>70.405500000000004</v>
      </c>
      <c r="EK17" s="18">
        <f>EJ17*VLOOKUP('Données projet'!$B$15,Paramètres!$A$1:$I$89,3,0)*VLOOKUP('Données projet'!$B$15,Paramètres!$A$1:$I$89,5,0)</f>
        <v>42.102489000000006</v>
      </c>
      <c r="EL17" s="14">
        <f t="shared" si="45"/>
        <v>12.55423955359754</v>
      </c>
      <c r="EM17" s="22">
        <f t="shared" si="19"/>
        <v>95.193802230849045</v>
      </c>
      <c r="EN17" s="60">
        <f t="shared" si="20"/>
        <v>368.9715800086268</v>
      </c>
      <c r="EO17" s="60">
        <f ca="1">AVERAGE(OFFSET($EN$3,0,0,'Données projet'!$E$15+1,1))-AVERAGE(OFFSET($H$3,0,0,'Données projet'!$E$15+1,1))</f>
        <v>207.03241199974599</v>
      </c>
      <c r="EP17" s="60">
        <f t="shared" si="46"/>
        <v>314.188568589113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0</v>
      </c>
      <c r="N18" s="14">
        <f>IF('Données projet'!$A$36&gt;35,N17+M18-V17,IF(A18&lt;'Données projet'!$A$36,$K$205^A18,IF(A18='Données projet'!$A$36,'Données projet'!$B$36,N17+M18-V17)))</f>
        <v>0</v>
      </c>
      <c r="O18" s="14" t="e">
        <f>N18*VLOOKUP('Données projet'!$B$9,Paramètres!$A$1:$I$89,3,0)*VLOOKUP('Données projet'!$B$9,Paramètres!$A$1:$I$89,5,0)</f>
        <v>#N/A</v>
      </c>
      <c r="P18" s="14" t="e">
        <f t="shared" si="33"/>
        <v>#N/A</v>
      </c>
      <c r="Q18" s="22" t="e">
        <f t="shared" si="2"/>
        <v>#N/A</v>
      </c>
      <c r="R18" s="60" t="e">
        <f t="shared" si="0"/>
        <v>#N/A</v>
      </c>
      <c r="S18" s="60" t="e">
        <f ca="1">AVERAGE(OFFSET($R$3,0,0,'Données projet'!$E$9+1,1))-AVERAGE(OFFSET($H$3,0,0,'Données projet'!$E$9+1,1))</f>
        <v>#N/A</v>
      </c>
      <c r="T18" s="60" t="e">
        <f t="shared" si="34"/>
        <v>#N/A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 t="e">
        <f>EXP(-LN(2)/35)*Z17+(1-EXP(-LN(2)/35))/(LN(2)/35)*V18*W18*VLOOKUP('Données projet'!$B$9,Paramètres!$A$1:$I$89,3,0)*0.475*44/12</f>
        <v>#N/A</v>
      </c>
      <c r="AA18" s="23" t="e">
        <f>EXP(-LN(2)/25)*AA17+(1-EXP(-LN(2)/25))/(LN(2)/25)*Calculateur!V18*Calculateur!X18*VLOOKUP('Données projet'!$B$9,Paramètres!$A$1:$I$89,3,0)*0.475*44/12</f>
        <v>#N/A</v>
      </c>
      <c r="AB18" s="23" t="e">
        <f>EXP(-LN(2)/2)*AB17+(1-EXP(-LN(2)/2))/(LN(2)/2)*V18*Y18*VLOOKUP('Données projet'!$B$9,Paramètres!$A$1:$I$89,3,0)*0.475*44/12</f>
        <v>#N/A</v>
      </c>
      <c r="AC18" s="24" t="e">
        <f t="shared" si="3"/>
        <v>#N/A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309.74578000827665</v>
      </c>
      <c r="AN18" s="60">
        <f ca="1">AVERAGE(OFFSET($AM$3,0,0,'Données projet'!$E$10+1,1))-AVERAGE(OFFSET($H$3,0,0,'Données projet'!$E$10+1,1))</f>
        <v>428.8489304403459</v>
      </c>
      <c r="AO18" s="60">
        <f t="shared" si="36"/>
        <v>247.01165577562966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10</v>
      </c>
      <c r="BD18" s="13">
        <f>IF('Données projet'!$A$88&gt;35,BD17+BC18-BL17,IF(A18&lt;'Données projet'!$A$88,$BA$205^A18,IF(A18='Données projet'!$A$88,'Données projet'!$B$88,BD17+BC18-BL17)))</f>
        <v>45.575145902959399</v>
      </c>
      <c r="BE18" s="14">
        <f>BD18*VLOOKUP('Données projet'!$B$11,Paramètres!$A$1:$I$89,3,0)*VLOOKUP('Données projet'!$B$11,Paramètres!$A$1:$I$89,5,0)</f>
        <v>25.476506559754306</v>
      </c>
      <c r="BF18" s="14">
        <f t="shared" si="37"/>
        <v>8.0541044765944179</v>
      </c>
      <c r="BG18" s="22">
        <f t="shared" si="7"/>
        <v>58.399147554974014</v>
      </c>
      <c r="BH18" s="60">
        <f t="shared" si="8"/>
        <v>333.39914755497404</v>
      </c>
      <c r="BI18" s="60">
        <f ca="1">AVERAGE(OFFSET($BH$3,0,0,'Données projet'!$E$11+1,1))-AVERAGE(OFFSET($H$3,0,0,'Données projet'!$E$11+1,1))</f>
        <v>374.79806286316051</v>
      </c>
      <c r="BJ18" s="60">
        <f t="shared" si="38"/>
        <v>350.01856672839466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0">
        <f t="shared" si="11"/>
        <v>309.74578000827665</v>
      </c>
      <c r="CD18" s="60">
        <f ca="1">AVERAGE(OFFSET($CC$3,0,0,'Données projet'!$E$12+1,1))-AVERAGE(OFFSET($H$3,0,0,'Données projet'!$E$12+1,1))</f>
        <v>428.8489304403459</v>
      </c>
      <c r="CE18" s="60">
        <f t="shared" si="40"/>
        <v>247.01165577562966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33.974358974358971</v>
      </c>
      <c r="CR18" s="13">
        <f>VLOOKUP(A18,'Données projet'!$A$139:$I$159,9,0)</f>
        <v>2.2649572649572649</v>
      </c>
      <c r="CS18" s="13">
        <f t="array" ref="CS18">INDEX(CR:CR,MIN(IF(ISNUMBER(CR18:CR214),ROW(CR18:CR214),"")))</f>
        <v>2.2649572649572649</v>
      </c>
      <c r="CT18" s="13">
        <f>IF('Données projet'!$A$140&gt;35,CT17+CS18-DB17,IF(A18&lt;'Données projet'!$A$140,$CQ$205^A18,IF(A18='Données projet'!$A$140,'Données projet'!$B$140,CT17+CS18-DB17)))</f>
        <v>33.974358974358971</v>
      </c>
      <c r="CU18" s="18">
        <f>CT18*VLOOKUP('Données projet'!$B$13,Paramètres!$A$1:$I$89,3,0)*VLOOKUP('Données projet'!$B$13,Paramètres!$A$1:$I$89,5,0)</f>
        <v>32.33</v>
      </c>
      <c r="CV18" s="14">
        <f t="shared" si="41"/>
        <v>9.9412195556634533</v>
      </c>
      <c r="CW18" s="22">
        <f t="shared" si="13"/>
        <v>73.622374059447182</v>
      </c>
      <c r="CX18" s="60">
        <f t="shared" si="14"/>
        <v>348.62237405944717</v>
      </c>
      <c r="CY18" s="60">
        <f ca="1">AVERAGE(OFFSET($CX$3,0,0,'Données projet'!$E$13+1,1))-AVERAGE(OFFSET($H$3,0,0,'Données projet'!$E$13+1,1))</f>
        <v>354.63118425028898</v>
      </c>
      <c r="CZ18" s="60">
        <f t="shared" si="42"/>
        <v>244.7141066773861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0">
        <f t="shared" si="17"/>
        <v>312.06973774672667</v>
      </c>
      <c r="DT18" s="60">
        <f ca="1">AVERAGE(OFFSET($DS$3,0,0,'Données projet'!$E$14+1,1))-AVERAGE(OFFSET($H$3,0,0,'Données projet'!$E$14+1,1))</f>
        <v>455.50822833641354</v>
      </c>
      <c r="DU18" s="60">
        <f t="shared" si="44"/>
        <v>261.14722581688039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88.859000000000009</v>
      </c>
      <c r="EH18" s="13">
        <f>VLOOKUP(A18,'Données projet'!$A$191:$I$211,9,0)</f>
        <v>18.453500000000005</v>
      </c>
      <c r="EI18" s="13">
        <f t="array" ref="EI18">INDEX(EH:EH,MIN(IF(ISNUMBER(EH18:EH214),ROW(EH18:EH214),"")))</f>
        <v>18.453500000000005</v>
      </c>
      <c r="EJ18" s="13">
        <f>IF('Données projet'!$A$192&gt;35,EJ17+EI18-ER17,IF(A18&lt;'Données projet'!$A$192,$EG$205^A18,IF(A18='Données projet'!$A$192,'Données projet'!$B$192,EJ17+EI18-ER17)))</f>
        <v>88.859000000000009</v>
      </c>
      <c r="EK18" s="18">
        <f>EJ18*VLOOKUP('Données projet'!$B$15,Paramètres!$A$1:$I$89,3,0)*VLOOKUP('Données projet'!$B$15,Paramètres!$A$1:$I$89,5,0)</f>
        <v>53.137682000000012</v>
      </c>
      <c r="EL18" s="14">
        <f t="shared" si="45"/>
        <v>15.421187125360523</v>
      </c>
      <c r="EM18" s="22">
        <f t="shared" si="19"/>
        <v>119.40669706000294</v>
      </c>
      <c r="EN18" s="60">
        <f t="shared" si="20"/>
        <v>394.40669706000295</v>
      </c>
      <c r="EO18" s="60">
        <f ca="1">AVERAGE(OFFSET($EN$3,0,0,'Données projet'!$E$15+1,1))-AVERAGE(OFFSET($H$3,0,0,'Données projet'!$E$15+1,1))</f>
        <v>207.03241199974599</v>
      </c>
      <c r="EP18" s="60">
        <f t="shared" si="46"/>
        <v>314.188568589113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23.3155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0.22500000000000001</v>
      </c>
      <c r="EU18" s="17">
        <f>IF(ISNA(VLOOKUP(A18,'Données projet'!$A$191:$I$211,7,0)),0%,VLOOKUP(A18,'Données projet'!$A$191:$I$211,7,0))</f>
        <v>0.5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4.1451803783874421</v>
      </c>
      <c r="EX18" s="23">
        <f>EXP(-LN(2)/2)*EX17+(1-EXP(-LN(2)/2))/(LN(2)/2)*ER18*EU18*VLOOKUP('Données projet'!$B$15,Paramètres!$A$1:$I$89,3,0)*0.475*44/12</f>
        <v>7.8931700777605167</v>
      </c>
      <c r="EY18" s="24">
        <f t="shared" si="21"/>
        <v>12.03835045614796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 t="e">
        <f>N19*VLOOKUP('Données projet'!$B$9,Paramètres!$A$1:$I$89,3,0)*VLOOKUP('Données projet'!$B$9,Paramètres!$A$1:$I$89,5,0)</f>
        <v>#N/A</v>
      </c>
      <c r="P19" s="14" t="e">
        <f t="shared" si="33"/>
        <v>#N/A</v>
      </c>
      <c r="Q19" s="22" t="e">
        <f t="shared" si="2"/>
        <v>#N/A</v>
      </c>
      <c r="R19" s="60" t="e">
        <f t="shared" si="0"/>
        <v>#N/A</v>
      </c>
      <c r="S19" s="60" t="e">
        <f ca="1">AVERAGE(OFFSET($R$3,0,0,'Données projet'!$E$9+1,1))-AVERAGE(OFFSET($H$3,0,0,'Données projet'!$E$9+1,1))</f>
        <v>#N/A</v>
      </c>
      <c r="T19" s="60" t="e">
        <f t="shared" si="34"/>
        <v>#N/A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 t="e">
        <f>EXP(-LN(2)/35)*Z18+(1-EXP(-LN(2)/35))/(LN(2)/35)*V19*W19*VLOOKUP('Données projet'!$B$9,Paramètres!$A$1:$I$89,3,0)*0.475*44/12</f>
        <v>#N/A</v>
      </c>
      <c r="AA19" s="23" t="e">
        <f>EXP(-LN(2)/25)*AA18+(1-EXP(-LN(2)/25))/(LN(2)/25)*Calculateur!V19*Calculateur!X19*VLOOKUP('Données projet'!$B$9,Paramètres!$A$1:$I$89,3,0)*0.475*44/12</f>
        <v>#N/A</v>
      </c>
      <c r="AB19" s="23" t="e">
        <f>EXP(-LN(2)/2)*AB18+(1-EXP(-LN(2)/2))/(LN(2)/2)*V19*Y19*VLOOKUP('Données projet'!$B$9,Paramètres!$A$1:$I$89,3,0)*0.475*44/12</f>
        <v>#N/A</v>
      </c>
      <c r="AC19" s="24" t="e">
        <f t="shared" si="3"/>
        <v>#N/A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317.88090656215792</v>
      </c>
      <c r="AN19" s="60">
        <f ca="1">AVERAGE(OFFSET($AM$3,0,0,'Données projet'!$E$10+1,1))-AVERAGE(OFFSET($H$3,0,0,'Données projet'!$E$10+1,1))</f>
        <v>428.8489304403459</v>
      </c>
      <c r="AO19" s="60">
        <f t="shared" si="36"/>
        <v>247.01165577562966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</v>
      </c>
      <c r="BD19" s="13">
        <f>IF('Données projet'!$A$88&gt;35,BD18+BC19-BL18,IF(A19&lt;'Données projet'!$A$88,$BA$205^A19,IF(A19='Données projet'!$A$88,'Données projet'!$B$88,BD18+BC19-BL18)))</f>
        <v>58.790877015554649</v>
      </c>
      <c r="BE19" s="14">
        <f>BD19*VLOOKUP('Données projet'!$B$11,Paramètres!$A$1:$I$89,3,0)*VLOOKUP('Données projet'!$B$11,Paramètres!$A$1:$I$89,5,0)</f>
        <v>32.864100251695049</v>
      </c>
      <c r="BF19" s="14">
        <f t="shared" si="37"/>
        <v>10.086195929139501</v>
      </c>
      <c r="BG19" s="22">
        <f t="shared" si="7"/>
        <v>74.805099181620164</v>
      </c>
      <c r="BH19" s="60">
        <f t="shared" si="8"/>
        <v>351.02732140384239</v>
      </c>
      <c r="BI19" s="60">
        <f ca="1">AVERAGE(OFFSET($BH$3,0,0,'Données projet'!$E$11+1,1))-AVERAGE(OFFSET($H$3,0,0,'Données projet'!$E$11+1,1))</f>
        <v>374.79806286316051</v>
      </c>
      <c r="BJ19" s="60">
        <f t="shared" si="38"/>
        <v>350.01856672839466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0">
        <f t="shared" si="11"/>
        <v>317.88090656215792</v>
      </c>
      <c r="CD19" s="60">
        <f ca="1">AVERAGE(OFFSET($CC$3,0,0,'Données projet'!$E$12+1,1))-AVERAGE(OFFSET($H$3,0,0,'Données projet'!$E$12+1,1))</f>
        <v>428.8489304403459</v>
      </c>
      <c r="CE19" s="60">
        <f t="shared" si="40"/>
        <v>247.01165577562966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5.8974358974358978</v>
      </c>
      <c r="CT19" s="13">
        <f>IF('Données projet'!$A$140&gt;35,CT18+CS19-DB18,IF(A19&lt;'Données projet'!$A$140,$CQ$205^A19,IF(A19='Données projet'!$A$140,'Données projet'!$B$140,CT18+CS19-DB18)))</f>
        <v>39.871794871794869</v>
      </c>
      <c r="CU19" s="18">
        <f>CT19*VLOOKUP('Données projet'!$B$13,Paramètres!$A$1:$I$89,3,0)*VLOOKUP('Données projet'!$B$13,Paramètres!$A$1:$I$89,5,0)</f>
        <v>37.941999999999993</v>
      </c>
      <c r="CV19" s="14">
        <f t="shared" si="41"/>
        <v>11.45150826835841</v>
      </c>
      <c r="CW19" s="22">
        <f t="shared" si="13"/>
        <v>86.027026900724209</v>
      </c>
      <c r="CX19" s="60">
        <f t="shared" si="14"/>
        <v>362.24924912294642</v>
      </c>
      <c r="CY19" s="60">
        <f ca="1">AVERAGE(OFFSET($CX$3,0,0,'Données projet'!$E$13+1,1))-AVERAGE(OFFSET($H$3,0,0,'Données projet'!$E$13+1,1))</f>
        <v>354.63118425028898</v>
      </c>
      <c r="CZ19" s="60">
        <f t="shared" si="42"/>
        <v>244.7141066773861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0">
        <f t="shared" si="17"/>
        <v>320.66863456439387</v>
      </c>
      <c r="DT19" s="60">
        <f ca="1">AVERAGE(OFFSET($DS$3,0,0,'Données projet'!$E$14+1,1))-AVERAGE(OFFSET($H$3,0,0,'Données projet'!$E$14+1,1))</f>
        <v>455.50822833641354</v>
      </c>
      <c r="DU19" s="60">
        <f t="shared" si="44"/>
        <v>261.14722581688039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>
        <f>VLOOKUP(A19,'Données projet'!$A$191:$I$211,2,0)</f>
        <v>78.208500000000001</v>
      </c>
      <c r="EH19" s="13">
        <f>VLOOKUP(A19,'Données projet'!$A$191:$I$211,9,0)</f>
        <v>12.664999999999992</v>
      </c>
      <c r="EI19" s="13">
        <f t="array" ref="EI19">INDEX(EH:EH,MIN(IF(ISNUMBER(EH19:EH215),ROW(EH19:EH215),"")))</f>
        <v>12.664999999999992</v>
      </c>
      <c r="EJ19" s="13">
        <f>IF('Données projet'!$A$192&gt;35,EJ18+EI19-ER18,IF(A19&lt;'Données projet'!$A$192,$EG$205^A19,IF(A19='Données projet'!$A$192,'Données projet'!$B$192,EJ18+EI19-ER18)))</f>
        <v>78.208500000000001</v>
      </c>
      <c r="EK19" s="18">
        <f>EJ19*VLOOKUP('Données projet'!$B$15,Paramètres!$A$1:$I$89,3,0)*VLOOKUP('Données projet'!$B$15,Paramètres!$A$1:$I$89,5,0)</f>
        <v>46.768683000000003</v>
      </c>
      <c r="EL19" s="14">
        <f t="shared" si="45"/>
        <v>13.776041008898259</v>
      </c>
      <c r="EM19" s="22">
        <f t="shared" si="19"/>
        <v>105.44872764883114</v>
      </c>
      <c r="EN19" s="60">
        <f t="shared" si="20"/>
        <v>381.67094987105338</v>
      </c>
      <c r="EO19" s="60">
        <f ca="1">AVERAGE(OFFSET($EN$3,0,0,'Données projet'!$E$15+1,1))-AVERAGE(OFFSET($H$3,0,0,'Données projet'!$E$15+1,1))</f>
        <v>207.03241199974599</v>
      </c>
      <c r="EP19" s="60">
        <f t="shared" si="46"/>
        <v>314.188568589113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4.0318302029548754</v>
      </c>
      <c r="EX19" s="23">
        <f>EXP(-LN(2)/2)*EX18+(1-EXP(-LN(2)/2))/(LN(2)/2)*ER19*EU19*VLOOKUP('Données projet'!$B$15,Paramètres!$A$1:$I$89,3,0)*0.475*44/12</f>
        <v>5.5813140870432107</v>
      </c>
      <c r="EY19" s="24">
        <f t="shared" si="21"/>
        <v>9.6131442899980861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 t="e">
        <f>N20*VLOOKUP('Données projet'!$B$9,Paramètres!$A$1:$I$89,3,0)*VLOOKUP('Données projet'!$B$9,Paramètres!$A$1:$I$89,5,0)</f>
        <v>#N/A</v>
      </c>
      <c r="P20" s="14" t="e">
        <f t="shared" si="33"/>
        <v>#N/A</v>
      </c>
      <c r="Q20" s="22" t="e">
        <f t="shared" si="2"/>
        <v>#N/A</v>
      </c>
      <c r="R20" s="60" t="e">
        <f t="shared" si="0"/>
        <v>#N/A</v>
      </c>
      <c r="S20" s="60" t="e">
        <f ca="1">AVERAGE(OFFSET($R$3,0,0,'Données projet'!$E$9+1,1))-AVERAGE(OFFSET($H$3,0,0,'Données projet'!$E$9+1,1))</f>
        <v>#N/A</v>
      </c>
      <c r="T20" s="60" t="e">
        <f t="shared" si="34"/>
        <v>#N/A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 t="e">
        <f>EXP(-LN(2)/35)*Z19+(1-EXP(-LN(2)/35))/(LN(2)/35)*V20*W20*VLOOKUP('Données projet'!$B$9,Paramètres!$A$1:$I$89,3,0)*0.475*44/12</f>
        <v>#N/A</v>
      </c>
      <c r="AA20" s="23" t="e">
        <f>EXP(-LN(2)/25)*AA19+(1-EXP(-LN(2)/25))/(LN(2)/25)*Calculateur!V20*Calculateur!X20*VLOOKUP('Données projet'!$B$9,Paramètres!$A$1:$I$89,3,0)*0.475*44/12</f>
        <v>#N/A</v>
      </c>
      <c r="AB20" s="23" t="e">
        <f>EXP(-LN(2)/2)*AB19+(1-EXP(-LN(2)/2))/(LN(2)/2)*V20*Y20*VLOOKUP('Données projet'!$B$9,Paramètres!$A$1:$I$89,3,0)*0.475*44/12</f>
        <v>#N/A</v>
      </c>
      <c r="AC20" s="24" t="e">
        <f t="shared" si="3"/>
        <v>#N/A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327.39580549186149</v>
      </c>
      <c r="AN20" s="60">
        <f ca="1">AVERAGE(OFFSET($AM$3,0,0,'Données projet'!$E$10+1,1))-AVERAGE(OFFSET($H$3,0,0,'Données projet'!$E$10+1,1))</f>
        <v>428.8489304403459</v>
      </c>
      <c r="AO20" s="60">
        <f t="shared" si="36"/>
        <v>247.01165577562966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</v>
      </c>
      <c r="BD20" s="13">
        <f>IF('Données projet'!$A$88&gt;35,BD19+BC20-BL19,IF(A20&lt;'Données projet'!$A$88,$BA$205^A20,IF(A20='Données projet'!$A$88,'Données projet'!$B$88,BD19+BC20-BL19)))</f>
        <v>75.838862427725871</v>
      </c>
      <c r="BE20" s="14">
        <f>BD20*VLOOKUP('Données projet'!$B$11,Paramètres!$A$1:$I$89,3,0)*VLOOKUP('Données projet'!$B$11,Paramètres!$A$1:$I$89,5,0)</f>
        <v>42.393924097098761</v>
      </c>
      <c r="BF20" s="14">
        <f t="shared" si="37"/>
        <v>12.630994372698538</v>
      </c>
      <c r="BG20" s="22">
        <f t="shared" si="7"/>
        <v>95.835066334896965</v>
      </c>
      <c r="BH20" s="60">
        <f t="shared" si="8"/>
        <v>373.27951077934142</v>
      </c>
      <c r="BI20" s="60">
        <f ca="1">AVERAGE(OFFSET($BH$3,0,0,'Données projet'!$E$11+1,1))-AVERAGE(OFFSET($H$3,0,0,'Données projet'!$E$11+1,1))</f>
        <v>374.79806286316051</v>
      </c>
      <c r="BJ20" s="60">
        <f t="shared" si="38"/>
        <v>350.01856672839466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0">
        <f t="shared" si="11"/>
        <v>327.39580549186149</v>
      </c>
      <c r="CD20" s="60">
        <f ca="1">AVERAGE(OFFSET($CC$3,0,0,'Données projet'!$E$12+1,1))-AVERAGE(OFFSET($H$3,0,0,'Données projet'!$E$12+1,1))</f>
        <v>428.8489304403459</v>
      </c>
      <c r="CE20" s="60">
        <f t="shared" si="40"/>
        <v>247.01165577562966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5.8974358974358978</v>
      </c>
      <c r="CT20" s="13">
        <f>IF('Données projet'!$A$140&gt;35,CT19+CS20-DB19,IF(A20&lt;'Données projet'!$A$140,$CQ$205^A20,IF(A20='Données projet'!$A$140,'Données projet'!$B$140,CT19+CS20-DB19)))</f>
        <v>45.769230769230766</v>
      </c>
      <c r="CU20" s="18">
        <f>CT20*VLOOKUP('Données projet'!$B$13,Paramètres!$A$1:$I$89,3,0)*VLOOKUP('Données projet'!$B$13,Paramètres!$A$1:$I$89,5,0)</f>
        <v>43.554000000000002</v>
      </c>
      <c r="CV20" s="14">
        <f t="shared" si="41"/>
        <v>12.935917793577156</v>
      </c>
      <c r="CW20" s="22">
        <f t="shared" si="13"/>
        <v>98.386606823813551</v>
      </c>
      <c r="CX20" s="60">
        <f t="shared" si="14"/>
        <v>375.83105126825802</v>
      </c>
      <c r="CY20" s="60">
        <f ca="1">AVERAGE(OFFSET($CX$3,0,0,'Données projet'!$E$13+1,1))-AVERAGE(OFFSET($H$3,0,0,'Données projet'!$E$13+1,1))</f>
        <v>354.63118425028898</v>
      </c>
      <c r="CZ20" s="60">
        <f t="shared" si="42"/>
        <v>244.7141066773861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0">
        <f t="shared" si="17"/>
        <v>330.74012964096903</v>
      </c>
      <c r="DT20" s="60">
        <f ca="1">AVERAGE(OFFSET($DS$3,0,0,'Données projet'!$E$14+1,1))-AVERAGE(OFFSET($H$3,0,0,'Données projet'!$E$14+1,1))</f>
        <v>455.50822833641354</v>
      </c>
      <c r="DU20" s="60">
        <f t="shared" si="44"/>
        <v>261.14722581688039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>
        <f>VLOOKUP(A20,'Données projet'!$A$191:$I$211,2,0)</f>
        <v>88.340500000000006</v>
      </c>
      <c r="EH20" s="13">
        <f>VLOOKUP(A20,'Données projet'!$A$191:$I$211,9,0)</f>
        <v>10.132000000000005</v>
      </c>
      <c r="EI20" s="13">
        <f t="array" ref="EI20">INDEX(EH:EH,MIN(IF(ISNUMBER(EH20:EH216),ROW(EH20:EH216),"")))</f>
        <v>10.132000000000005</v>
      </c>
      <c r="EJ20" s="13">
        <f>IF('Données projet'!$A$192&gt;35,EJ19+EI20-ER19,IF(A20&lt;'Données projet'!$A$192,$EG$205^A20,IF(A20='Données projet'!$A$192,'Données projet'!$B$192,EJ19+EI20-ER19)))</f>
        <v>88.340500000000006</v>
      </c>
      <c r="EK20" s="18">
        <f>EJ20*VLOOKUP('Données projet'!$B$15,Paramètres!$A$1:$I$89,3,0)*VLOOKUP('Données projet'!$B$15,Paramètres!$A$1:$I$89,5,0)</f>
        <v>52.827619000000006</v>
      </c>
      <c r="EL20" s="14">
        <f t="shared" si="45"/>
        <v>15.341650229603808</v>
      </c>
      <c r="EM20" s="22">
        <f t="shared" si="19"/>
        <v>118.72814390822663</v>
      </c>
      <c r="EN20" s="60">
        <f t="shared" si="20"/>
        <v>396.17258835267108</v>
      </c>
      <c r="EO20" s="60">
        <f ca="1">AVERAGE(OFFSET($EN$3,0,0,'Données projet'!$E$15+1,1))-AVERAGE(OFFSET($H$3,0,0,'Données projet'!$E$15+1,1))</f>
        <v>207.03241199974599</v>
      </c>
      <c r="EP20" s="60">
        <f t="shared" si="46"/>
        <v>314.188568589113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3.9215795940303386</v>
      </c>
      <c r="EX20" s="23">
        <f>EXP(-LN(2)/2)*EX19+(1-EXP(-LN(2)/2))/(LN(2)/2)*ER20*EU20*VLOOKUP('Données projet'!$B$15,Paramètres!$A$1:$I$89,3,0)*0.475*44/12</f>
        <v>3.9465850388802592</v>
      </c>
      <c r="EY20" s="24">
        <f t="shared" si="21"/>
        <v>7.8681646329105979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 t="e">
        <f>N21*VLOOKUP('Données projet'!$B$9,Paramètres!$A$1:$I$89,3,0)*VLOOKUP('Données projet'!$B$9,Paramètres!$A$1:$I$89,5,0)</f>
        <v>#N/A</v>
      </c>
      <c r="P21" s="14" t="e">
        <f t="shared" si="33"/>
        <v>#N/A</v>
      </c>
      <c r="Q21" s="22" t="e">
        <f t="shared" si="2"/>
        <v>#N/A</v>
      </c>
      <c r="R21" s="60" t="e">
        <f t="shared" si="0"/>
        <v>#N/A</v>
      </c>
      <c r="S21" s="60" t="e">
        <f ca="1">AVERAGE(OFFSET($R$3,0,0,'Données projet'!$E$9+1,1))-AVERAGE(OFFSET($H$3,0,0,'Données projet'!$E$9+1,1))</f>
        <v>#N/A</v>
      </c>
      <c r="T21" s="60" t="e">
        <f t="shared" si="34"/>
        <v>#N/A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 t="e">
        <f>EXP(-LN(2)/35)*Z20+(1-EXP(-LN(2)/35))/(LN(2)/35)*V21*W21*VLOOKUP('Données projet'!$B$9,Paramètres!$A$1:$I$89,3,0)*0.475*44/12</f>
        <v>#N/A</v>
      </c>
      <c r="AA21" s="23" t="e">
        <f>EXP(-LN(2)/25)*AA20+(1-EXP(-LN(2)/25))/(LN(2)/25)*Calculateur!V21*Calculateur!X21*VLOOKUP('Données projet'!$B$9,Paramètres!$A$1:$I$89,3,0)*0.475*44/12</f>
        <v>#N/A</v>
      </c>
      <c r="AB21" s="23" t="e">
        <f>EXP(-LN(2)/2)*AB20+(1-EXP(-LN(2)/2))/(LN(2)/2)*V21*Y21*VLOOKUP('Données projet'!$B$9,Paramètres!$A$1:$I$89,3,0)*0.475*44/12</f>
        <v>#N/A</v>
      </c>
      <c r="AC21" s="24" t="e">
        <f t="shared" si="3"/>
        <v>#N/A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338.56668739624723</v>
      </c>
      <c r="AN21" s="60">
        <f ca="1">AVERAGE(OFFSET($AM$3,0,0,'Données projet'!$E$10+1,1))-AVERAGE(OFFSET($H$3,0,0,'Données projet'!$E$10+1,1))</f>
        <v>428.8489304403459</v>
      </c>
      <c r="AO21" s="60">
        <f t="shared" si="36"/>
        <v>247.01165577562966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</v>
      </c>
      <c r="BD21" s="13">
        <f>IF('Données projet'!$A$88&gt;35,BD20+BC21-BL20,IF(A21&lt;'Données projet'!$A$88,$BA$205^A21,IF(A21='Données projet'!$A$88,'Données projet'!$B$88,BD20+BC21-BL20)))</f>
        <v>97.830366653823091</v>
      </c>
      <c r="BE21" s="14">
        <f>BD21*VLOOKUP('Données projet'!$B$11,Paramètres!$A$1:$I$89,3,0)*VLOOKUP('Données projet'!$B$11,Paramètres!$A$1:$I$89,5,0)</f>
        <v>54.687174959487109</v>
      </c>
      <c r="BF21" s="14">
        <f t="shared" si="37"/>
        <v>15.817858384271306</v>
      </c>
      <c r="BG21" s="22">
        <f t="shared" si="7"/>
        <v>122.79626640704589</v>
      </c>
      <c r="BH21" s="60">
        <f t="shared" si="8"/>
        <v>401.46293307371258</v>
      </c>
      <c r="BI21" s="60">
        <f ca="1">AVERAGE(OFFSET($BH$3,0,0,'Données projet'!$E$11+1,1))-AVERAGE(OFFSET($H$3,0,0,'Données projet'!$E$11+1,1))</f>
        <v>374.79806286316051</v>
      </c>
      <c r="BJ21" s="60">
        <f t="shared" si="38"/>
        <v>350.01856672839466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0">
        <f t="shared" si="11"/>
        <v>338.56668739624723</v>
      </c>
      <c r="CD21" s="60">
        <f ca="1">AVERAGE(OFFSET($CC$3,0,0,'Données projet'!$E$12+1,1))-AVERAGE(OFFSET($H$3,0,0,'Données projet'!$E$12+1,1))</f>
        <v>428.8489304403459</v>
      </c>
      <c r="CE21" s="60">
        <f t="shared" si="40"/>
        <v>247.01165577562966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5.8974358974358978</v>
      </c>
      <c r="CT21" s="13">
        <f>IF('Données projet'!$A$140&gt;35,CT20+CS21-DB20,IF(A21&lt;'Données projet'!$A$140,$CQ$205^A21,IF(A21='Données projet'!$A$140,'Données projet'!$B$140,CT20+CS21-DB20)))</f>
        <v>51.666666666666664</v>
      </c>
      <c r="CU21" s="18">
        <f>CT21*VLOOKUP('Données projet'!$B$13,Paramètres!$A$1:$I$89,3,0)*VLOOKUP('Données projet'!$B$13,Paramètres!$A$1:$I$89,5,0)</f>
        <v>49.165999999999997</v>
      </c>
      <c r="CV21" s="14">
        <f t="shared" si="41"/>
        <v>14.398165127385489</v>
      </c>
      <c r="CW21" s="22">
        <f t="shared" si="13"/>
        <v>110.70758759686305</v>
      </c>
      <c r="CX21" s="60">
        <f t="shared" si="14"/>
        <v>389.37425426352974</v>
      </c>
      <c r="CY21" s="60">
        <f ca="1">AVERAGE(OFFSET($CX$3,0,0,'Données projet'!$E$13+1,1))-AVERAGE(OFFSET($H$3,0,0,'Données projet'!$E$13+1,1))</f>
        <v>354.63118425028898</v>
      </c>
      <c r="CZ21" s="60">
        <f t="shared" si="42"/>
        <v>244.7141066773861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0">
        <f t="shared" si="17"/>
        <v>342.57906408876158</v>
      </c>
      <c r="DT21" s="60">
        <f ca="1">AVERAGE(OFFSET($DS$3,0,0,'Données projet'!$E$14+1,1))-AVERAGE(OFFSET($H$3,0,0,'Données projet'!$E$14+1,1))</f>
        <v>455.50822833641354</v>
      </c>
      <c r="DU21" s="60">
        <f t="shared" si="44"/>
        <v>261.14722581688039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>
        <f>VLOOKUP(A21,'Données projet'!$A$191:$I$211,2,0)</f>
        <v>100.55499999999999</v>
      </c>
      <c r="EH21" s="13">
        <f>VLOOKUP(A21,'Données projet'!$A$191:$I$211,9,0)</f>
        <v>12.214499999999987</v>
      </c>
      <c r="EI21" s="13">
        <f t="array" ref="EI21">INDEX(EH:EH,MIN(IF(ISNUMBER(EH21:EH217),ROW(EH21:EH217),"")))</f>
        <v>12.214499999999987</v>
      </c>
      <c r="EJ21" s="13">
        <f>IF('Données projet'!$A$192&gt;35,EJ20+EI21-ER20,IF(A21&lt;'Données projet'!$A$192,$EG$205^A21,IF(A21='Données projet'!$A$192,'Données projet'!$B$192,EJ20+EI21-ER20)))</f>
        <v>100.55499999999999</v>
      </c>
      <c r="EK21" s="18">
        <f>EJ21*VLOOKUP('Données projet'!$B$15,Paramètres!$A$1:$I$89,3,0)*VLOOKUP('Données projet'!$B$15,Paramètres!$A$1:$I$89,5,0)</f>
        <v>60.131889999999999</v>
      </c>
      <c r="EL21" s="14">
        <f t="shared" si="45"/>
        <v>17.20161067997558</v>
      </c>
      <c r="EM21" s="22">
        <f t="shared" si="19"/>
        <v>134.68918035095743</v>
      </c>
      <c r="EN21" s="60">
        <f t="shared" si="20"/>
        <v>413.35584701762411</v>
      </c>
      <c r="EO21" s="60">
        <f ca="1">AVERAGE(OFFSET($EN$3,0,0,'Données projet'!$E$15+1,1))-AVERAGE(OFFSET($H$3,0,0,'Données projet'!$E$15+1,1))</f>
        <v>207.03241199974599</v>
      </c>
      <c r="EP21" s="60">
        <f t="shared" si="46"/>
        <v>314.188568589113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3.8143437938046709</v>
      </c>
      <c r="EX21" s="23">
        <f>EXP(-LN(2)/2)*EX20+(1-EXP(-LN(2)/2))/(LN(2)/2)*ER21*EU21*VLOOKUP('Données projet'!$B$15,Paramètres!$A$1:$I$89,3,0)*0.475*44/12</f>
        <v>2.7906570435216058</v>
      </c>
      <c r="EY21" s="24">
        <f t="shared" si="21"/>
        <v>6.6050008373262763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 t="e">
        <f>N22*VLOOKUP('Données projet'!$B$9,Paramètres!$A$1:$I$89,3,0)*VLOOKUP('Données projet'!$B$9,Paramètres!$A$1:$I$89,5,0)</f>
        <v>#N/A</v>
      </c>
      <c r="P22" s="14" t="e">
        <f t="shared" si="33"/>
        <v>#N/A</v>
      </c>
      <c r="Q22" s="22" t="e">
        <f t="shared" si="2"/>
        <v>#N/A</v>
      </c>
      <c r="R22" s="60" t="e">
        <f t="shared" si="0"/>
        <v>#N/A</v>
      </c>
      <c r="S22" s="60" t="e">
        <f ca="1">AVERAGE(OFFSET($R$3,0,0,'Données projet'!$E$9+1,1))-AVERAGE(OFFSET($H$3,0,0,'Données projet'!$E$9+1,1))</f>
        <v>#N/A</v>
      </c>
      <c r="T22" s="60" t="e">
        <f t="shared" si="34"/>
        <v>#N/A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 t="e">
        <f>EXP(-LN(2)/35)*Z21+(1-EXP(-LN(2)/35))/(LN(2)/35)*V22*W22*VLOOKUP('Données projet'!$B$9,Paramètres!$A$1:$I$89,3,0)*0.475*44/12</f>
        <v>#N/A</v>
      </c>
      <c r="AA22" s="23" t="e">
        <f>EXP(-LN(2)/25)*AA21+(1-EXP(-LN(2)/25))/(LN(2)/25)*Calculateur!V22*Calculateur!X22*VLOOKUP('Données projet'!$B$9,Paramètres!$A$1:$I$89,3,0)*0.475*44/12</f>
        <v>#N/A</v>
      </c>
      <c r="AB22" s="23" t="e">
        <f>EXP(-LN(2)/2)*AB21+(1-EXP(-LN(2)/2))/(LN(2)/2)*V22*Y22*VLOOKUP('Données projet'!$B$9,Paramètres!$A$1:$I$89,3,0)*0.475*44/12</f>
        <v>#N/A</v>
      </c>
      <c r="AC22" s="24" t="e">
        <f t="shared" si="3"/>
        <v>#N/A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351.72520722798015</v>
      </c>
      <c r="AN22" s="60">
        <f ca="1">AVERAGE(OFFSET($AM$3,0,0,'Données projet'!$E$10+1,1))-AVERAGE(OFFSET($H$3,0,0,'Données projet'!$E$10+1,1))</f>
        <v>428.8489304403459</v>
      </c>
      <c r="AO22" s="60">
        <f t="shared" si="36"/>
        <v>247.01165577562966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</v>
      </c>
      <c r="BD22" s="13">
        <f>IF('Données projet'!$A$88&gt;35,BD21+BC22-BL21,IF(A22&lt;'Données projet'!$A$88,$BA$205^A22,IF(A22='Données projet'!$A$88,'Données projet'!$B$88,BD21+BC22-BL21)))</f>
        <v>126.1988950420027</v>
      </c>
      <c r="BE22" s="14">
        <f>BD22*VLOOKUP('Données projet'!$B$11,Paramètres!$A$1:$I$89,3,0)*VLOOKUP('Données projet'!$B$11,Paramètres!$A$1:$I$89,5,0)</f>
        <v>70.545182328479513</v>
      </c>
      <c r="BF22" s="14">
        <f t="shared" si="37"/>
        <v>19.808784366626785</v>
      </c>
      <c r="BG22" s="22">
        <f t="shared" si="7"/>
        <v>157.36649199397678</v>
      </c>
      <c r="BH22" s="60">
        <f t="shared" si="8"/>
        <v>437.25538088286567</v>
      </c>
      <c r="BI22" s="60">
        <f ca="1">AVERAGE(OFFSET($BH$3,0,0,'Données projet'!$E$11+1,1))-AVERAGE(OFFSET($H$3,0,0,'Données projet'!$E$11+1,1))</f>
        <v>374.79806286316051</v>
      </c>
      <c r="BJ22" s="60">
        <f t="shared" si="38"/>
        <v>350.01856672839466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0">
        <f t="shared" si="11"/>
        <v>351.72520722798015</v>
      </c>
      <c r="CD22" s="60">
        <f ca="1">AVERAGE(OFFSET($CC$3,0,0,'Données projet'!$E$12+1,1))-AVERAGE(OFFSET($H$3,0,0,'Données projet'!$E$12+1,1))</f>
        <v>428.8489304403459</v>
      </c>
      <c r="CE22" s="60">
        <f t="shared" si="40"/>
        <v>247.01165577562966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5.8974358974358978</v>
      </c>
      <c r="CT22" s="13">
        <f>IF('Données projet'!$A$140&gt;35,CT21+CS22-DB21,IF(A22&lt;'Données projet'!$A$140,$CQ$205^A22,IF(A22='Données projet'!$A$140,'Données projet'!$B$140,CT21+CS22-DB21)))</f>
        <v>57.564102564102562</v>
      </c>
      <c r="CU22" s="18">
        <f>CT22*VLOOKUP('Données projet'!$B$13,Paramètres!$A$1:$I$89,3,0)*VLOOKUP('Données projet'!$B$13,Paramètres!$A$1:$I$89,5,0)</f>
        <v>54.777999999999992</v>
      </c>
      <c r="CV22" s="14">
        <f t="shared" si="41"/>
        <v>15.841068726644904</v>
      </c>
      <c r="CW22" s="22">
        <f t="shared" si="13"/>
        <v>122.99487803223985</v>
      </c>
      <c r="CX22" s="60">
        <f t="shared" si="14"/>
        <v>402.88376692112871</v>
      </c>
      <c r="CY22" s="60">
        <f ca="1">AVERAGE(OFFSET($CX$3,0,0,'Données projet'!$E$13+1,1))-AVERAGE(OFFSET($H$3,0,0,'Données projet'!$E$13+1,1))</f>
        <v>354.63118425028898</v>
      </c>
      <c r="CZ22" s="60">
        <f t="shared" si="42"/>
        <v>244.7141066773861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0">
        <f t="shared" si="17"/>
        <v>356.53947198330536</v>
      </c>
      <c r="DT22" s="60">
        <f ca="1">AVERAGE(OFFSET($DS$3,0,0,'Données projet'!$E$14+1,1))-AVERAGE(OFFSET($H$3,0,0,'Données projet'!$E$14+1,1))</f>
        <v>455.50822833641354</v>
      </c>
      <c r="DU22" s="60">
        <f t="shared" si="44"/>
        <v>261.14722581688039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>
        <f>VLOOKUP(A22,'Données projet'!$A$191:$I$211,2,0)</f>
        <v>113.679</v>
      </c>
      <c r="EH22" s="13">
        <f>VLOOKUP(A22,'Données projet'!$A$191:$I$211,9,0)</f>
        <v>13.124000000000009</v>
      </c>
      <c r="EI22" s="13">
        <f t="array" ref="EI22">INDEX(EH:EH,MIN(IF(ISNUMBER(EH22:EH218),ROW(EH22:EH218),"")))</f>
        <v>13.124000000000009</v>
      </c>
      <c r="EJ22" s="13">
        <f>IF('Données projet'!$A$192&gt;35,EJ21+EI22-ER21,IF(A22&lt;'Données projet'!$A$192,$EG$205^A22,IF(A22='Données projet'!$A$192,'Données projet'!$B$192,EJ21+EI22-ER21)))</f>
        <v>113.679</v>
      </c>
      <c r="EK22" s="18">
        <f>EJ22*VLOOKUP('Données projet'!$B$15,Paramètres!$A$1:$I$89,3,0)*VLOOKUP('Données projet'!$B$15,Paramètres!$A$1:$I$89,5,0)</f>
        <v>67.980042000000012</v>
      </c>
      <c r="EL22" s="14">
        <f t="shared" si="45"/>
        <v>19.170979162871237</v>
      </c>
      <c r="EM22" s="22">
        <f t="shared" si="19"/>
        <v>151.78802852533406</v>
      </c>
      <c r="EN22" s="60">
        <f t="shared" si="20"/>
        <v>431.67691741422288</v>
      </c>
      <c r="EO22" s="60">
        <f ca="1">AVERAGE(OFFSET($EN$3,0,0,'Données projet'!$E$15+1,1))-AVERAGE(OFFSET($H$3,0,0,'Données projet'!$E$15+1,1))</f>
        <v>207.03241199974599</v>
      </c>
      <c r="EP22" s="60">
        <f t="shared" si="46"/>
        <v>314.188568589113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3.7100403621754601</v>
      </c>
      <c r="EX22" s="23">
        <f>EXP(-LN(2)/2)*EX21+(1-EXP(-LN(2)/2))/(LN(2)/2)*ER22*EU22*VLOOKUP('Données projet'!$B$15,Paramètres!$A$1:$I$89,3,0)*0.475*44/12</f>
        <v>1.9732925194401298</v>
      </c>
      <c r="EY22" s="24">
        <f t="shared" si="21"/>
        <v>5.6833328816155895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 t="e">
        <f>N23*VLOOKUP('Données projet'!$B$9,Paramètres!$A$1:$I$89,3,0)*VLOOKUP('Données projet'!$B$9,Paramètres!$A$1:$I$89,5,0)</f>
        <v>#N/A</v>
      </c>
      <c r="P23" s="14" t="e">
        <f t="shared" si="33"/>
        <v>#N/A</v>
      </c>
      <c r="Q23" s="22" t="e">
        <f t="shared" si="2"/>
        <v>#N/A</v>
      </c>
      <c r="R23" s="60" t="e">
        <f t="shared" si="0"/>
        <v>#N/A</v>
      </c>
      <c r="S23" s="60" t="e">
        <f ca="1">AVERAGE(OFFSET($R$3,0,0,'Données projet'!$E$9+1,1))-AVERAGE(OFFSET($H$3,0,0,'Données projet'!$E$9+1,1))</f>
        <v>#N/A</v>
      </c>
      <c r="T23" s="60" t="e">
        <f t="shared" si="34"/>
        <v>#N/A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 t="e">
        <f>EXP(-LN(2)/35)*Z22+(1-EXP(-LN(2)/35))/(LN(2)/35)*V23*W23*VLOOKUP('Données projet'!$B$9,Paramètres!$A$1:$I$89,3,0)*0.475*44/12</f>
        <v>#N/A</v>
      </c>
      <c r="AA23" s="23" t="e">
        <f>EXP(-LN(2)/25)*AA22+(1-EXP(-LN(2)/25))/(LN(2)/25)*Calculateur!V23*Calculateur!X23*VLOOKUP('Données projet'!$B$9,Paramètres!$A$1:$I$89,3,0)*0.475*44/12</f>
        <v>#N/A</v>
      </c>
      <c r="AB23" s="23" t="e">
        <f>EXP(-LN(2)/2)*AB22+(1-EXP(-LN(2)/2))/(LN(2)/2)*V23*Y23*VLOOKUP('Données projet'!$B$9,Paramètres!$A$1:$I$89,3,0)*0.475*44/12</f>
        <v>#N/A</v>
      </c>
      <c r="AC23" s="24" t="e">
        <f t="shared" si="3"/>
        <v>#N/A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367.26962158162712</v>
      </c>
      <c r="AN23" s="60">
        <f ca="1">AVERAGE(OFFSET($AM$3,0,0,'Données projet'!$E$10+1,1))-AVERAGE(OFFSET($H$3,0,0,'Données projet'!$E$10+1,1))</f>
        <v>428.8489304403459</v>
      </c>
      <c r="AO23" s="60">
        <f t="shared" si="36"/>
        <v>247.01165577562966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10</v>
      </c>
      <c r="BD23" s="13">
        <f>IF('Données projet'!$A$88&gt;35,BD22+BC23-BL22,IF(A23&lt;'Données projet'!$A$88,$BA$205^A23,IF(A23='Données projet'!$A$88,'Données projet'!$B$88,BD22+BC23-BL22)))</f>
        <v>162.79363611278094</v>
      </c>
      <c r="BE23" s="14">
        <f>BD23*VLOOKUP('Données projet'!$B$11,Paramètres!$A$1:$I$89,3,0)*VLOOKUP('Données projet'!$B$11,Paramètres!$A$1:$I$89,5,0)</f>
        <v>91.001642587044557</v>
      </c>
      <c r="BF23" s="14">
        <f t="shared" si="37"/>
        <v>24.806641237456894</v>
      </c>
      <c r="BG23" s="22">
        <f t="shared" si="7"/>
        <v>201.69942766100667</v>
      </c>
      <c r="BH23" s="60">
        <f t="shared" si="8"/>
        <v>482.81053877211781</v>
      </c>
      <c r="BI23" s="60">
        <f ca="1">AVERAGE(OFFSET($BH$3,0,0,'Données projet'!$E$11+1,1))-AVERAGE(OFFSET($H$3,0,0,'Données projet'!$E$11+1,1))</f>
        <v>374.79806286316051</v>
      </c>
      <c r="BJ23" s="60">
        <f t="shared" si="38"/>
        <v>350.01856672839466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0">
        <f t="shared" si="11"/>
        <v>367.26962158162712</v>
      </c>
      <c r="CD23" s="60">
        <f ca="1">AVERAGE(OFFSET($CC$3,0,0,'Données projet'!$E$12+1,1))-AVERAGE(OFFSET($H$3,0,0,'Données projet'!$E$12+1,1))</f>
        <v>428.8489304403459</v>
      </c>
      <c r="CE23" s="60">
        <f t="shared" si="40"/>
        <v>247.01165577562966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63.46153846153846</v>
      </c>
      <c r="CR23" s="13">
        <f>VLOOKUP(A23,'Données projet'!$A$139:$I$159,9,0)</f>
        <v>5.8974358974358978</v>
      </c>
      <c r="CS23" s="13">
        <f t="array" ref="CS23">INDEX(CR:CR,MIN(IF(ISNUMBER(CR23:CR219),ROW(CR23:CR219),"")))</f>
        <v>5.8974358974358978</v>
      </c>
      <c r="CT23" s="13">
        <f>IF('Données projet'!$A$140&gt;35,CT22+CS23-DB22,IF(A23&lt;'Données projet'!$A$140,$CQ$205^A23,IF(A23='Données projet'!$A$140,'Données projet'!$B$140,CT22+CS23-DB22)))</f>
        <v>63.46153846153846</v>
      </c>
      <c r="CU23" s="18">
        <f>CT23*VLOOKUP('Données projet'!$B$13,Paramètres!$A$1:$I$89,3,0)*VLOOKUP('Données projet'!$B$13,Paramètres!$A$1:$I$89,5,0)</f>
        <v>60.39</v>
      </c>
      <c r="CV23" s="14">
        <f t="shared" si="41"/>
        <v>17.266836036680591</v>
      </c>
      <c r="CW23" s="22">
        <f t="shared" si="13"/>
        <v>135.25232276388536</v>
      </c>
      <c r="CX23" s="60">
        <f t="shared" si="14"/>
        <v>416.36343387499653</v>
      </c>
      <c r="CY23" s="60">
        <f ca="1">AVERAGE(OFFSET($CX$3,0,0,'Données projet'!$E$13+1,1))-AVERAGE(OFFSET($H$3,0,0,'Données projet'!$E$13+1,1))</f>
        <v>354.63118425028898</v>
      </c>
      <c r="CZ23" s="60">
        <f t="shared" si="42"/>
        <v>244.7141066773861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0">
        <f t="shared" si="17"/>
        <v>373.0464936286167</v>
      </c>
      <c r="DT23" s="60">
        <f ca="1">AVERAGE(OFFSET($DS$3,0,0,'Données projet'!$E$14+1,1))-AVERAGE(OFFSET($H$3,0,0,'Données projet'!$E$14+1,1))</f>
        <v>455.50822833641354</v>
      </c>
      <c r="DU23" s="60">
        <f t="shared" si="44"/>
        <v>261.14722581688039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130.203</v>
      </c>
      <c r="EH23" s="13">
        <f>VLOOKUP(A23,'Données projet'!$A$191:$I$211,9,0)</f>
        <v>16.524000000000001</v>
      </c>
      <c r="EI23" s="13">
        <f t="array" ref="EI23">INDEX(EH:EH,MIN(IF(ISNUMBER(EH23:EH219),ROW(EH23:EH219),"")))</f>
        <v>16.524000000000001</v>
      </c>
      <c r="EJ23" s="13">
        <f>IF('Données projet'!$A$192&gt;35,EJ22+EI23-ER22,IF(A23&lt;'Données projet'!$A$192,$EG$205^A23,IF(A23='Données projet'!$A$192,'Données projet'!$B$192,EJ22+EI23-ER22)))</f>
        <v>130.203</v>
      </c>
      <c r="EK23" s="18">
        <f>EJ23*VLOOKUP('Données projet'!$B$15,Paramètres!$A$1:$I$89,3,0)*VLOOKUP('Données projet'!$B$15,Paramètres!$A$1:$I$89,5,0)</f>
        <v>77.861394000000004</v>
      </c>
      <c r="EL23" s="14">
        <f t="shared" si="45"/>
        <v>21.613462087022899</v>
      </c>
      <c r="EM23" s="22">
        <f t="shared" si="19"/>
        <v>173.25204101823155</v>
      </c>
      <c r="EN23" s="60">
        <f t="shared" si="20"/>
        <v>454.36315212934267</v>
      </c>
      <c r="EO23" s="60">
        <f ca="1">AVERAGE(OFFSET($EN$3,0,0,'Données projet'!$E$15+1,1))-AVERAGE(OFFSET($H$3,0,0,'Données projet'!$E$15+1,1))</f>
        <v>207.03241199974599</v>
      </c>
      <c r="EP23" s="60">
        <f t="shared" si="46"/>
        <v>314.188568589113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34.110500000000002</v>
      </c>
      <c r="ES23" s="17">
        <f>IF(ISNA(VLOOKUP(A23,'Données projet'!$A$191:$I$211,5,0)),0%,VLOOKUP(A23,'Données projet'!$A$191:$I$211,5,0)*VLOOKUP('Données projet'!$B$15,Paramètres!$A$1:$I$89,7,0))</f>
        <v>0.1125</v>
      </c>
      <c r="ET23" s="17">
        <f>IF(ISNA(VLOOKUP(A23,'Données projet'!$A$191:$I$211,6,0)),0%,VLOOKUP(A23,'Données projet'!$A$191:$I$211,6,0)*VLOOKUP('Données projet'!$B$15,Paramètres!$A$1:$I$89,7,0))</f>
        <v>0.16875000000000001</v>
      </c>
      <c r="EU23" s="17">
        <f>IF(ISNA(VLOOKUP(A23,'Données projet'!$A$191:$I$211,7,0)),0%,VLOOKUP(A23,'Données projet'!$A$191:$I$211,7,0))</f>
        <v>0.375</v>
      </c>
      <c r="EV23" s="23">
        <f>EXP(-LN(2)/35)*EV22+(1-EXP(-LN(2)/35))/(LN(2)/35)*ER23*ES23*VLOOKUP('Données projet'!$B$15,Paramètres!$A$1:$I$89,3,0)*0.475*44/12</f>
        <v>3.0441787380728691</v>
      </c>
      <c r="EW23" s="23">
        <f>EXP(-LN(2)/25)*EW22+(1-EXP(-LN(2)/25))/(LN(2)/25)*Calculateur!ER23*Calculateur!ET23*VLOOKUP('Données projet'!$B$15,Paramètres!$A$1:$I$89,3,0)*0.475*44/12</f>
        <v>8.1568780830562897</v>
      </c>
      <c r="EX23" s="23">
        <f>EXP(-LN(2)/2)*EX22+(1-EXP(-LN(2)/2))/(LN(2)/2)*ER23*EU23*VLOOKUP('Données projet'!$B$15,Paramètres!$A$1:$I$89,3,0)*0.475*44/12</f>
        <v>10.056089965996938</v>
      </c>
      <c r="EY23" s="24">
        <f t="shared" si="21"/>
        <v>21.257146787126096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 t="e">
        <f>N24*VLOOKUP('Données projet'!$B$9,Paramètres!$A$1:$I$89,3,0)*VLOOKUP('Données projet'!$B$9,Paramètres!$A$1:$I$89,5,0)</f>
        <v>#N/A</v>
      </c>
      <c r="P24" s="14" t="e">
        <f t="shared" si="33"/>
        <v>#N/A</v>
      </c>
      <c r="Q24" s="22" t="e">
        <f t="shared" si="2"/>
        <v>#N/A</v>
      </c>
      <c r="R24" s="60" t="e">
        <f t="shared" si="0"/>
        <v>#N/A</v>
      </c>
      <c r="S24" s="60" t="e">
        <f ca="1">AVERAGE(OFFSET($R$3,0,0,'Données projet'!$E$9+1,1))-AVERAGE(OFFSET($H$3,0,0,'Données projet'!$E$9+1,1))</f>
        <v>#N/A</v>
      </c>
      <c r="T24" s="60" t="e">
        <f t="shared" si="34"/>
        <v>#N/A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 t="e">
        <f>EXP(-LN(2)/35)*Z23+(1-EXP(-LN(2)/35))/(LN(2)/35)*V24*W24*VLOOKUP('Données projet'!$B$9,Paramètres!$A$1:$I$89,3,0)*0.475*44/12</f>
        <v>#N/A</v>
      </c>
      <c r="AA24" s="23" t="e">
        <f>EXP(-LN(2)/25)*AA23+(1-EXP(-LN(2)/25))/(LN(2)/25)*Calculateur!V24*Calculateur!X24*VLOOKUP('Données projet'!$B$9,Paramètres!$A$1:$I$89,3,0)*0.475*44/12</f>
        <v>#N/A</v>
      </c>
      <c r="AB24" s="23" t="e">
        <f>EXP(-LN(2)/2)*AB23+(1-EXP(-LN(2)/2))/(LN(2)/2)*V24*Y24*VLOOKUP('Données projet'!$B$9,Paramètres!$A$1:$I$89,3,0)*0.475*44/12</f>
        <v>#N/A</v>
      </c>
      <c r="AC24" s="24" t="e">
        <f t="shared" si="3"/>
        <v>#N/A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379.65226125630295</v>
      </c>
      <c r="AN24" s="60">
        <f ca="1">AVERAGE(OFFSET($AM$3,0,0,'Données projet'!$E$10+1,1))-AVERAGE(OFFSET($H$3,0,0,'Données projet'!$E$10+1,1))</f>
        <v>428.8489304403459</v>
      </c>
      <c r="AO24" s="60">
        <f t="shared" si="36"/>
        <v>247.01165577562966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210</v>
      </c>
      <c r="BB24" s="13">
        <f>VLOOKUP(A24,'Données projet'!$A$87:$I$107,9,0)</f>
        <v>10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210</v>
      </c>
      <c r="BE24" s="14">
        <f>BD24*VLOOKUP('Données projet'!$B$11,Paramètres!$A$1:$I$89,3,0)*VLOOKUP('Données projet'!$B$11,Paramètres!$A$1:$I$89,5,0)</f>
        <v>117.39</v>
      </c>
      <c r="BF24" s="14">
        <f t="shared" si="37"/>
        <v>31.065482772413461</v>
      </c>
      <c r="BG24" s="22">
        <f t="shared" si="7"/>
        <v>258.55996582862014</v>
      </c>
      <c r="BH24" s="60">
        <f t="shared" si="8"/>
        <v>540.89329916195345</v>
      </c>
      <c r="BI24" s="60">
        <f ca="1">AVERAGE(OFFSET($BH$3,0,0,'Données projet'!$E$11+1,1))-AVERAGE(OFFSET($H$3,0,0,'Données projet'!$E$11+1,1))</f>
        <v>374.79806286316051</v>
      </c>
      <c r="BJ24" s="60">
        <f t="shared" si="38"/>
        <v>350.01856672839466</v>
      </c>
      <c r="BK24" s="16">
        <f>IF(ISNA(VLOOKUP(A24,'Données projet'!$A$87:$I$107,3,0)),0,VLOOKUP(A24,'Données projet'!$A$87:$I$107,3,0))</f>
        <v>1</v>
      </c>
      <c r="BL24" s="16">
        <f>IF(ISNA(VLOOKUP(A24,'Données projet'!$A$87:$I$107,4,0)),0,VLOOKUP(A24,'Données projet'!$A$87:$I$107,4,0))</f>
        <v>63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0.27500000000000002</v>
      </c>
      <c r="BO24" s="17">
        <f>IF(ISNA(VLOOKUP(A24,'Données projet'!$A$87:$I$107,7,0)),0%,VLOOKUP(A24,'Données projet'!$A$87:$I$107,7,0))</f>
        <v>0.5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12.796760722565436</v>
      </c>
      <c r="BR24" s="23">
        <f>EXP(-LN(2)/2)*BR23+(1-EXP(-LN(2)/2))/(LN(2)/2)*BL24*BO24*VLOOKUP('Données projet'!$B$11,Paramètres!$A$1:$I$89,3,0)*0.475*44/12</f>
        <v>19.936912410994776</v>
      </c>
      <c r="BS24" s="24">
        <f t="shared" si="9"/>
        <v>32.73367313356021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0">
        <f t="shared" si="11"/>
        <v>379.65226125630295</v>
      </c>
      <c r="CD24" s="60">
        <f ca="1">AVERAGE(OFFSET($CC$3,0,0,'Données projet'!$E$12+1,1))-AVERAGE(OFFSET($H$3,0,0,'Données projet'!$E$12+1,1))</f>
        <v>428.8489304403459</v>
      </c>
      <c r="CE24" s="60">
        <f t="shared" si="40"/>
        <v>247.01165577562966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6.1538461538461533</v>
      </c>
      <c r="CT24" s="13">
        <f>IF('Données projet'!$A$140&gt;35,CT23+CS24-DB23,IF(A24&lt;'Données projet'!$A$140,$CQ$205^A24,IF(A24='Données projet'!$A$140,'Données projet'!$B$140,CT23+CS24-DB23)))</f>
        <v>69.615384615384613</v>
      </c>
      <c r="CU24" s="18">
        <f>CT24*VLOOKUP('Données projet'!$B$13,Paramètres!$A$1:$I$89,3,0)*VLOOKUP('Données projet'!$B$13,Paramètres!$A$1:$I$89,5,0)</f>
        <v>66.245999999999995</v>
      </c>
      <c r="CV24" s="14">
        <f t="shared" si="41"/>
        <v>18.738237565286223</v>
      </c>
      <c r="CW24" s="22">
        <f t="shared" si="13"/>
        <v>148.01421375954016</v>
      </c>
      <c r="CX24" s="60">
        <f t="shared" si="14"/>
        <v>430.34754709287347</v>
      </c>
      <c r="CY24" s="60">
        <f ca="1">AVERAGE(OFFSET($CX$3,0,0,'Données projet'!$E$13+1,1))-AVERAGE(OFFSET($H$3,0,0,'Données projet'!$E$13+1,1))</f>
        <v>354.63118425028898</v>
      </c>
      <c r="CZ24" s="60">
        <f t="shared" si="42"/>
        <v>244.7141066773861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0">
        <f t="shared" si="17"/>
        <v>386.17951090177678</v>
      </c>
      <c r="DT24" s="60">
        <f ca="1">AVERAGE(OFFSET($DS$3,0,0,'Données projet'!$E$14+1,1))-AVERAGE(OFFSET($H$3,0,0,'Données projet'!$E$14+1,1))</f>
        <v>455.50822833641354</v>
      </c>
      <c r="DU24" s="60">
        <f t="shared" si="44"/>
        <v>261.14722581688039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>
        <f>VLOOKUP(A24,'Données projet'!$A$191:$I$211,2,0)</f>
        <v>110.82299999999999</v>
      </c>
      <c r="EH24" s="13">
        <f>VLOOKUP(A24,'Données projet'!$A$191:$I$211,9,0)</f>
        <v>14.730499999999992</v>
      </c>
      <c r="EI24" s="13">
        <f t="array" ref="EI24">INDEX(EH:EH,MIN(IF(ISNUMBER(EH24:EH220),ROW(EH24:EH220),"")))</f>
        <v>14.730499999999992</v>
      </c>
      <c r="EJ24" s="13">
        <f>IF('Données projet'!$A$192&gt;35,EJ23+EI24-ER23,IF(A24&lt;'Données projet'!$A$192,$EG$205^A24,IF(A24='Données projet'!$A$192,'Données projet'!$B$192,EJ23+EI24-ER23)))</f>
        <v>110.82299999999998</v>
      </c>
      <c r="EK24" s="18">
        <f>EJ24*VLOOKUP('Données projet'!$B$15,Paramètres!$A$1:$I$89,3,0)*VLOOKUP('Données projet'!$B$15,Paramètres!$A$1:$I$89,5,0)</f>
        <v>66.272154</v>
      </c>
      <c r="EL24" s="14">
        <f t="shared" si="45"/>
        <v>18.744774180635133</v>
      </c>
      <c r="EM24" s="22">
        <f t="shared" si="19"/>
        <v>148.07114991460617</v>
      </c>
      <c r="EN24" s="60">
        <f t="shared" si="20"/>
        <v>430.40448324793948</v>
      </c>
      <c r="EO24" s="60">
        <f ca="1">AVERAGE(OFFSET($EN$3,0,0,'Données projet'!$E$15+1,1))-AVERAGE(OFFSET($H$3,0,0,'Données projet'!$E$15+1,1))</f>
        <v>207.03241199974599</v>
      </c>
      <c r="EP24" s="60">
        <f t="shared" si="46"/>
        <v>314.188568589113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2.9844842497849502</v>
      </c>
      <c r="EW24" s="23">
        <f>EXP(-LN(2)/25)*EW23+(1-EXP(-LN(2)/25))/(LN(2)/25)*Calculateur!ER24*Calculateur!ET24*VLOOKUP('Données projet'!$B$15,Paramètres!$A$1:$I$89,3,0)*0.475*44/12</f>
        <v>7.9338278229235399</v>
      </c>
      <c r="EX24" s="23">
        <f>EXP(-LN(2)/2)*EX23+(1-EXP(-LN(2)/2))/(LN(2)/2)*ER24*EU24*VLOOKUP('Données projet'!$B$15,Paramètres!$A$1:$I$89,3,0)*0.475*44/12</f>
        <v>7.1107294071784333</v>
      </c>
      <c r="EY24" s="24">
        <f t="shared" si="21"/>
        <v>18.029041479886924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 t="e">
        <f>N25*VLOOKUP('Données projet'!$B$9,Paramètres!$A$1:$I$89,3,0)*VLOOKUP('Données projet'!$B$9,Paramètres!$A$1:$I$89,5,0)</f>
        <v>#N/A</v>
      </c>
      <c r="P25" s="14" t="e">
        <f t="shared" si="33"/>
        <v>#N/A</v>
      </c>
      <c r="Q25" s="22" t="e">
        <f t="shared" si="2"/>
        <v>#N/A</v>
      </c>
      <c r="R25" s="60" t="e">
        <f t="shared" si="0"/>
        <v>#N/A</v>
      </c>
      <c r="S25" s="60" t="e">
        <f ca="1">AVERAGE(OFFSET($R$3,0,0,'Données projet'!$E$9+1,1))-AVERAGE(OFFSET($H$3,0,0,'Données projet'!$E$9+1,1))</f>
        <v>#N/A</v>
      </c>
      <c r="T25" s="60" t="e">
        <f t="shared" si="34"/>
        <v>#N/A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 t="e">
        <f>EXP(-LN(2)/35)*Z24+(1-EXP(-LN(2)/35))/(LN(2)/35)*V25*W25*VLOOKUP('Données projet'!$B$9,Paramètres!$A$1:$I$89,3,0)*0.475*44/12</f>
        <v>#N/A</v>
      </c>
      <c r="AA25" s="23" t="e">
        <f>EXP(-LN(2)/25)*AA24+(1-EXP(-LN(2)/25))/(LN(2)/25)*Calculateur!V25*Calculateur!X25*VLOOKUP('Données projet'!$B$9,Paramètres!$A$1:$I$89,3,0)*0.475*44/12</f>
        <v>#N/A</v>
      </c>
      <c r="AB25" s="23" t="e">
        <f>EXP(-LN(2)/2)*AB24+(1-EXP(-LN(2)/2))/(LN(2)/2)*V25*Y25*VLOOKUP('Données projet'!$B$9,Paramètres!$A$1:$I$89,3,0)*0.475*44/12</f>
        <v>#N/A</v>
      </c>
      <c r="AC25" s="24" t="e">
        <f t="shared" si="3"/>
        <v>#N/A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392.00305746847613</v>
      </c>
      <c r="AN25" s="60">
        <f ca="1">AVERAGE(OFFSET($AM$3,0,0,'Données projet'!$E$10+1,1))-AVERAGE(OFFSET($H$3,0,0,'Données projet'!$E$10+1,1))</f>
        <v>428.8489304403459</v>
      </c>
      <c r="AO25" s="60">
        <f t="shared" si="36"/>
        <v>247.01165577562966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19</v>
      </c>
      <c r="BD25" s="13">
        <f>IF('Données projet'!$A$88&gt;35,BD24+BC25-BL24,IF(A25&lt;'Données projet'!$A$88,$BA$205^A25,IF(A25='Données projet'!$A$88,'Données projet'!$B$88,BD24+BC25-BL24)))</f>
        <v>166</v>
      </c>
      <c r="BE25" s="14">
        <f>BD25*VLOOKUP('Données projet'!$B$11,Paramètres!$A$1:$I$89,3,0)*VLOOKUP('Données projet'!$B$11,Paramètres!$A$1:$I$89,5,0)</f>
        <v>92.793999999999997</v>
      </c>
      <c r="BF25" s="14">
        <f t="shared" si="37"/>
        <v>25.237866858098691</v>
      </c>
      <c r="BG25" s="22">
        <f t="shared" si="7"/>
        <v>205.57216811118852</v>
      </c>
      <c r="BH25" s="60">
        <f t="shared" si="8"/>
        <v>489.12772366674403</v>
      </c>
      <c r="BI25" s="60">
        <f ca="1">AVERAGE(OFFSET($BH$3,0,0,'Données projet'!$E$11+1,1))-AVERAGE(OFFSET($H$3,0,0,'Données projet'!$E$11+1,1))</f>
        <v>374.79806286316051</v>
      </c>
      <c r="BJ25" s="60">
        <f t="shared" si="38"/>
        <v>350.01856672839466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12.446832627654485</v>
      </c>
      <c r="BR25" s="23">
        <f>EXP(-LN(2)/2)*BR24+(1-EXP(-LN(2)/2))/(LN(2)/2)*BL25*BO25*VLOOKUP('Données projet'!$B$11,Paramètres!$A$1:$I$89,3,0)*0.475*44/12</f>
        <v>14.097525961736647</v>
      </c>
      <c r="BS25" s="24">
        <f t="shared" si="9"/>
        <v>26.54435858939113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0">
        <f t="shared" si="11"/>
        <v>392.00305746847613</v>
      </c>
      <c r="CD25" s="60">
        <f ca="1">AVERAGE(OFFSET($CC$3,0,0,'Données projet'!$E$12+1,1))-AVERAGE(OFFSET($H$3,0,0,'Données projet'!$E$12+1,1))</f>
        <v>428.8489304403459</v>
      </c>
      <c r="CE25" s="60">
        <f t="shared" si="40"/>
        <v>247.01165577562966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6.1538461538461533</v>
      </c>
      <c r="CT25" s="13">
        <f>IF('Données projet'!$A$140&gt;35,CT24+CS25-DB24,IF(A25&lt;'Données projet'!$A$140,$CQ$205^A25,IF(A25='Données projet'!$A$140,'Données projet'!$B$140,CT24+CS25-DB24)))</f>
        <v>75.769230769230774</v>
      </c>
      <c r="CU25" s="18">
        <f>CT25*VLOOKUP('Données projet'!$B$13,Paramètres!$A$1:$I$89,3,0)*VLOOKUP('Données projet'!$B$13,Paramètres!$A$1:$I$89,5,0)</f>
        <v>72.102000000000004</v>
      </c>
      <c r="CV25" s="14">
        <f t="shared" si="41"/>
        <v>20.194556009371063</v>
      </c>
      <c r="CW25" s="22">
        <f t="shared" si="13"/>
        <v>160.74983504965459</v>
      </c>
      <c r="CX25" s="60">
        <f t="shared" si="14"/>
        <v>444.30539060521016</v>
      </c>
      <c r="CY25" s="60">
        <f ca="1">AVERAGE(OFFSET($CX$3,0,0,'Données projet'!$E$13+1,1))-AVERAGE(OFFSET($H$3,0,0,'Données projet'!$E$13+1,1))</f>
        <v>354.63118425028898</v>
      </c>
      <c r="CZ25" s="60">
        <f t="shared" si="42"/>
        <v>244.7141066773861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0">
        <f t="shared" si="17"/>
        <v>399.27875183347982</v>
      </c>
      <c r="DT25" s="60">
        <f ca="1">AVERAGE(OFFSET($DS$3,0,0,'Données projet'!$E$14+1,1))-AVERAGE(OFFSET($H$3,0,0,'Données projet'!$E$14+1,1))</f>
        <v>455.50822833641354</v>
      </c>
      <c r="DU25" s="60">
        <f t="shared" si="44"/>
        <v>261.14722581688039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>
        <f>VLOOKUP(A25,'Données projet'!$A$191:$I$211,2,0)</f>
        <v>126.871</v>
      </c>
      <c r="EH25" s="13">
        <f>VLOOKUP(A25,'Données projet'!$A$191:$I$211,9,0)</f>
        <v>16.048000000000002</v>
      </c>
      <c r="EI25" s="13">
        <f t="array" ref="EI25">INDEX(EH:EH,MIN(IF(ISNUMBER(EH25:EH221),ROW(EH25:EH221),"")))</f>
        <v>16.048000000000002</v>
      </c>
      <c r="EJ25" s="13">
        <f>IF('Données projet'!$A$192&gt;35,EJ24+EI25-ER24,IF(A25&lt;'Données projet'!$A$192,$EG$205^A25,IF(A25='Données projet'!$A$192,'Données projet'!$B$192,EJ24+EI25-ER24)))</f>
        <v>126.87099999999998</v>
      </c>
      <c r="EK25" s="18">
        <f>EJ25*VLOOKUP('Données projet'!$B$15,Paramètres!$A$1:$I$89,3,0)*VLOOKUP('Données projet'!$B$15,Paramètres!$A$1:$I$89,5,0)</f>
        <v>75.868858000000003</v>
      </c>
      <c r="EL25" s="14">
        <f t="shared" si="45"/>
        <v>21.124002732140855</v>
      </c>
      <c r="EM25" s="22">
        <f t="shared" si="19"/>
        <v>168.92923244181199</v>
      </c>
      <c r="EN25" s="60">
        <f t="shared" si="20"/>
        <v>452.48478799736756</v>
      </c>
      <c r="EO25" s="60">
        <f ca="1">AVERAGE(OFFSET($EN$3,0,0,'Données projet'!$E$15+1,1))-AVERAGE(OFFSET($H$3,0,0,'Données projet'!$E$15+1,1))</f>
        <v>207.03241199974599</v>
      </c>
      <c r="EP25" s="60">
        <f t="shared" si="46"/>
        <v>314.188568589113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2.9259603340023146</v>
      </c>
      <c r="EW25" s="23">
        <f>EXP(-LN(2)/25)*EW24+(1-EXP(-LN(2)/25))/(LN(2)/25)*Calculateur!ER25*Calculateur!ET25*VLOOKUP('Données projet'!$B$15,Paramètres!$A$1:$I$89,3,0)*0.475*44/12</f>
        <v>7.716876883883824</v>
      </c>
      <c r="EX25" s="23">
        <f>EXP(-LN(2)/2)*EX24+(1-EXP(-LN(2)/2))/(LN(2)/2)*ER25*EU25*VLOOKUP('Données projet'!$B$15,Paramètres!$A$1:$I$89,3,0)*0.475*44/12</f>
        <v>5.0280449829984697</v>
      </c>
      <c r="EY25" s="24">
        <f t="shared" si="21"/>
        <v>15.670882200884609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 t="e">
        <f>N26*VLOOKUP('Données projet'!$B$9,Paramètres!$A$1:$I$89,3,0)*VLOOKUP('Données projet'!$B$9,Paramètres!$A$1:$I$89,5,0)</f>
        <v>#N/A</v>
      </c>
      <c r="P26" s="14" t="e">
        <f t="shared" si="33"/>
        <v>#N/A</v>
      </c>
      <c r="Q26" s="22" t="e">
        <f t="shared" si="2"/>
        <v>#N/A</v>
      </c>
      <c r="R26" s="60" t="e">
        <f t="shared" si="0"/>
        <v>#N/A</v>
      </c>
      <c r="S26" s="60" t="e">
        <f ca="1">AVERAGE(OFFSET($R$3,0,0,'Données projet'!$E$9+1,1))-AVERAGE(OFFSET($H$3,0,0,'Données projet'!$E$9+1,1))</f>
        <v>#N/A</v>
      </c>
      <c r="T26" s="60" t="e">
        <f t="shared" si="34"/>
        <v>#N/A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 t="e">
        <f>EXP(-LN(2)/35)*Z25+(1-EXP(-LN(2)/35))/(LN(2)/35)*V26*W26*VLOOKUP('Données projet'!$B$9,Paramètres!$A$1:$I$89,3,0)*0.475*44/12</f>
        <v>#N/A</v>
      </c>
      <c r="AA26" s="23" t="e">
        <f>EXP(-LN(2)/25)*AA25+(1-EXP(-LN(2)/25))/(LN(2)/25)*Calculateur!V26*Calculateur!X26*VLOOKUP('Données projet'!$B$9,Paramètres!$A$1:$I$89,3,0)*0.475*44/12</f>
        <v>#N/A</v>
      </c>
      <c r="AB26" s="23" t="e">
        <f>EXP(-LN(2)/2)*AB25+(1-EXP(-LN(2)/2))/(LN(2)/2)*V26*Y26*VLOOKUP('Données projet'!$B$9,Paramètres!$A$1:$I$89,3,0)*0.475*44/12</f>
        <v>#N/A</v>
      </c>
      <c r="AC26" s="24" t="e">
        <f t="shared" si="3"/>
        <v>#N/A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404.32574406333623</v>
      </c>
      <c r="AN26" s="60">
        <f ca="1">AVERAGE(OFFSET($AM$3,0,0,'Données projet'!$E$10+1,1))-AVERAGE(OFFSET($H$3,0,0,'Données projet'!$E$10+1,1))</f>
        <v>428.8489304403459</v>
      </c>
      <c r="AO26" s="60">
        <f t="shared" si="36"/>
        <v>247.01165577562966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19</v>
      </c>
      <c r="BD26" s="13">
        <f>IF('Données projet'!$A$88&gt;35,BD25+BC26-BL25,IF(A26&lt;'Données projet'!$A$88,$BA$205^A26,IF(A26='Données projet'!$A$88,'Données projet'!$B$88,BD25+BC26-BL25)))</f>
        <v>185</v>
      </c>
      <c r="BE26" s="14">
        <f>BD26*VLOOKUP('Données projet'!$B$11,Paramètres!$A$1:$I$89,3,0)*VLOOKUP('Données projet'!$B$11,Paramètres!$A$1:$I$89,5,0)</f>
        <v>103.41500000000001</v>
      </c>
      <c r="BF26" s="14">
        <f t="shared" si="37"/>
        <v>27.773977384564439</v>
      </c>
      <c r="BG26" s="22">
        <f t="shared" si="7"/>
        <v>228.48746894478305</v>
      </c>
      <c r="BH26" s="60">
        <f t="shared" si="8"/>
        <v>513.26524672256085</v>
      </c>
      <c r="BI26" s="60">
        <f ca="1">AVERAGE(OFFSET($BH$3,0,0,'Données projet'!$E$11+1,1))-AVERAGE(OFFSET($H$3,0,0,'Données projet'!$E$11+1,1))</f>
        <v>374.79806286316051</v>
      </c>
      <c r="BJ26" s="60">
        <f t="shared" si="38"/>
        <v>350.01856672839466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12.106473334900793</v>
      </c>
      <c r="BR26" s="23">
        <f>EXP(-LN(2)/2)*BR25+(1-EXP(-LN(2)/2))/(LN(2)/2)*BL26*BO26*VLOOKUP('Données projet'!$B$11,Paramètres!$A$1:$I$89,3,0)*0.475*44/12</f>
        <v>9.9684562054973895</v>
      </c>
      <c r="BS26" s="24">
        <f t="shared" si="9"/>
        <v>22.07492954039818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0">
        <f t="shared" si="11"/>
        <v>404.32574406333623</v>
      </c>
      <c r="CD26" s="60">
        <f ca="1">AVERAGE(OFFSET($CC$3,0,0,'Données projet'!$E$12+1,1))-AVERAGE(OFFSET($H$3,0,0,'Données projet'!$E$12+1,1))</f>
        <v>428.8489304403459</v>
      </c>
      <c r="CE26" s="60">
        <f t="shared" si="40"/>
        <v>247.01165577562966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6.1538461538461533</v>
      </c>
      <c r="CT26" s="13">
        <f>IF('Données projet'!$A$140&gt;35,CT25+CS26-DB25,IF(A26&lt;'Données projet'!$A$140,$CQ$205^A26,IF(A26='Données projet'!$A$140,'Données projet'!$B$140,CT25+CS26-DB25)))</f>
        <v>81.923076923076934</v>
      </c>
      <c r="CU26" s="18">
        <f>CT26*VLOOKUP('Données projet'!$B$13,Paramètres!$A$1:$I$89,3,0)*VLOOKUP('Données projet'!$B$13,Paramètres!$A$1:$I$89,5,0)</f>
        <v>77.958000000000013</v>
      </c>
      <c r="CV26" s="14">
        <f t="shared" si="41"/>
        <v>21.637155663637412</v>
      </c>
      <c r="CW26" s="22">
        <f t="shared" si="13"/>
        <v>173.46156278083515</v>
      </c>
      <c r="CX26" s="60">
        <f t="shared" si="14"/>
        <v>458.23934055861292</v>
      </c>
      <c r="CY26" s="60">
        <f ca="1">AVERAGE(OFFSET($CX$3,0,0,'Données projet'!$E$13+1,1))-AVERAGE(OFFSET($H$3,0,0,'Données projet'!$E$13+1,1))</f>
        <v>354.63118425028898</v>
      </c>
      <c r="CZ26" s="60">
        <f t="shared" si="42"/>
        <v>244.7141066773861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0">
        <f t="shared" si="17"/>
        <v>412.34817691106474</v>
      </c>
      <c r="DT26" s="60">
        <f ca="1">AVERAGE(OFFSET($DS$3,0,0,'Données projet'!$E$14+1,1))-AVERAGE(OFFSET($H$3,0,0,'Données projet'!$E$14+1,1))</f>
        <v>455.50822833641354</v>
      </c>
      <c r="DU26" s="60">
        <f t="shared" si="44"/>
        <v>261.14722581688039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>
        <f>VLOOKUP(A26,'Données projet'!$A$191:$I$211,2,0)</f>
        <v>143.72650000000002</v>
      </c>
      <c r="EH26" s="13">
        <f>VLOOKUP(A26,'Données projet'!$A$191:$I$211,9,0)</f>
        <v>16.855500000000021</v>
      </c>
      <c r="EI26" s="13">
        <f t="array" ref="EI26">INDEX(EH:EH,MIN(IF(ISNUMBER(EH26:EH222),ROW(EH26:EH222),"")))</f>
        <v>16.855500000000021</v>
      </c>
      <c r="EJ26" s="13">
        <f>IF('Données projet'!$A$192&gt;35,EJ25+EI26-ER25,IF(A26&lt;'Données projet'!$A$192,$EG$205^A26,IF(A26='Données projet'!$A$192,'Données projet'!$B$192,EJ25+EI26-ER25)))</f>
        <v>143.72649999999999</v>
      </c>
      <c r="EK26" s="18">
        <f>EJ26*VLOOKUP('Données projet'!$B$15,Paramètres!$A$1:$I$89,3,0)*VLOOKUP('Données projet'!$B$15,Paramètres!$A$1:$I$89,5,0)</f>
        <v>85.948447000000002</v>
      </c>
      <c r="EL26" s="14">
        <f t="shared" si="45"/>
        <v>23.585483929286731</v>
      </c>
      <c r="EM26" s="22">
        <f t="shared" si="19"/>
        <v>190.77159636850772</v>
      </c>
      <c r="EN26" s="60">
        <f t="shared" si="20"/>
        <v>475.54937414628546</v>
      </c>
      <c r="EO26" s="60">
        <f ca="1">AVERAGE(OFFSET($EN$3,0,0,'Données projet'!$E$15+1,1))-AVERAGE(OFFSET($H$3,0,0,'Données projet'!$E$15+1,1))</f>
        <v>207.03241199974599</v>
      </c>
      <c r="EP26" s="60">
        <f t="shared" si="46"/>
        <v>314.188568589113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2.8685840365121122</v>
      </c>
      <c r="EW26" s="23">
        <f>EXP(-LN(2)/25)*EW25+(1-EXP(-LN(2)/25))/(LN(2)/25)*Calculateur!ER26*Calculateur!ET26*VLOOKUP('Données projet'!$B$15,Paramètres!$A$1:$I$89,3,0)*0.475*44/12</f>
        <v>7.5058584796811028</v>
      </c>
      <c r="EX26" s="23">
        <f>EXP(-LN(2)/2)*EX25+(1-EXP(-LN(2)/2))/(LN(2)/2)*ER26*EU26*VLOOKUP('Données projet'!$B$15,Paramètres!$A$1:$I$89,3,0)*0.475*44/12</f>
        <v>3.5553647035892171</v>
      </c>
      <c r="EY26" s="24">
        <f t="shared" si="21"/>
        <v>13.929807219782433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 t="e">
        <f>N27*VLOOKUP('Données projet'!$B$9,Paramètres!$A$1:$I$89,3,0)*VLOOKUP('Données projet'!$B$9,Paramètres!$A$1:$I$89,5,0)</f>
        <v>#N/A</v>
      </c>
      <c r="P27" s="14" t="e">
        <f t="shared" si="33"/>
        <v>#N/A</v>
      </c>
      <c r="Q27" s="22" t="e">
        <f t="shared" si="2"/>
        <v>#N/A</v>
      </c>
      <c r="R27" s="60" t="e">
        <f t="shared" si="0"/>
        <v>#N/A</v>
      </c>
      <c r="S27" s="60" t="e">
        <f ca="1">AVERAGE(OFFSET($R$3,0,0,'Données projet'!$E$9+1,1))-AVERAGE(OFFSET($H$3,0,0,'Données projet'!$E$9+1,1))</f>
        <v>#N/A</v>
      </c>
      <c r="T27" s="60" t="e">
        <f t="shared" si="34"/>
        <v>#N/A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 t="e">
        <f>EXP(-LN(2)/35)*Z26+(1-EXP(-LN(2)/35))/(LN(2)/35)*V27*W27*VLOOKUP('Données projet'!$B$9,Paramètres!$A$1:$I$89,3,0)*0.475*44/12</f>
        <v>#N/A</v>
      </c>
      <c r="AA27" s="23" t="e">
        <f>EXP(-LN(2)/25)*AA26+(1-EXP(-LN(2)/25))/(LN(2)/25)*Calculateur!V27*Calculateur!X27*VLOOKUP('Données projet'!$B$9,Paramètres!$A$1:$I$89,3,0)*0.475*44/12</f>
        <v>#N/A</v>
      </c>
      <c r="AB27" s="23" t="e">
        <f>EXP(-LN(2)/2)*AB26+(1-EXP(-LN(2)/2))/(LN(2)/2)*V27*Y27*VLOOKUP('Données projet'!$B$9,Paramètres!$A$1:$I$89,3,0)*0.475*44/12</f>
        <v>#N/A</v>
      </c>
      <c r="AC27" s="24" t="e">
        <f t="shared" si="3"/>
        <v>#N/A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416.62330272297186</v>
      </c>
      <c r="AN27" s="60">
        <f ca="1">AVERAGE(OFFSET($AM$3,0,0,'Données projet'!$E$10+1,1))-AVERAGE(OFFSET($H$3,0,0,'Données projet'!$E$10+1,1))</f>
        <v>428.8489304403459</v>
      </c>
      <c r="AO27" s="60">
        <f t="shared" si="36"/>
        <v>247.01165577562966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19</v>
      </c>
      <c r="BD27" s="13">
        <f>IF('Données projet'!$A$88&gt;35,BD26+BC27-BL26,IF(A27&lt;'Données projet'!$A$88,$BA$205^A27,IF(A27='Données projet'!$A$88,'Données projet'!$B$88,BD26+BC27-BL26)))</f>
        <v>204</v>
      </c>
      <c r="BE27" s="14">
        <f>BD27*VLOOKUP('Données projet'!$B$11,Paramètres!$A$1:$I$89,3,0)*VLOOKUP('Données projet'!$B$11,Paramètres!$A$1:$I$89,5,0)</f>
        <v>114.036</v>
      </c>
      <c r="BF27" s="14">
        <f t="shared" si="37"/>
        <v>30.279894261296121</v>
      </c>
      <c r="BG27" s="22">
        <f t="shared" si="7"/>
        <v>251.35018250509077</v>
      </c>
      <c r="BH27" s="60">
        <f t="shared" si="8"/>
        <v>537.35018250509074</v>
      </c>
      <c r="BI27" s="60">
        <f ca="1">AVERAGE(OFFSET($BH$3,0,0,'Données projet'!$E$11+1,1))-AVERAGE(OFFSET($H$3,0,0,'Données projet'!$E$11+1,1))</f>
        <v>374.79806286316051</v>
      </c>
      <c r="BJ27" s="60">
        <f t="shared" si="38"/>
        <v>350.01856672839466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11.775421184906168</v>
      </c>
      <c r="BR27" s="23">
        <f>EXP(-LN(2)/2)*BR26+(1-EXP(-LN(2)/2))/(LN(2)/2)*BL27*BO27*VLOOKUP('Données projet'!$B$11,Paramètres!$A$1:$I$89,3,0)*0.475*44/12</f>
        <v>7.0487629808683252</v>
      </c>
      <c r="BS27" s="24">
        <f t="shared" si="9"/>
        <v>18.824184165774493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0">
        <f t="shared" si="11"/>
        <v>416.62330272297186</v>
      </c>
      <c r="CD27" s="60">
        <f ca="1">AVERAGE(OFFSET($CC$3,0,0,'Données projet'!$E$12+1,1))-AVERAGE(OFFSET($H$3,0,0,'Données projet'!$E$12+1,1))</f>
        <v>428.8489304403459</v>
      </c>
      <c r="CE27" s="60">
        <f t="shared" si="40"/>
        <v>247.01165577562966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6.1538461538461533</v>
      </c>
      <c r="CT27" s="13">
        <f>IF('Données projet'!$A$140&gt;35,CT26+CS27-DB26,IF(A27&lt;'Données projet'!$A$140,$CQ$205^A27,IF(A27='Données projet'!$A$140,'Données projet'!$B$140,CT26+CS27-DB26)))</f>
        <v>88.076923076923094</v>
      </c>
      <c r="CU27" s="18">
        <f>CT27*VLOOKUP('Données projet'!$B$13,Paramètres!$A$1:$I$89,3,0)*VLOOKUP('Données projet'!$B$13,Paramètres!$A$1:$I$89,5,0)</f>
        <v>83.814000000000021</v>
      </c>
      <c r="CV27" s="14">
        <f t="shared" si="41"/>
        <v>23.067184225497325</v>
      </c>
      <c r="CW27" s="22">
        <f t="shared" si="13"/>
        <v>186.1513958594079</v>
      </c>
      <c r="CX27" s="60">
        <f t="shared" si="14"/>
        <v>472.1513958594079</v>
      </c>
      <c r="CY27" s="60">
        <f ca="1">AVERAGE(OFFSET($CX$3,0,0,'Données projet'!$E$13+1,1))-AVERAGE(OFFSET($H$3,0,0,'Données projet'!$E$13+1,1))</f>
        <v>354.63118425028898</v>
      </c>
      <c r="CZ27" s="60">
        <f t="shared" si="42"/>
        <v>244.7141066773861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0">
        <f t="shared" si="17"/>
        <v>425.39094880292339</v>
      </c>
      <c r="DT27" s="60">
        <f ca="1">AVERAGE(OFFSET($DS$3,0,0,'Données projet'!$E$14+1,1))-AVERAGE(OFFSET($H$3,0,0,'Données projet'!$E$14+1,1))</f>
        <v>455.50822833641354</v>
      </c>
      <c r="DU27" s="60">
        <f t="shared" si="44"/>
        <v>261.14722581688039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>
        <f>VLOOKUP(A27,'Données projet'!$A$191:$I$211,2,0)</f>
        <v>161.67850000000001</v>
      </c>
      <c r="EH27" s="13">
        <f>VLOOKUP(A27,'Données projet'!$A$191:$I$211,9,0)</f>
        <v>17.951999999999998</v>
      </c>
      <c r="EI27" s="13">
        <f t="array" ref="EI27">INDEX(EH:EH,MIN(IF(ISNUMBER(EH27:EH223),ROW(EH27:EH223),"")))</f>
        <v>17.951999999999998</v>
      </c>
      <c r="EJ27" s="13">
        <f>IF('Données projet'!$A$192&gt;35,EJ26+EI27-ER26,IF(A27&lt;'Données projet'!$A$192,$EG$205^A27,IF(A27='Données projet'!$A$192,'Données projet'!$B$192,EJ26+EI27-ER26)))</f>
        <v>161.67849999999999</v>
      </c>
      <c r="EK27" s="18">
        <f>EJ27*VLOOKUP('Données projet'!$B$15,Paramètres!$A$1:$I$89,3,0)*VLOOKUP('Données projet'!$B$15,Paramètres!$A$1:$I$89,5,0)</f>
        <v>96.683742999999993</v>
      </c>
      <c r="EL27" s="14">
        <f t="shared" si="45"/>
        <v>26.170401043006244</v>
      </c>
      <c r="EM27" s="22">
        <f t="shared" si="19"/>
        <v>213.97096754156919</v>
      </c>
      <c r="EN27" s="60">
        <f t="shared" si="20"/>
        <v>499.97096754156917</v>
      </c>
      <c r="EO27" s="60">
        <f ca="1">AVERAGE(OFFSET($EN$3,0,0,'Données projet'!$E$15+1,1))-AVERAGE(OFFSET($H$3,0,0,'Données projet'!$E$15+1,1))</f>
        <v>207.03241199974599</v>
      </c>
      <c r="EP27" s="60">
        <f t="shared" si="46"/>
        <v>314.188568589113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2.812332853219607</v>
      </c>
      <c r="EW27" s="23">
        <f>EXP(-LN(2)/25)*EW26+(1-EXP(-LN(2)/25))/(LN(2)/25)*Calculateur!ER27*Calculateur!ET27*VLOOKUP('Données projet'!$B$15,Paramètres!$A$1:$I$89,3,0)*0.475*44/12</f>
        <v>7.3006103848382802</v>
      </c>
      <c r="EX27" s="23">
        <f>EXP(-LN(2)/2)*EX26+(1-EXP(-LN(2)/2))/(LN(2)/2)*ER27*EU27*VLOOKUP('Données projet'!$B$15,Paramètres!$A$1:$I$89,3,0)*0.475*44/12</f>
        <v>2.5140224914992353</v>
      </c>
      <c r="EY27" s="24">
        <f t="shared" si="21"/>
        <v>12.626965729557122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 t="e">
        <f>N28*VLOOKUP('Données projet'!$B$9,Paramètres!$A$1:$I$89,3,0)*VLOOKUP('Données projet'!$B$9,Paramètres!$A$1:$I$89,5,0)</f>
        <v>#N/A</v>
      </c>
      <c r="P28" s="14" t="e">
        <f t="shared" si="33"/>
        <v>#N/A</v>
      </c>
      <c r="Q28" s="22" t="e">
        <f t="shared" si="2"/>
        <v>#N/A</v>
      </c>
      <c r="R28" s="60" t="e">
        <f t="shared" si="0"/>
        <v>#N/A</v>
      </c>
      <c r="S28" s="60" t="e">
        <f ca="1">AVERAGE(OFFSET($R$3,0,0,'Données projet'!$E$9+1,1))-AVERAGE(OFFSET($H$3,0,0,'Données projet'!$E$9+1,1))</f>
        <v>#N/A</v>
      </c>
      <c r="T28" s="60" t="e">
        <f t="shared" si="34"/>
        <v>#N/A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 t="e">
        <f>EXP(-LN(2)/35)*Z27+(1-EXP(-LN(2)/35))/(LN(2)/35)*V28*W28*VLOOKUP('Données projet'!$B$9,Paramètres!$A$1:$I$89,3,0)*0.475*44/12</f>
        <v>#N/A</v>
      </c>
      <c r="AA28" s="23" t="e">
        <f>EXP(-LN(2)/25)*AA27+(1-EXP(-LN(2)/25))/(LN(2)/25)*Calculateur!V28*Calculateur!X28*VLOOKUP('Données projet'!$B$9,Paramètres!$A$1:$I$89,3,0)*0.475*44/12</f>
        <v>#N/A</v>
      </c>
      <c r="AB28" s="23" t="e">
        <f>EXP(-LN(2)/2)*AB27+(1-EXP(-LN(2)/2))/(LN(2)/2)*V28*Y28*VLOOKUP('Données projet'!$B$9,Paramètres!$A$1:$I$89,3,0)*0.475*44/12</f>
        <v>#N/A</v>
      </c>
      <c r="AC28" s="24" t="e">
        <f t="shared" si="3"/>
        <v>#N/A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428.89816692885358</v>
      </c>
      <c r="AN28" s="60">
        <f ca="1">AVERAGE(OFFSET($AM$3,0,0,'Données projet'!$E$10+1,1))-AVERAGE(OFFSET($H$3,0,0,'Données projet'!$E$10+1,1))</f>
        <v>428.8489304403459</v>
      </c>
      <c r="AO28" s="60">
        <f t="shared" si="36"/>
        <v>247.01165577562966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19</v>
      </c>
      <c r="BD28" s="13">
        <f>IF('Données projet'!$A$88&gt;35,BD27+BC28-BL27,IF(A28&lt;'Données projet'!$A$88,$BA$205^A28,IF(A28='Données projet'!$A$88,'Données projet'!$B$88,BD27+BC28-BL27)))</f>
        <v>223</v>
      </c>
      <c r="BE28" s="14">
        <f>BD28*VLOOKUP('Données projet'!$B$11,Paramètres!$A$1:$I$89,3,0)*VLOOKUP('Données projet'!$B$11,Paramètres!$A$1:$I$89,5,0)</f>
        <v>124.65700000000001</v>
      </c>
      <c r="BF28" s="14">
        <f t="shared" si="37"/>
        <v>32.758749517288294</v>
      </c>
      <c r="BG28" s="22">
        <f t="shared" si="7"/>
        <v>274.16576374261041</v>
      </c>
      <c r="BH28" s="60">
        <f t="shared" si="8"/>
        <v>561.38798596483264</v>
      </c>
      <c r="BI28" s="60">
        <f ca="1">AVERAGE(OFFSET($BH$3,0,0,'Données projet'!$E$11+1,1))-AVERAGE(OFFSET($H$3,0,0,'Données projet'!$E$11+1,1))</f>
        <v>374.79806286316051</v>
      </c>
      <c r="BJ28" s="60">
        <f t="shared" si="38"/>
        <v>350.01856672839466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11.453421673362422</v>
      </c>
      <c r="BR28" s="23">
        <f>EXP(-LN(2)/2)*BR27+(1-EXP(-LN(2)/2))/(LN(2)/2)*BL28*BO28*VLOOKUP('Données projet'!$B$11,Paramètres!$A$1:$I$89,3,0)*0.475*44/12</f>
        <v>4.9842281027486957</v>
      </c>
      <c r="BS28" s="24">
        <f t="shared" si="9"/>
        <v>16.437649776111119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0">
        <f t="shared" si="11"/>
        <v>428.89816692885358</v>
      </c>
      <c r="CD28" s="60">
        <f ca="1">AVERAGE(OFFSET($CC$3,0,0,'Données projet'!$E$12+1,1))-AVERAGE(OFFSET($H$3,0,0,'Données projet'!$E$12+1,1))</f>
        <v>428.8489304403459</v>
      </c>
      <c r="CE28" s="60">
        <f t="shared" si="40"/>
        <v>247.01165577562966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94.230769230769226</v>
      </c>
      <c r="CR28" s="13">
        <f>VLOOKUP(A28,'Données projet'!$A$139:$I$159,9,0)</f>
        <v>6.1538461538461533</v>
      </c>
      <c r="CS28" s="13">
        <f t="array" ref="CS28">INDEX(CR:CR,MIN(IF(ISNUMBER(CR28:CR224),ROW(CR28:CR224),"")))</f>
        <v>6.1538461538461533</v>
      </c>
      <c r="CT28" s="13">
        <f>IF('Données projet'!$A$140&gt;35,CT27+CS28-DB27,IF(A28&lt;'Données projet'!$A$140,$CQ$205^A28,IF(A28='Données projet'!$A$140,'Données projet'!$B$140,CT27+CS28-DB27)))</f>
        <v>94.230769230769255</v>
      </c>
      <c r="CU28" s="18">
        <f>CT28*VLOOKUP('Données projet'!$B$13,Paramètres!$A$1:$I$89,3,0)*VLOOKUP('Données projet'!$B$13,Paramètres!$A$1:$I$89,5,0)</f>
        <v>89.67000000000003</v>
      </c>
      <c r="CV28" s="14">
        <f t="shared" si="41"/>
        <v>24.4856199329822</v>
      </c>
      <c r="CW28" s="22">
        <f t="shared" si="13"/>
        <v>198.82103804994404</v>
      </c>
      <c r="CX28" s="60">
        <f t="shared" si="14"/>
        <v>486.04326027216626</v>
      </c>
      <c r="CY28" s="60">
        <f ca="1">AVERAGE(OFFSET($CX$3,0,0,'Données projet'!$E$13+1,1))-AVERAGE(OFFSET($H$3,0,0,'Données projet'!$E$13+1,1))</f>
        <v>354.63118425028898</v>
      </c>
      <c r="CZ28" s="60">
        <f t="shared" si="42"/>
        <v>244.7141066773861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26.923076923076923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0">
        <f t="shared" si="17"/>
        <v>438.40964870138259</v>
      </c>
      <c r="DT28" s="60">
        <f ca="1">AVERAGE(OFFSET($DS$3,0,0,'Données projet'!$E$14+1,1))-AVERAGE(OFFSET($H$3,0,0,'Données projet'!$E$14+1,1))</f>
        <v>455.50822833641354</v>
      </c>
      <c r="DU28" s="60">
        <f t="shared" si="44"/>
        <v>261.14722581688039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180.251</v>
      </c>
      <c r="EH28" s="13">
        <f>VLOOKUP(A28,'Données projet'!$A$191:$I$211,9,0)</f>
        <v>18.572499999999991</v>
      </c>
      <c r="EI28" s="13">
        <f t="array" ref="EI28">INDEX(EH:EH,MIN(IF(ISNUMBER(EH28:EH224),ROW(EH28:EH224),"")))</f>
        <v>18.572499999999991</v>
      </c>
      <c r="EJ28" s="13">
        <f>IF('Données projet'!$A$192&gt;35,EJ27+EI28-ER27,IF(A28&lt;'Données projet'!$A$192,$EG$205^A28,IF(A28='Données projet'!$A$192,'Données projet'!$B$192,EJ27+EI28-ER27)))</f>
        <v>180.25099999999998</v>
      </c>
      <c r="EK28" s="18">
        <f>EJ28*VLOOKUP('Données projet'!$B$15,Paramètres!$A$1:$I$89,3,0)*VLOOKUP('Données projet'!$B$15,Paramètres!$A$1:$I$89,5,0)</f>
        <v>107.790098</v>
      </c>
      <c r="EL28" s="14">
        <f t="shared" si="45"/>
        <v>28.809701036494001</v>
      </c>
      <c r="EM28" s="22">
        <f t="shared" si="19"/>
        <v>237.91131665522707</v>
      </c>
      <c r="EN28" s="60">
        <f t="shared" si="20"/>
        <v>525.13353887744927</v>
      </c>
      <c r="EO28" s="60">
        <f ca="1">AVERAGE(OFFSET($EN$3,0,0,'Données projet'!$E$15+1,1))-AVERAGE(OFFSET($H$3,0,0,'Données projet'!$E$15+1,1))</f>
        <v>207.03241199974599</v>
      </c>
      <c r="EP28" s="60">
        <f t="shared" si="46"/>
        <v>314.188568589113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2.7571847213216341</v>
      </c>
      <c r="EW28" s="23">
        <f>EXP(-LN(2)/25)*EW27+(1-EXP(-LN(2)/25))/(LN(2)/25)*Calculateur!ER28*Calculateur!ET28*VLOOKUP('Données projet'!$B$15,Paramètres!$A$1:$I$89,3,0)*0.475*44/12</f>
        <v>7.1009748099424632</v>
      </c>
      <c r="EX28" s="23">
        <f>EXP(-LN(2)/2)*EX27+(1-EXP(-LN(2)/2))/(LN(2)/2)*ER28*EU28*VLOOKUP('Données projet'!$B$15,Paramètres!$A$1:$I$89,3,0)*0.475*44/12</f>
        <v>1.777682351794609</v>
      </c>
      <c r="EY28" s="24">
        <f t="shared" si="21"/>
        <v>11.635841883058706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 t="e">
        <f>N29*VLOOKUP('Données projet'!$B$9,Paramètres!$A$1:$I$89,3,0)*VLOOKUP('Données projet'!$B$9,Paramètres!$A$1:$I$89,5,0)</f>
        <v>#N/A</v>
      </c>
      <c r="P29" s="14" t="e">
        <f t="shared" si="33"/>
        <v>#N/A</v>
      </c>
      <c r="Q29" s="22" t="e">
        <f t="shared" si="2"/>
        <v>#N/A</v>
      </c>
      <c r="R29" s="60" t="e">
        <f t="shared" si="0"/>
        <v>#N/A</v>
      </c>
      <c r="S29" s="60" t="e">
        <f ca="1">AVERAGE(OFFSET($R$3,0,0,'Données projet'!$E$9+1,1))-AVERAGE(OFFSET($H$3,0,0,'Données projet'!$E$9+1,1))</f>
        <v>#N/A</v>
      </c>
      <c r="T29" s="60" t="e">
        <f t="shared" si="34"/>
        <v>#N/A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 t="e">
        <f>EXP(-LN(2)/35)*Z28+(1-EXP(-LN(2)/35))/(LN(2)/35)*V29*W29*VLOOKUP('Données projet'!$B$9,Paramètres!$A$1:$I$89,3,0)*0.475*44/12</f>
        <v>#N/A</v>
      </c>
      <c r="AA29" s="23" t="e">
        <f>EXP(-LN(2)/25)*AA28+(1-EXP(-LN(2)/25))/(LN(2)/25)*Calculateur!V29*Calculateur!X29*VLOOKUP('Données projet'!$B$9,Paramètres!$A$1:$I$89,3,0)*0.475*44/12</f>
        <v>#N/A</v>
      </c>
      <c r="AB29" s="23" t="e">
        <f>EXP(-LN(2)/2)*AB28+(1-EXP(-LN(2)/2))/(LN(2)/2)*V29*Y29*VLOOKUP('Données projet'!$B$9,Paramètres!$A$1:$I$89,3,0)*0.475*44/12</f>
        <v>#N/A</v>
      </c>
      <c r="AC29" s="24" t="e">
        <f t="shared" si="3"/>
        <v>#N/A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0">
        <f t="shared" si="5"/>
        <v>443.90732670063346</v>
      </c>
      <c r="AN29" s="60">
        <f ca="1">AVERAGE(OFFSET($AM$3,0,0,'Données projet'!$E$10+1,1))-AVERAGE(OFFSET($H$3,0,0,'Données projet'!$E$10+1,1))</f>
        <v>428.8489304403459</v>
      </c>
      <c r="AO29" s="60">
        <f t="shared" si="36"/>
        <v>247.01165577562966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19</v>
      </c>
      <c r="BD29" s="13">
        <f>IF('Données projet'!$A$88&gt;35,BD28+BC29-BL28,IF(A29&lt;'Données projet'!$A$88,$BA$205^A29,IF(A29='Données projet'!$A$88,'Données projet'!$B$88,BD28+BC29-BL28)))</f>
        <v>242</v>
      </c>
      <c r="BE29" s="14">
        <f>BD29*VLOOKUP('Données projet'!$B$11,Paramètres!$A$1:$I$89,3,0)*VLOOKUP('Données projet'!$B$11,Paramètres!$A$1:$I$89,5,0)</f>
        <v>135.27800000000002</v>
      </c>
      <c r="BF29" s="14">
        <f t="shared" si="37"/>
        <v>35.213110998543605</v>
      </c>
      <c r="BG29" s="22">
        <f t="shared" si="7"/>
        <v>296.93868498913014</v>
      </c>
      <c r="BH29" s="60">
        <f t="shared" si="8"/>
        <v>585.3831294335746</v>
      </c>
      <c r="BI29" s="60">
        <f ca="1">AVERAGE(OFFSET($BH$3,0,0,'Données projet'!$E$11+1,1))-AVERAGE(OFFSET($H$3,0,0,'Données projet'!$E$11+1,1))</f>
        <v>374.79806286316051</v>
      </c>
      <c r="BJ29" s="60">
        <f t="shared" si="38"/>
        <v>350.01856672839466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11.140227255395057</v>
      </c>
      <c r="BR29" s="23">
        <f>EXP(-LN(2)/2)*BR28+(1-EXP(-LN(2)/2))/(LN(2)/2)*BL29*BO29*VLOOKUP('Données projet'!$B$11,Paramètres!$A$1:$I$89,3,0)*0.475*44/12</f>
        <v>3.524381490434163</v>
      </c>
      <c r="BS29" s="24">
        <f t="shared" si="9"/>
        <v>14.66460874582922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69.669600000000003</v>
      </c>
      <c r="CA29" s="14">
        <f t="shared" si="39"/>
        <v>19.591385027476957</v>
      </c>
      <c r="CB29" s="22">
        <f t="shared" si="10"/>
        <v>155.46288225618903</v>
      </c>
      <c r="CC29" s="60">
        <f t="shared" si="11"/>
        <v>443.90732670063346</v>
      </c>
      <c r="CD29" s="60">
        <f ca="1">AVERAGE(OFFSET($CC$3,0,0,'Données projet'!$E$12+1,1))-AVERAGE(OFFSET($H$3,0,0,'Données projet'!$E$12+1,1))</f>
        <v>428.8489304403459</v>
      </c>
      <c r="CE29" s="60">
        <f t="shared" si="40"/>
        <v>247.01165577562966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6.2820512820512819</v>
      </c>
      <c r="CT29" s="13">
        <f>IF('Données projet'!$A$140&gt;35,CT28+CS29-DB28,IF(A29&lt;'Données projet'!$A$140,$CQ$205^A29,IF(A29='Données projet'!$A$140,'Données projet'!$B$140,CT28+CS29-DB28)))</f>
        <v>73.58974358974362</v>
      </c>
      <c r="CU29" s="18">
        <f>CT29*VLOOKUP('Données projet'!$B$13,Paramètres!$A$1:$I$89,3,0)*VLOOKUP('Données projet'!$B$13,Paramètres!$A$1:$I$89,5,0)</f>
        <v>70.028000000000034</v>
      </c>
      <c r="CV29" s="14">
        <f t="shared" si="41"/>
        <v>19.680410796372318</v>
      </c>
      <c r="CW29" s="22">
        <f t="shared" si="13"/>
        <v>156.24214880368183</v>
      </c>
      <c r="CX29" s="60">
        <f t="shared" si="14"/>
        <v>444.68659324812631</v>
      </c>
      <c r="CY29" s="60">
        <f ca="1">AVERAGE(OFFSET($CX$3,0,0,'Données projet'!$E$13+1,1))-AVERAGE(OFFSET($H$3,0,0,'Données projet'!$E$13+1,1))</f>
        <v>354.63118425028898</v>
      </c>
      <c r="CZ29" s="60">
        <f t="shared" si="42"/>
        <v>244.7141066773861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74.474400000000003</v>
      </c>
      <c r="DQ29" s="14">
        <f t="shared" si="43"/>
        <v>20.780570274034375</v>
      </c>
      <c r="DR29" s="22">
        <f t="shared" si="16"/>
        <v>165.90240656060988</v>
      </c>
      <c r="DS29" s="60">
        <f t="shared" si="17"/>
        <v>454.3468510050543</v>
      </c>
      <c r="DT29" s="60">
        <f ca="1">AVERAGE(OFFSET($DS$3,0,0,'Données projet'!$E$14+1,1))-AVERAGE(OFFSET($H$3,0,0,'Données projet'!$E$14+1,1))</f>
        <v>455.50822833641354</v>
      </c>
      <c r="DU29" s="60">
        <f t="shared" si="44"/>
        <v>261.14722581688039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19.056999999999988</v>
      </c>
      <c r="EJ29" s="13">
        <f>IF('Données projet'!$A$192&gt;35,EJ28+EI29-ER28,IF(A29&lt;'Données projet'!$A$192,$EG$205^A29,IF(A29='Données projet'!$A$192,'Données projet'!$B$192,EJ28+EI29-ER28)))</f>
        <v>199.30799999999996</v>
      </c>
      <c r="EK29" s="18">
        <f>EJ29*VLOOKUP('Données projet'!$B$15,Paramètres!$A$1:$I$89,3,0)*VLOOKUP('Données projet'!$B$15,Paramètres!$A$1:$I$89,5,0)</f>
        <v>119.18618399999998</v>
      </c>
      <c r="EL29" s="14">
        <f t="shared" si="45"/>
        <v>31.485114968902487</v>
      </c>
      <c r="EM29" s="22">
        <f t="shared" si="19"/>
        <v>262.4191790375051</v>
      </c>
      <c r="EN29" s="60">
        <f t="shared" si="20"/>
        <v>550.86362348194962</v>
      </c>
      <c r="EO29" s="60">
        <f ca="1">AVERAGE(OFFSET($EN$3,0,0,'Données projet'!$E$15+1,1))-AVERAGE(OFFSET($H$3,0,0,'Données projet'!$E$15+1,1))</f>
        <v>207.03241199974599</v>
      </c>
      <c r="EP29" s="60">
        <f t="shared" si="46"/>
        <v>314.188568589113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2.7031180106531409</v>
      </c>
      <c r="EW29" s="23">
        <f>EXP(-LN(2)/25)*EW28+(1-EXP(-LN(2)/25))/(LN(2)/25)*Calculateur!ER29*Calculateur!ET29*VLOOKUP('Données projet'!$B$15,Paramètres!$A$1:$I$89,3,0)*0.475*44/12</f>
        <v>6.906798280340551</v>
      </c>
      <c r="EX29" s="23">
        <f>EXP(-LN(2)/2)*EX28+(1-EXP(-LN(2)/2))/(LN(2)/2)*ER29*EU29*VLOOKUP('Données projet'!$B$15,Paramètres!$A$1:$I$89,3,0)*0.475*44/12</f>
        <v>1.2570112457496179</v>
      </c>
      <c r="EY29" s="24">
        <f t="shared" si="21"/>
        <v>10.86692753674331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 t="e">
        <f>N30*VLOOKUP('Données projet'!$B$9,Paramètres!$A$1:$I$89,3,0)*VLOOKUP('Données projet'!$B$9,Paramètres!$A$1:$I$89,5,0)</f>
        <v>#N/A</v>
      </c>
      <c r="P30" s="14" t="e">
        <f t="shared" si="33"/>
        <v>#N/A</v>
      </c>
      <c r="Q30" s="22" t="e">
        <f t="shared" si="2"/>
        <v>#N/A</v>
      </c>
      <c r="R30" s="60" t="e">
        <f t="shared" si="0"/>
        <v>#N/A</v>
      </c>
      <c r="S30" s="60" t="e">
        <f ca="1">AVERAGE(OFFSET($R$3,0,0,'Données projet'!$E$9+1,1))-AVERAGE(OFFSET($H$3,0,0,'Données projet'!$E$9+1,1))</f>
        <v>#N/A</v>
      </c>
      <c r="T30" s="60" t="e">
        <f t="shared" si="34"/>
        <v>#N/A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 t="e">
        <f>EXP(-LN(2)/35)*Z29+(1-EXP(-LN(2)/35))/(LN(2)/35)*V30*W30*VLOOKUP('Données projet'!$B$9,Paramètres!$A$1:$I$89,3,0)*0.475*44/12</f>
        <v>#N/A</v>
      </c>
      <c r="AA30" s="23" t="e">
        <f>EXP(-LN(2)/25)*AA29+(1-EXP(-LN(2)/25))/(LN(2)/25)*Calculateur!V30*Calculateur!X30*VLOOKUP('Données projet'!$B$9,Paramètres!$A$1:$I$89,3,0)*0.475*44/12</f>
        <v>#N/A</v>
      </c>
      <c r="AB30" s="23" t="e">
        <f>EXP(-LN(2)/2)*AB29+(1-EXP(-LN(2)/2))/(LN(2)/2)*V30*Y30*VLOOKUP('Données projet'!$B$9,Paramètres!$A$1:$I$89,3,0)*0.475*44/12</f>
        <v>#N/A</v>
      </c>
      <c r="AC30" s="24" t="e">
        <f t="shared" si="3"/>
        <v>#N/A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0">
        <f t="shared" si="5"/>
        <v>458.88743540273413</v>
      </c>
      <c r="AN30" s="60">
        <f ca="1">AVERAGE(OFFSET($AM$3,0,0,'Données projet'!$E$10+1,1))-AVERAGE(OFFSET($H$3,0,0,'Données projet'!$E$10+1,1))</f>
        <v>428.8489304403459</v>
      </c>
      <c r="AO30" s="60">
        <f t="shared" si="36"/>
        <v>247.01165577562966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19</v>
      </c>
      <c r="BD30" s="13">
        <f>IF('Données projet'!$A$88&gt;35,BD29+BC30-BL29,IF(A30&lt;'Données projet'!$A$88,$BA$205^A30,IF(A30='Données projet'!$A$88,'Données projet'!$B$88,BD29+BC30-BL29)))</f>
        <v>261</v>
      </c>
      <c r="BE30" s="14">
        <f>BD30*VLOOKUP('Données projet'!$B$11,Paramètres!$A$1:$I$89,3,0)*VLOOKUP('Données projet'!$B$11,Paramètres!$A$1:$I$89,5,0)</f>
        <v>145.899</v>
      </c>
      <c r="BF30" s="14">
        <f t="shared" si="37"/>
        <v>37.645120410716935</v>
      </c>
      <c r="BG30" s="22">
        <f t="shared" si="7"/>
        <v>319.67267638199866</v>
      </c>
      <c r="BH30" s="60">
        <f t="shared" si="8"/>
        <v>609.33934304866534</v>
      </c>
      <c r="BI30" s="60">
        <f ca="1">AVERAGE(OFFSET($BH$3,0,0,'Données projet'!$E$11+1,1))-AVERAGE(OFFSET($H$3,0,0,'Données projet'!$E$11+1,1))</f>
        <v>374.79806286316051</v>
      </c>
      <c r="BJ30" s="60">
        <f t="shared" si="38"/>
        <v>350.01856672839466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10.83559715525719</v>
      </c>
      <c r="BR30" s="23">
        <f>EXP(-LN(2)/2)*BR29+(1-EXP(-LN(2)/2))/(LN(2)/2)*BL30*BO30*VLOOKUP('Données projet'!$B$11,Paramètres!$A$1:$I$89,3,0)*0.475*44/12</f>
        <v>2.4921140513743483</v>
      </c>
      <c r="BS30" s="24">
        <f t="shared" si="9"/>
        <v>13.327711206631538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76.003200000000007</v>
      </c>
      <c r="CA30" s="14">
        <f t="shared" si="39"/>
        <v>21.157049992000456</v>
      </c>
      <c r="CB30" s="22">
        <f t="shared" si="10"/>
        <v>169.22076873606747</v>
      </c>
      <c r="CC30" s="60">
        <f t="shared" si="11"/>
        <v>458.88743540273413</v>
      </c>
      <c r="CD30" s="60">
        <f ca="1">AVERAGE(OFFSET($CC$3,0,0,'Données projet'!$E$12+1,1))-AVERAGE(OFFSET($H$3,0,0,'Données projet'!$E$12+1,1))</f>
        <v>428.8489304403459</v>
      </c>
      <c r="CE30" s="60">
        <f t="shared" si="40"/>
        <v>247.01165577562966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6.2820512820512819</v>
      </c>
      <c r="CT30" s="13">
        <f>IF('Données projet'!$A$140&gt;35,CT29+CS30-DB29,IF(A30&lt;'Données projet'!$A$140,$CQ$205^A30,IF(A30='Données projet'!$A$140,'Données projet'!$B$140,CT29+CS30-DB29)))</f>
        <v>79.871794871794904</v>
      </c>
      <c r="CU30" s="18">
        <f>CT30*VLOOKUP('Données projet'!$B$13,Paramètres!$A$1:$I$89,3,0)*VLOOKUP('Données projet'!$B$13,Paramètres!$A$1:$I$89,5,0)</f>
        <v>76.006000000000029</v>
      </c>
      <c r="CV30" s="14">
        <f t="shared" si="41"/>
        <v>21.157738701449713</v>
      </c>
      <c r="CW30" s="22">
        <f t="shared" si="13"/>
        <v>169.22684490502496</v>
      </c>
      <c r="CX30" s="60">
        <f t="shared" si="14"/>
        <v>458.89351157169165</v>
      </c>
      <c r="CY30" s="60">
        <f ca="1">AVERAGE(OFFSET($CX$3,0,0,'Données projet'!$E$13+1,1))-AVERAGE(OFFSET($H$3,0,0,'Données projet'!$E$13+1,1))</f>
        <v>354.63118425028898</v>
      </c>
      <c r="CZ30" s="60">
        <f t="shared" si="42"/>
        <v>244.7141066773861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81.244799999999998</v>
      </c>
      <c r="DQ30" s="14">
        <f t="shared" si="43"/>
        <v>22.441270156928962</v>
      </c>
      <c r="DR30" s="22">
        <f t="shared" si="16"/>
        <v>180.58657218998462</v>
      </c>
      <c r="DS30" s="60">
        <f t="shared" si="17"/>
        <v>470.25323885665131</v>
      </c>
      <c r="DT30" s="60">
        <f ca="1">AVERAGE(OFFSET($DS$3,0,0,'Données projet'!$E$14+1,1))-AVERAGE(OFFSET($H$3,0,0,'Données projet'!$E$14+1,1))</f>
        <v>455.50822833641354</v>
      </c>
      <c r="DU30" s="60">
        <f t="shared" si="44"/>
        <v>261.14722581688039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>
        <f>VLOOKUP(A30,'Données projet'!$A$191:$I$211,2,0)</f>
        <v>218.36499999999998</v>
      </c>
      <c r="EH30" s="13">
        <f>VLOOKUP(A30,'Données projet'!$A$191:$I$211,9,0)</f>
        <v>19.056999999999988</v>
      </c>
      <c r="EI30" s="13">
        <f t="array" ref="EI30">INDEX(EH:EH,MIN(IF(ISNUMBER(EH30:EH226),ROW(EH30:EH226),"")))</f>
        <v>19.056999999999988</v>
      </c>
      <c r="EJ30" s="13">
        <f>IF('Données projet'!$A$192&gt;35,EJ29+EI30-ER29,IF(A30&lt;'Données projet'!$A$192,$EG$205^A30,IF(A30='Données projet'!$A$192,'Données projet'!$B$192,EJ29+EI30-ER29)))</f>
        <v>218.36499999999995</v>
      </c>
      <c r="EK30" s="18">
        <f>EJ30*VLOOKUP('Données projet'!$B$15,Paramètres!$A$1:$I$89,3,0)*VLOOKUP('Données projet'!$B$15,Paramètres!$A$1:$I$89,5,0)</f>
        <v>130.58226999999997</v>
      </c>
      <c r="EL30" s="14">
        <f t="shared" si="45"/>
        <v>34.13086981877764</v>
      </c>
      <c r="EM30" s="22">
        <f t="shared" si="19"/>
        <v>286.87538518437105</v>
      </c>
      <c r="EN30" s="60">
        <f t="shared" si="20"/>
        <v>576.54205185103774</v>
      </c>
      <c r="EO30" s="60">
        <f ca="1">AVERAGE(OFFSET($EN$3,0,0,'Données projet'!$E$15+1,1))-AVERAGE(OFFSET($H$3,0,0,'Données projet'!$E$15+1,1))</f>
        <v>207.03241199974599</v>
      </c>
      <c r="EP30" s="60">
        <f t="shared" si="46"/>
        <v>314.188568589113</v>
      </c>
      <c r="EQ30" s="16">
        <f>IF(ISNA(VLOOKUP(A30,'Données projet'!$A$191:$I$211,3,0)),0,VLOOKUP(A30,'Données projet'!$A$191:$I$211,3,0))</f>
        <v>3</v>
      </c>
      <c r="ER30" s="16">
        <f>IF(ISNA(VLOOKUP(A30,'Données projet'!$A$191:$I$211,4,0)),0,VLOOKUP(A30,'Données projet'!$A$191:$I$211,4,0))</f>
        <v>54.518999999999998</v>
      </c>
      <c r="ES30" s="17">
        <f>IF(ISNA(VLOOKUP(A30,'Données projet'!$A$191:$I$211,5,0)),0%,VLOOKUP(A30,'Données projet'!$A$191:$I$211,5,0)*VLOOKUP('Données projet'!$B$15,Paramètres!$A$1:$I$89,7,0))</f>
        <v>0.27</v>
      </c>
      <c r="ET30" s="17">
        <f>IF(ISNA(VLOOKUP(A30,'Données projet'!$A$191:$I$211,6,0)),0%,VLOOKUP(A30,'Données projet'!$A$191:$I$211,6,0)*VLOOKUP('Données projet'!$B$15,Paramètres!$A$1:$I$89,7,0))</f>
        <v>9.0000000000000011E-2</v>
      </c>
      <c r="EU30" s="17">
        <f>IF(ISNA(VLOOKUP(A30,'Données projet'!$A$191:$I$211,7,0)),0%,VLOOKUP(A30,'Données projet'!$A$191:$I$211,7,0))</f>
        <v>0.2</v>
      </c>
      <c r="EV30" s="23">
        <f>EXP(-LN(2)/35)*EV29+(1-EXP(-LN(2)/35))/(LN(2)/35)*ER30*ES30*VLOOKUP('Données projet'!$B$15,Paramètres!$A$1:$I$89,3,0)*0.475*44/12</f>
        <v>14.327377855198066</v>
      </c>
      <c r="EW30" s="23">
        <f>EXP(-LN(2)/25)*EW29+(1-EXP(-LN(2)/25))/(LN(2)/25)*Calculateur!ER30*Calculateur!ET30*VLOOKUP('Données projet'!$B$15,Paramètres!$A$1:$I$89,3,0)*0.475*44/12</f>
        <v>10.595027682494164</v>
      </c>
      <c r="EX30" s="23">
        <f>EXP(-LN(2)/2)*EX29+(1-EXP(-LN(2)/2))/(LN(2)/2)*ER30*EU30*VLOOKUP('Données projet'!$B$15,Paramètres!$A$1:$I$89,3,0)*0.475*44/12</f>
        <v>8.271530622307214</v>
      </c>
      <c r="EY30" s="24">
        <f t="shared" si="21"/>
        <v>33.193936159999438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 t="e">
        <f>N31*VLOOKUP('Données projet'!$B$9,Paramètres!$A$1:$I$89,3,0)*VLOOKUP('Données projet'!$B$9,Paramètres!$A$1:$I$89,5,0)</f>
        <v>#N/A</v>
      </c>
      <c r="P31" s="14" t="e">
        <f t="shared" si="33"/>
        <v>#N/A</v>
      </c>
      <c r="Q31" s="22" t="e">
        <f t="shared" si="2"/>
        <v>#N/A</v>
      </c>
      <c r="R31" s="60" t="e">
        <f t="shared" si="0"/>
        <v>#N/A</v>
      </c>
      <c r="S31" s="60" t="e">
        <f ca="1">AVERAGE(OFFSET($R$3,0,0,'Données projet'!$E$9+1,1))-AVERAGE(OFFSET($H$3,0,0,'Données projet'!$E$9+1,1))</f>
        <v>#N/A</v>
      </c>
      <c r="T31" s="60" t="e">
        <f t="shared" si="34"/>
        <v>#N/A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 t="e">
        <f>EXP(-LN(2)/35)*Z30+(1-EXP(-LN(2)/35))/(LN(2)/35)*V31*W31*VLOOKUP('Données projet'!$B$9,Paramètres!$A$1:$I$89,3,0)*0.475*44/12</f>
        <v>#N/A</v>
      </c>
      <c r="AA31" s="23" t="e">
        <f>EXP(-LN(2)/25)*AA30+(1-EXP(-LN(2)/25))/(LN(2)/25)*Calculateur!V31*Calculateur!X31*VLOOKUP('Données projet'!$B$9,Paramètres!$A$1:$I$89,3,0)*0.475*44/12</f>
        <v>#N/A</v>
      </c>
      <c r="AB31" s="23" t="e">
        <f>EXP(-LN(2)/2)*AB30+(1-EXP(-LN(2)/2))/(LN(2)/2)*V31*Y31*VLOOKUP('Données projet'!$B$9,Paramètres!$A$1:$I$89,3,0)*0.475*44/12</f>
        <v>#N/A</v>
      </c>
      <c r="AC31" s="24" t="e">
        <f t="shared" si="3"/>
        <v>#N/A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0">
        <f t="shared" si="5"/>
        <v>473.84118919501418</v>
      </c>
      <c r="AN31" s="60">
        <f ca="1">AVERAGE(OFFSET($AM$3,0,0,'Données projet'!$E$10+1,1))-AVERAGE(OFFSET($H$3,0,0,'Données projet'!$E$10+1,1))</f>
        <v>428.8489304403459</v>
      </c>
      <c r="AO31" s="60">
        <f t="shared" si="36"/>
        <v>247.01165577562966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280</v>
      </c>
      <c r="BB31" s="13">
        <f>VLOOKUP(A31,'Données projet'!$A$87:$I$107,9,0)</f>
        <v>19</v>
      </c>
      <c r="BC31" s="13">
        <f t="array" ref="BC31">INDEX(BB:BB,MIN(IF(ISNUMBER(BB31:BB227),ROW(BB31:BB227),"")))</f>
        <v>19</v>
      </c>
      <c r="BD31" s="13">
        <f>IF('Données projet'!$A$88&gt;35,BD30+BC31-BL30,IF(A31&lt;'Données projet'!$A$88,$BA$205^A31,IF(A31='Données projet'!$A$88,'Données projet'!$B$88,BD30+BC31-BL30)))</f>
        <v>280</v>
      </c>
      <c r="BE31" s="14">
        <f>BD31*VLOOKUP('Données projet'!$B$11,Paramètres!$A$1:$I$89,3,0)*VLOOKUP('Données projet'!$B$11,Paramètres!$A$1:$I$89,5,0)</f>
        <v>156.51999999999998</v>
      </c>
      <c r="BF31" s="14">
        <f t="shared" si="37"/>
        <v>40.056589961286939</v>
      </c>
      <c r="BG31" s="22">
        <f t="shared" si="7"/>
        <v>342.37089418257466</v>
      </c>
      <c r="BH31" s="60">
        <f t="shared" si="8"/>
        <v>633.25978307146352</v>
      </c>
      <c r="BI31" s="60">
        <f ca="1">AVERAGE(OFFSET($BH$3,0,0,'Données projet'!$E$11+1,1))-AVERAGE(OFFSET($H$3,0,0,'Données projet'!$E$11+1,1))</f>
        <v>374.79806286316051</v>
      </c>
      <c r="BJ31" s="60">
        <f t="shared" si="38"/>
        <v>350.01856672839466</v>
      </c>
      <c r="BK31" s="16">
        <f>IF(ISNA(VLOOKUP(A31,'Données projet'!$A$87:$I$107,3,0)),0,VLOOKUP(A31,'Données projet'!$A$87:$I$107,3,0))</f>
        <v>2</v>
      </c>
      <c r="BL31" s="16">
        <f>IF(ISNA(VLOOKUP(A31,'Données projet'!$A$87:$I$107,4,0)),0,VLOOKUP(A31,'Données projet'!$A$87:$I$107,4,0))</f>
        <v>64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0.27500000000000002</v>
      </c>
      <c r="BO31" s="17">
        <f>IF(ISNA(VLOOKUP(A31,'Données projet'!$A$87:$I$107,7,0)),0%,VLOOKUP(A31,'Données projet'!$A$87:$I$107,7,0))</f>
        <v>0.5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23.539181089865295</v>
      </c>
      <c r="BR31" s="23">
        <f>EXP(-LN(2)/2)*BR30+(1-EXP(-LN(2)/2))/(LN(2)/2)*BL31*BO31*VLOOKUP('Données projet'!$B$11,Paramètres!$A$1:$I$89,3,0)*0.475*44/12</f>
        <v>22.015562083370504</v>
      </c>
      <c r="BS31" s="24">
        <f t="shared" si="9"/>
        <v>45.554743173235799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82.336799999999997</v>
      </c>
      <c r="CA31" s="14">
        <f t="shared" si="39"/>
        <v>22.707582950885364</v>
      </c>
      <c r="CB31" s="22">
        <f t="shared" si="10"/>
        <v>182.95230030612535</v>
      </c>
      <c r="CC31" s="60">
        <f t="shared" si="11"/>
        <v>473.84118919501418</v>
      </c>
      <c r="CD31" s="60">
        <f ca="1">AVERAGE(OFFSET($CC$3,0,0,'Données projet'!$E$12+1,1))-AVERAGE(OFFSET($H$3,0,0,'Données projet'!$E$12+1,1))</f>
        <v>428.8489304403459</v>
      </c>
      <c r="CE31" s="60">
        <f t="shared" si="40"/>
        <v>247.01165577562966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6.2820512820512819</v>
      </c>
      <c r="CT31" s="13">
        <f>IF('Données projet'!$A$140&gt;35,CT30+CS31-DB30,IF(A31&lt;'Données projet'!$A$140,$CQ$205^A31,IF(A31='Données projet'!$A$140,'Données projet'!$B$140,CT30+CS31-DB30)))</f>
        <v>86.153846153846189</v>
      </c>
      <c r="CU31" s="18">
        <f>CT31*VLOOKUP('Données projet'!$B$13,Paramètres!$A$1:$I$89,3,0)*VLOOKUP('Données projet'!$B$13,Paramètres!$A$1:$I$89,5,0)</f>
        <v>81.984000000000037</v>
      </c>
      <c r="CV31" s="14">
        <f t="shared" si="41"/>
        <v>22.621588649697724</v>
      </c>
      <c r="CW31" s="22">
        <f t="shared" si="13"/>
        <v>182.18806689822361</v>
      </c>
      <c r="CX31" s="60">
        <f t="shared" si="14"/>
        <v>473.07695578711247</v>
      </c>
      <c r="CY31" s="60">
        <f ca="1">AVERAGE(OFFSET($CX$3,0,0,'Données projet'!$E$13+1,1))-AVERAGE(OFFSET($H$3,0,0,'Données projet'!$E$13+1,1))</f>
        <v>354.63118425028898</v>
      </c>
      <c r="CZ31" s="60">
        <f t="shared" si="42"/>
        <v>244.7141066773861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88.015200000000007</v>
      </c>
      <c r="DQ31" s="14">
        <f t="shared" si="43"/>
        <v>24.085919530575829</v>
      </c>
      <c r="DR31" s="22">
        <f t="shared" si="16"/>
        <v>195.24278318241954</v>
      </c>
      <c r="DS31" s="60">
        <f t="shared" si="17"/>
        <v>486.1316720713084</v>
      </c>
      <c r="DT31" s="60">
        <f ca="1">AVERAGE(OFFSET($DS$3,0,0,'Données projet'!$E$14+1,1))-AVERAGE(OFFSET($H$3,0,0,'Données projet'!$E$14+1,1))</f>
        <v>455.50822833641354</v>
      </c>
      <c r="DU31" s="60">
        <f t="shared" si="44"/>
        <v>261.14722581688039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15.74200000000001</v>
      </c>
      <c r="EJ31" s="13">
        <f>IF('Données projet'!$A$192&gt;35,EJ30+EI31-ER30,IF(A31&lt;'Données projet'!$A$192,$EG$205^A31,IF(A31='Données projet'!$A$192,'Données projet'!$B$192,EJ30+EI31-ER30)))</f>
        <v>179.58799999999997</v>
      </c>
      <c r="EK31" s="18">
        <f>EJ31*VLOOKUP('Données projet'!$B$15,Paramètres!$A$1:$I$89,3,0)*VLOOKUP('Données projet'!$B$15,Paramètres!$A$1:$I$89,5,0)</f>
        <v>107.39362399999997</v>
      </c>
      <c r="EL31" s="14">
        <f t="shared" si="45"/>
        <v>28.716047670284119</v>
      </c>
      <c r="EM31" s="22">
        <f t="shared" si="19"/>
        <v>237.05767815907811</v>
      </c>
      <c r="EN31" s="60">
        <f t="shared" si="20"/>
        <v>527.94656704796694</v>
      </c>
      <c r="EO31" s="60">
        <f ca="1">AVERAGE(OFFSET($EN$3,0,0,'Données projet'!$E$15+1,1))-AVERAGE(OFFSET($H$3,0,0,'Données projet'!$E$15+1,1))</f>
        <v>207.03241199974599</v>
      </c>
      <c r="EP31" s="60">
        <f t="shared" si="46"/>
        <v>314.188568589113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14.046426714295235</v>
      </c>
      <c r="EW31" s="23">
        <f>EXP(-LN(2)/25)*EW30+(1-EXP(-LN(2)/25))/(LN(2)/25)*Calculateur!ER31*Calculateur!ET31*VLOOKUP('Données projet'!$B$15,Paramètres!$A$1:$I$89,3,0)*0.475*44/12</f>
        <v>10.30530609334807</v>
      </c>
      <c r="EX31" s="23">
        <f>EXP(-LN(2)/2)*EX30+(1-EXP(-LN(2)/2))/(LN(2)/2)*ER31*EU31*VLOOKUP('Données projet'!$B$15,Paramètres!$A$1:$I$89,3,0)*0.475*44/12</f>
        <v>5.8488553938256151</v>
      </c>
      <c r="EY31" s="24">
        <f t="shared" si="21"/>
        <v>30.200588201468921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 t="e">
        <f>N32*VLOOKUP('Données projet'!$B$9,Paramètres!$A$1:$I$89,3,0)*VLOOKUP('Données projet'!$B$9,Paramètres!$A$1:$I$89,5,0)</f>
        <v>#N/A</v>
      </c>
      <c r="P32" s="14" t="e">
        <f t="shared" si="33"/>
        <v>#N/A</v>
      </c>
      <c r="Q32" s="22" t="e">
        <f t="shared" si="2"/>
        <v>#N/A</v>
      </c>
      <c r="R32" s="60" t="e">
        <f t="shared" si="0"/>
        <v>#N/A</v>
      </c>
      <c r="S32" s="60" t="e">
        <f ca="1">AVERAGE(OFFSET($R$3,0,0,'Données projet'!$E$9+1,1))-AVERAGE(OFFSET($H$3,0,0,'Données projet'!$E$9+1,1))</f>
        <v>#N/A</v>
      </c>
      <c r="T32" s="60" t="e">
        <f t="shared" si="34"/>
        <v>#N/A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 t="e">
        <f>EXP(-LN(2)/35)*Z31+(1-EXP(-LN(2)/35))/(LN(2)/35)*V32*W32*VLOOKUP('Données projet'!$B$9,Paramètres!$A$1:$I$89,3,0)*0.475*44/12</f>
        <v>#N/A</v>
      </c>
      <c r="AA32" s="23" t="e">
        <f>EXP(-LN(2)/25)*AA31+(1-EXP(-LN(2)/25))/(LN(2)/25)*Calculateur!V32*Calculateur!X32*VLOOKUP('Données projet'!$B$9,Paramètres!$A$1:$I$89,3,0)*0.475*44/12</f>
        <v>#N/A</v>
      </c>
      <c r="AB32" s="23" t="e">
        <f>EXP(-LN(2)/2)*AB31+(1-EXP(-LN(2)/2))/(LN(2)/2)*V32*Y32*VLOOKUP('Données projet'!$B$9,Paramètres!$A$1:$I$89,3,0)*0.475*44/12</f>
        <v>#N/A</v>
      </c>
      <c r="AC32" s="24" t="e">
        <f t="shared" si="3"/>
        <v>#N/A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0">
        <f t="shared" si="5"/>
        <v>488.77084588054998</v>
      </c>
      <c r="AN32" s="60">
        <f ca="1">AVERAGE(OFFSET($AM$3,0,0,'Données projet'!$E$10+1,1))-AVERAGE(OFFSET($H$3,0,0,'Données projet'!$E$10+1,1))</f>
        <v>428.8489304403459</v>
      </c>
      <c r="AO32" s="60">
        <f t="shared" si="36"/>
        <v>247.01165577562966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19.857142857142858</v>
      </c>
      <c r="BD32" s="13">
        <f>IF('Données projet'!$A$88&gt;35,BD31+BC32-BL31,IF(A32&lt;'Données projet'!$A$88,$BA$205^A32,IF(A32='Données projet'!$A$88,'Données projet'!$B$88,BD31+BC32-BL31)))</f>
        <v>235.85714285714283</v>
      </c>
      <c r="BE32" s="14">
        <f>BD32*VLOOKUP('Données projet'!$B$11,Paramètres!$A$1:$I$89,3,0)*VLOOKUP('Données projet'!$B$11,Paramètres!$A$1:$I$89,5,0)</f>
        <v>131.84414285714283</v>
      </c>
      <c r="BF32" s="14">
        <f t="shared" si="37"/>
        <v>34.422136630345072</v>
      </c>
      <c r="BG32" s="22">
        <f t="shared" si="7"/>
        <v>289.5804367740414</v>
      </c>
      <c r="BH32" s="60">
        <f t="shared" si="8"/>
        <v>581.69154788515254</v>
      </c>
      <c r="BI32" s="60">
        <f ca="1">AVERAGE(OFFSET($BH$3,0,0,'Données projet'!$E$11+1,1))-AVERAGE(OFFSET($H$3,0,0,'Données projet'!$E$11+1,1))</f>
        <v>374.79806286316051</v>
      </c>
      <c r="BJ32" s="60">
        <f t="shared" si="38"/>
        <v>350.01856672839466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22.895500945091193</v>
      </c>
      <c r="BR32" s="23">
        <f>EXP(-LN(2)/2)*BR31+(1-EXP(-LN(2)/2))/(LN(2)/2)*BL32*BO32*VLOOKUP('Données projet'!$B$11,Paramètres!$A$1:$I$89,3,0)*0.475*44/12</f>
        <v>15.567353240784721</v>
      </c>
      <c r="BS32" s="24">
        <f t="shared" si="9"/>
        <v>38.462854185875912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88.670400000000001</v>
      </c>
      <c r="CA32" s="14">
        <f t="shared" si="39"/>
        <v>24.244280250395512</v>
      </c>
      <c r="CB32" s="22">
        <f t="shared" si="10"/>
        <v>196.65973476943884</v>
      </c>
      <c r="CC32" s="60">
        <f t="shared" si="11"/>
        <v>488.77084588054998</v>
      </c>
      <c r="CD32" s="60">
        <f ca="1">AVERAGE(OFFSET($CC$3,0,0,'Données projet'!$E$12+1,1))-AVERAGE(OFFSET($H$3,0,0,'Données projet'!$E$12+1,1))</f>
        <v>428.8489304403459</v>
      </c>
      <c r="CE32" s="60">
        <f t="shared" si="40"/>
        <v>247.01165577562966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6.2820512820512819</v>
      </c>
      <c r="CT32" s="13">
        <f>IF('Données projet'!$A$140&gt;35,CT31+CS32-DB31,IF(A32&lt;'Données projet'!$A$140,$CQ$205^A32,IF(A32='Données projet'!$A$140,'Données projet'!$B$140,CT31+CS32-DB31)))</f>
        <v>92.435897435897473</v>
      </c>
      <c r="CU32" s="18">
        <f>CT32*VLOOKUP('Données projet'!$B$13,Paramètres!$A$1:$I$89,3,0)*VLOOKUP('Données projet'!$B$13,Paramètres!$A$1:$I$89,5,0)</f>
        <v>87.962000000000032</v>
      </c>
      <c r="CV32" s="14">
        <f t="shared" si="41"/>
        <v>24.073055170979362</v>
      </c>
      <c r="CW32" s="22">
        <f t="shared" si="13"/>
        <v>195.12772108945578</v>
      </c>
      <c r="CX32" s="60">
        <f t="shared" si="14"/>
        <v>487.23883220056689</v>
      </c>
      <c r="CY32" s="60">
        <f ca="1">AVERAGE(OFFSET($CX$3,0,0,'Données projet'!$E$13+1,1))-AVERAGE(OFFSET($H$3,0,0,'Données projet'!$E$13+1,1))</f>
        <v>354.63118425028898</v>
      </c>
      <c r="CZ32" s="60">
        <f t="shared" si="42"/>
        <v>244.7141066773861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94.785600000000002</v>
      </c>
      <c r="DQ32" s="14">
        <f t="shared" si="43"/>
        <v>25.715893428674526</v>
      </c>
      <c r="DR32" s="22">
        <f t="shared" si="16"/>
        <v>209.87343438827483</v>
      </c>
      <c r="DS32" s="60">
        <f t="shared" si="17"/>
        <v>501.98454549938594</v>
      </c>
      <c r="DT32" s="60">
        <f ca="1">AVERAGE(OFFSET($DS$3,0,0,'Données projet'!$E$14+1,1))-AVERAGE(OFFSET($H$3,0,0,'Données projet'!$E$14+1,1))</f>
        <v>455.50822833641354</v>
      </c>
      <c r="DU32" s="60">
        <f t="shared" si="44"/>
        <v>261.14722581688039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15.74200000000001</v>
      </c>
      <c r="EJ32" s="13">
        <f>IF('Données projet'!$A$192&gt;35,EJ31+EI32-ER31,IF(A32&lt;'Données projet'!$A$192,$EG$205^A32,IF(A32='Données projet'!$A$192,'Données projet'!$B$192,EJ31+EI32-ER31)))</f>
        <v>195.32999999999998</v>
      </c>
      <c r="EK32" s="18">
        <f>EJ32*VLOOKUP('Données projet'!$B$15,Paramètres!$A$1:$I$89,3,0)*VLOOKUP('Données projet'!$B$15,Paramètres!$A$1:$I$89,5,0)</f>
        <v>116.80734</v>
      </c>
      <c r="EL32" s="14">
        <f t="shared" si="45"/>
        <v>30.929199175797681</v>
      </c>
      <c r="EM32" s="22">
        <f t="shared" si="19"/>
        <v>257.30780573118091</v>
      </c>
      <c r="EN32" s="60">
        <f t="shared" si="20"/>
        <v>549.41891684229199</v>
      </c>
      <c r="EO32" s="60">
        <f ca="1">AVERAGE(OFFSET($EN$3,0,0,'Données projet'!$E$15+1,1))-AVERAGE(OFFSET($H$3,0,0,'Données projet'!$E$15+1,1))</f>
        <v>207.03241199974599</v>
      </c>
      <c r="EP32" s="60">
        <f t="shared" si="46"/>
        <v>314.188568589113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13.770984853902233</v>
      </c>
      <c r="EW32" s="23">
        <f>EXP(-LN(2)/25)*EW31+(1-EXP(-LN(2)/25))/(LN(2)/25)*Calculateur!ER32*Calculateur!ET32*VLOOKUP('Données projet'!$B$15,Paramètres!$A$1:$I$89,3,0)*0.475*44/12</f>
        <v>10.023506956292973</v>
      </c>
      <c r="EX32" s="23">
        <f>EXP(-LN(2)/2)*EX31+(1-EXP(-LN(2)/2))/(LN(2)/2)*ER32*EU32*VLOOKUP('Données projet'!$B$15,Paramètres!$A$1:$I$89,3,0)*0.475*44/12</f>
        <v>4.1357653111536079</v>
      </c>
      <c r="EY32" s="24">
        <f t="shared" si="21"/>
        <v>27.930257121348813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 t="e">
        <f>N33*VLOOKUP('Données projet'!$B$9,Paramètres!$A$1:$I$89,3,0)*VLOOKUP('Données projet'!$B$9,Paramètres!$A$1:$I$89,5,0)</f>
        <v>#N/A</v>
      </c>
      <c r="P33" s="14" t="e">
        <f t="shared" si="33"/>
        <v>#N/A</v>
      </c>
      <c r="Q33" s="22" t="e">
        <f t="shared" si="2"/>
        <v>#N/A</v>
      </c>
      <c r="R33" s="60" t="e">
        <f t="shared" si="0"/>
        <v>#N/A</v>
      </c>
      <c r="S33" s="60" t="e">
        <f ca="1">AVERAGE(OFFSET($R$3,0,0,'Données projet'!$E$9+1,1))-AVERAGE(OFFSET($H$3,0,0,'Données projet'!$E$9+1,1))</f>
        <v>#N/A</v>
      </c>
      <c r="T33" s="60" t="e">
        <f t="shared" si="34"/>
        <v>#N/A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 t="e">
        <f>EXP(-LN(2)/35)*Z32+(1-EXP(-LN(2)/35))/(LN(2)/35)*V33*W33*VLOOKUP('Données projet'!$B$9,Paramètres!$A$1:$I$89,3,0)*0.475*44/12</f>
        <v>#N/A</v>
      </c>
      <c r="AA33" s="23" t="e">
        <f>EXP(-LN(2)/25)*AA32+(1-EXP(-LN(2)/25))/(LN(2)/25)*Calculateur!V33*Calculateur!X33*VLOOKUP('Données projet'!$B$9,Paramètres!$A$1:$I$89,3,0)*0.475*44/12</f>
        <v>#N/A</v>
      </c>
      <c r="AB33" s="23" t="e">
        <f>EXP(-LN(2)/2)*AB32+(1-EXP(-LN(2)/2))/(LN(2)/2)*V33*Y33*VLOOKUP('Données projet'!$B$9,Paramètres!$A$1:$I$89,3,0)*0.475*44/12</f>
        <v>#N/A</v>
      </c>
      <c r="AC33" s="24" t="e">
        <f t="shared" si="3"/>
        <v>#N/A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0">
        <f t="shared" si="5"/>
        <v>503.67832244229635</v>
      </c>
      <c r="AN33" s="60">
        <f ca="1">AVERAGE(OFFSET($AM$3,0,0,'Données projet'!$E$10+1,1))-AVERAGE(OFFSET($H$3,0,0,'Données projet'!$E$10+1,1))</f>
        <v>428.8489304403459</v>
      </c>
      <c r="AO33" s="60">
        <f t="shared" si="36"/>
        <v>247.01165577562966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19.857142857142858</v>
      </c>
      <c r="BD33" s="13">
        <f>IF('Données projet'!$A$88&gt;35,BD32+BC33-BL32,IF(A33&lt;'Données projet'!$A$88,$BA$205^A33,IF(A33='Données projet'!$A$88,'Données projet'!$B$88,BD32+BC33-BL32)))</f>
        <v>255.71428571428569</v>
      </c>
      <c r="BE33" s="14">
        <f>BD33*VLOOKUP('Données projet'!$B$11,Paramètres!$A$1:$I$89,3,0)*VLOOKUP('Données projet'!$B$11,Paramètres!$A$1:$I$89,5,0)</f>
        <v>142.94428571428571</v>
      </c>
      <c r="BF33" s="14">
        <f t="shared" si="37"/>
        <v>36.970680828333286</v>
      </c>
      <c r="BG33" s="22">
        <f t="shared" si="7"/>
        <v>313.35190006172803</v>
      </c>
      <c r="BH33" s="60">
        <f t="shared" si="8"/>
        <v>606.68523339506135</v>
      </c>
      <c r="BI33" s="60">
        <f ca="1">AVERAGE(OFFSET($BH$3,0,0,'Données projet'!$E$11+1,1))-AVERAGE(OFFSET($H$3,0,0,'Données projet'!$E$11+1,1))</f>
        <v>374.79806286316051</v>
      </c>
      <c r="BJ33" s="60">
        <f t="shared" si="38"/>
        <v>350.01856672839466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22.269422267725609</v>
      </c>
      <c r="BR33" s="23">
        <f>EXP(-LN(2)/2)*BR32+(1-EXP(-LN(2)/2))/(LN(2)/2)*BL33*BO33*VLOOKUP('Données projet'!$B$11,Paramètres!$A$1:$I$89,3,0)*0.475*44/12</f>
        <v>11.007781041685254</v>
      </c>
      <c r="BS33" s="24">
        <f t="shared" si="9"/>
        <v>33.277203309410865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95.004000000000005</v>
      </c>
      <c r="CA33" s="14">
        <f t="shared" si="39"/>
        <v>25.768242550600785</v>
      </c>
      <c r="CB33" s="22">
        <f t="shared" si="10"/>
        <v>210.34498910896306</v>
      </c>
      <c r="CC33" s="60">
        <f t="shared" si="11"/>
        <v>503.67832244229635</v>
      </c>
      <c r="CD33" s="60">
        <f ca="1">AVERAGE(OFFSET($CC$3,0,0,'Données projet'!$E$12+1,1))-AVERAGE(OFFSET($H$3,0,0,'Données projet'!$E$12+1,1))</f>
        <v>428.8489304403459</v>
      </c>
      <c r="CE33" s="60">
        <f t="shared" si="40"/>
        <v>247.01165577562966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98.717948717948715</v>
      </c>
      <c r="CR33" s="13">
        <f>VLOOKUP(A33,'Données projet'!$A$139:$I$159,9,0)</f>
        <v>6.2820512820512819</v>
      </c>
      <c r="CS33" s="13">
        <f t="array" ref="CS33">INDEX(CR:CR,MIN(IF(ISNUMBER(CR33:CR229),ROW(CR33:CR229),"")))</f>
        <v>6.2820512820512819</v>
      </c>
      <c r="CT33" s="13">
        <f>IF('Données projet'!$A$140&gt;35,CT32+CS33-DB32,IF(A33&lt;'Données projet'!$A$140,$CQ$205^A33,IF(A33='Données projet'!$A$140,'Données projet'!$B$140,CT32+CS33-DB32)))</f>
        <v>98.717948717948758</v>
      </c>
      <c r="CU33" s="18">
        <f>CT33*VLOOKUP('Données projet'!$B$13,Paramètres!$A$1:$I$89,3,0)*VLOOKUP('Données projet'!$B$13,Paramètres!$A$1:$I$89,5,0)</f>
        <v>93.94000000000004</v>
      </c>
      <c r="CV33" s="14">
        <f t="shared" si="41"/>
        <v>25.513075604240793</v>
      </c>
      <c r="CW33" s="22">
        <f t="shared" si="13"/>
        <v>208.04744001071947</v>
      </c>
      <c r="CX33" s="60">
        <f t="shared" si="14"/>
        <v>501.38077334405278</v>
      </c>
      <c r="CY33" s="60">
        <f ca="1">AVERAGE(OFFSET($CX$3,0,0,'Données projet'!$E$13+1,1))-AVERAGE(OFFSET($H$3,0,0,'Données projet'!$E$13+1,1))</f>
        <v>354.63118425028898</v>
      </c>
      <c r="CZ33" s="60">
        <f t="shared" si="42"/>
        <v>244.7141066773861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101.556</v>
      </c>
      <c r="DQ33" s="14">
        <f t="shared" si="43"/>
        <v>27.332359320696909</v>
      </c>
      <c r="DR33" s="22">
        <f t="shared" si="16"/>
        <v>224.48055915021379</v>
      </c>
      <c r="DS33" s="60">
        <f t="shared" si="17"/>
        <v>517.81389248354708</v>
      </c>
      <c r="DT33" s="60">
        <f ca="1">AVERAGE(OFFSET($DS$3,0,0,'Données projet'!$E$14+1,1))-AVERAGE(OFFSET($H$3,0,0,'Données projet'!$E$14+1,1))</f>
        <v>455.50822833641354</v>
      </c>
      <c r="DU33" s="60">
        <f t="shared" si="44"/>
        <v>261.14722581688039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211.072</v>
      </c>
      <c r="EH33" s="13">
        <f>VLOOKUP(A33,'Données projet'!$A$191:$I$211,9,0)</f>
        <v>15.74200000000001</v>
      </c>
      <c r="EI33" s="13">
        <f t="array" ref="EI33">INDEX(EH:EH,MIN(IF(ISNUMBER(EH33:EH229),ROW(EH33:EH229),"")))</f>
        <v>15.74200000000001</v>
      </c>
      <c r="EJ33" s="13">
        <f>IF('Données projet'!$A$192&gt;35,EJ32+EI33-ER32,IF(A33&lt;'Données projet'!$A$192,$EG$205^A33,IF(A33='Données projet'!$A$192,'Données projet'!$B$192,EJ32+EI33-ER32)))</f>
        <v>211.072</v>
      </c>
      <c r="EK33" s="18">
        <f>EJ33*VLOOKUP('Données projet'!$B$15,Paramètres!$A$1:$I$89,3,0)*VLOOKUP('Données projet'!$B$15,Paramètres!$A$1:$I$89,5,0)</f>
        <v>126.221056</v>
      </c>
      <c r="EL33" s="14">
        <f t="shared" si="45"/>
        <v>33.121662807146215</v>
      </c>
      <c r="EM33" s="22">
        <f t="shared" si="19"/>
        <v>277.52190192244632</v>
      </c>
      <c r="EN33" s="60">
        <f t="shared" si="20"/>
        <v>570.85523525577969</v>
      </c>
      <c r="EO33" s="60">
        <f ca="1">AVERAGE(OFFSET($EN$3,0,0,'Données projet'!$E$15+1,1))-AVERAGE(OFFSET($H$3,0,0,'Données projet'!$E$15+1,1))</f>
        <v>207.03241199974599</v>
      </c>
      <c r="EP33" s="60">
        <f t="shared" si="46"/>
        <v>314.188568589113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13.500944240388591</v>
      </c>
      <c r="EW33" s="23">
        <f>EXP(-LN(2)/25)*EW32+(1-EXP(-LN(2)/25))/(LN(2)/25)*Calculateur!ER33*Calculateur!ET33*VLOOKUP('Données projet'!$B$15,Paramètres!$A$1:$I$89,3,0)*0.475*44/12</f>
        <v>9.7494136314598201</v>
      </c>
      <c r="EX33" s="23">
        <f>EXP(-LN(2)/2)*EX32+(1-EXP(-LN(2)/2))/(LN(2)/2)*ER33*EU33*VLOOKUP('Données projet'!$B$15,Paramètres!$A$1:$I$89,3,0)*0.475*44/12</f>
        <v>2.924427696912808</v>
      </c>
      <c r="EY33" s="24">
        <f t="shared" si="21"/>
        <v>26.174785568761219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 t="e">
        <f>N34*VLOOKUP('Données projet'!$B$9,Paramètres!$A$1:$I$89,3,0)*VLOOKUP('Données projet'!$B$9,Paramètres!$A$1:$I$89,5,0)</f>
        <v>#N/A</v>
      </c>
      <c r="P34" s="14" t="e">
        <f t="shared" si="33"/>
        <v>#N/A</v>
      </c>
      <c r="Q34" s="22" t="e">
        <f t="shared" si="2"/>
        <v>#N/A</v>
      </c>
      <c r="R34" s="60" t="e">
        <f t="shared" si="0"/>
        <v>#N/A</v>
      </c>
      <c r="S34" s="60" t="e">
        <f ca="1">AVERAGE(OFFSET($R$3,0,0,'Données projet'!$E$9+1,1))-AVERAGE(OFFSET($H$3,0,0,'Données projet'!$E$9+1,1))</f>
        <v>#N/A</v>
      </c>
      <c r="T34" s="60" t="e">
        <f t="shared" si="34"/>
        <v>#N/A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 t="e">
        <f>EXP(-LN(2)/35)*Z33+(1-EXP(-LN(2)/35))/(LN(2)/35)*V34*W34*VLOOKUP('Données projet'!$B$9,Paramètres!$A$1:$I$89,3,0)*0.475*44/12</f>
        <v>#N/A</v>
      </c>
      <c r="AA34" s="23" t="e">
        <f>EXP(-LN(2)/25)*AA33+(1-EXP(-LN(2)/25))/(LN(2)/25)*Calculateur!V34*Calculateur!X34*VLOOKUP('Données projet'!$B$9,Paramètres!$A$1:$I$89,3,0)*0.475*44/12</f>
        <v>#N/A</v>
      </c>
      <c r="AB34" s="23" t="e">
        <f>EXP(-LN(2)/2)*AB33+(1-EXP(-LN(2)/2))/(LN(2)/2)*V34*Y34*VLOOKUP('Données projet'!$B$9,Paramètres!$A$1:$I$89,3,0)*0.475*44/12</f>
        <v>#N/A</v>
      </c>
      <c r="AC34" s="24" t="e">
        <f t="shared" si="3"/>
        <v>#N/A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0">
        <f t="shared" si="5"/>
        <v>462.55410206940076</v>
      </c>
      <c r="AN34" s="60">
        <f ca="1">AVERAGE(OFFSET($AM$3,0,0,'Données projet'!$E$10+1,1))-AVERAGE(OFFSET($H$3,0,0,'Données projet'!$E$10+1,1))</f>
        <v>428.8489304403459</v>
      </c>
      <c r="AO34" s="60">
        <f t="shared" si="36"/>
        <v>247.01165577562966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19.857142857142858</v>
      </c>
      <c r="BD34" s="13">
        <f>IF('Données projet'!$A$88&gt;35,BD33+BC34-BL33,IF(A34&lt;'Données projet'!$A$88,$BA$205^A34,IF(A34='Données projet'!$A$88,'Données projet'!$B$88,BD33+BC34-BL33)))</f>
        <v>275.57142857142856</v>
      </c>
      <c r="BE34" s="14">
        <f>BD34*VLOOKUP('Données projet'!$B$11,Paramètres!$A$1:$I$89,3,0)*VLOOKUP('Données projet'!$B$11,Paramètres!$A$1:$I$89,5,0)</f>
        <v>154.04442857142857</v>
      </c>
      <c r="BF34" s="14">
        <f t="shared" si="37"/>
        <v>39.496268491280283</v>
      </c>
      <c r="BG34" s="22">
        <f t="shared" si="7"/>
        <v>337.08338071755128</v>
      </c>
      <c r="BH34" s="60">
        <f t="shared" si="8"/>
        <v>630.41671405088459</v>
      </c>
      <c r="BI34" s="60">
        <f ca="1">AVERAGE(OFFSET($BH$3,0,0,'Données projet'!$E$11+1,1))-AVERAGE(OFFSET($H$3,0,0,'Données projet'!$E$11+1,1))</f>
        <v>374.79806286316051</v>
      </c>
      <c r="BJ34" s="60">
        <f t="shared" si="38"/>
        <v>350.01856672839466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21.660463744716633</v>
      </c>
      <c r="BR34" s="23">
        <f>EXP(-LN(2)/2)*BR33+(1-EXP(-LN(2)/2))/(LN(2)/2)*BL34*BO34*VLOOKUP('Données projet'!$B$11,Paramètres!$A$1:$I$89,3,0)*0.475*44/12</f>
        <v>7.7836766203923613</v>
      </c>
      <c r="BS34" s="24">
        <f t="shared" si="9"/>
        <v>29.444140365108993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0">
        <f t="shared" si="11"/>
        <v>462.55410206940076</v>
      </c>
      <c r="CD34" s="60">
        <f ca="1">AVERAGE(OFFSET($CC$3,0,0,'Données projet'!$E$12+1,1))-AVERAGE(OFFSET($H$3,0,0,'Données projet'!$E$12+1,1))</f>
        <v>428.8489304403459</v>
      </c>
      <c r="CE34" s="60">
        <f t="shared" si="40"/>
        <v>247.01165577562966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6.1538461538461515</v>
      </c>
      <c r="CT34" s="13">
        <f>IF('Données projet'!$A$140&gt;35,CT33+CS34-DB33,IF(A34&lt;'Données projet'!$A$140,$CQ$205^A34,IF(A34='Données projet'!$A$140,'Données projet'!$B$140,CT33+CS34-DB33)))</f>
        <v>104.8717948717949</v>
      </c>
      <c r="CU34" s="18">
        <f>CT34*VLOOKUP('Données projet'!$B$13,Paramètres!$A$1:$I$89,3,0)*VLOOKUP('Données projet'!$B$13,Paramètres!$A$1:$I$89,5,0)</f>
        <v>99.796000000000035</v>
      </c>
      <c r="CV34" s="14">
        <f t="shared" si="41"/>
        <v>26.913391586854008</v>
      </c>
      <c r="CW34" s="22">
        <f t="shared" si="13"/>
        <v>220.68552368043743</v>
      </c>
      <c r="CX34" s="60">
        <f t="shared" si="14"/>
        <v>514.01885701377068</v>
      </c>
      <c r="CY34" s="60">
        <f ca="1">AVERAGE(OFFSET($CX$3,0,0,'Données projet'!$E$13+1,1))-AVERAGE(OFFSET($H$3,0,0,'Données projet'!$E$13+1,1))</f>
        <v>354.63118425028898</v>
      </c>
      <c r="CZ34" s="60">
        <f t="shared" si="42"/>
        <v>244.7141066773861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81.244799999999998</v>
      </c>
      <c r="DQ34" s="14">
        <f t="shared" si="43"/>
        <v>22.441270156928962</v>
      </c>
      <c r="DR34" s="22">
        <f t="shared" si="16"/>
        <v>180.58657218998462</v>
      </c>
      <c r="DS34" s="60">
        <f t="shared" si="17"/>
        <v>473.91990552331794</v>
      </c>
      <c r="DT34" s="60">
        <f ca="1">AVERAGE(OFFSET($DS$3,0,0,'Données projet'!$E$14+1,1))-AVERAGE(OFFSET($H$3,0,0,'Données projet'!$E$14+1,1))</f>
        <v>455.50822833641354</v>
      </c>
      <c r="DU34" s="60">
        <f t="shared" si="44"/>
        <v>261.14722581688039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16.145750000000007</v>
      </c>
      <c r="EJ34" s="13">
        <f>IF('Données projet'!$A$192&gt;35,EJ33+EI34-ER33,IF(A34&lt;'Données projet'!$A$192,$EG$205^A34,IF(A34='Données projet'!$A$192,'Données projet'!$B$192,EJ33+EI34-ER33)))</f>
        <v>227.21775000000002</v>
      </c>
      <c r="EK34" s="18">
        <f>EJ34*VLOOKUP('Données projet'!$B$15,Paramètres!$A$1:$I$89,3,0)*VLOOKUP('Données projet'!$B$15,Paramètres!$A$1:$I$89,5,0)</f>
        <v>135.87621450000003</v>
      </c>
      <c r="EL34" s="14">
        <f t="shared" si="45"/>
        <v>35.350666593853582</v>
      </c>
      <c r="EM34" s="22">
        <f t="shared" si="19"/>
        <v>298.22015123846171</v>
      </c>
      <c r="EN34" s="60">
        <f t="shared" si="20"/>
        <v>591.55348457179502</v>
      </c>
      <c r="EO34" s="60">
        <f ca="1">AVERAGE(OFFSET($EN$3,0,0,'Données projet'!$E$15+1,1))-AVERAGE(OFFSET($H$3,0,0,'Données projet'!$E$15+1,1))</f>
        <v>207.03241199974599</v>
      </c>
      <c r="EP34" s="60">
        <f t="shared" si="46"/>
        <v>314.188568589113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13.236198958597443</v>
      </c>
      <c r="EW34" s="23">
        <f>EXP(-LN(2)/25)*EW33+(1-EXP(-LN(2)/25))/(LN(2)/25)*Calculateur!ER34*Calculateur!ET34*VLOOKUP('Données projet'!$B$15,Paramètres!$A$1:$I$89,3,0)*0.475*44/12</f>
        <v>9.4828154030081713</v>
      </c>
      <c r="EX34" s="23">
        <f>EXP(-LN(2)/2)*EX33+(1-EXP(-LN(2)/2))/(LN(2)/2)*ER34*EU34*VLOOKUP('Données projet'!$B$15,Paramètres!$A$1:$I$89,3,0)*0.475*44/12</f>
        <v>2.0678826555768044</v>
      </c>
      <c r="EY34" s="24">
        <f t="shared" si="21"/>
        <v>24.786897017182419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 t="e">
        <f>N35*VLOOKUP('Données projet'!$B$9,Paramètres!$A$1:$I$89,3,0)*VLOOKUP('Données projet'!$B$9,Paramètres!$A$1:$I$89,5,0)</f>
        <v>#N/A</v>
      </c>
      <c r="P35" s="14" t="e">
        <f t="shared" si="33"/>
        <v>#N/A</v>
      </c>
      <c r="Q35" s="22" t="e">
        <f t="shared" ref="Q35:Q66" si="53">(O35+P35)*0.475*44/12</f>
        <v>#N/A</v>
      </c>
      <c r="R35" s="60" t="e">
        <f t="shared" si="0"/>
        <v>#N/A</v>
      </c>
      <c r="S35" s="60" t="e">
        <f ca="1">AVERAGE(OFFSET($R$3,0,0,'Données projet'!$E$9+1,1))-AVERAGE(OFFSET($H$3,0,0,'Données projet'!$E$9+1,1))</f>
        <v>#N/A</v>
      </c>
      <c r="T35" s="60" t="e">
        <f t="shared" si="34"/>
        <v>#N/A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 t="e">
        <f>EXP(-LN(2)/35)*Z34+(1-EXP(-LN(2)/35))/(LN(2)/35)*V35*W35*VLOOKUP('Données projet'!$B$9,Paramètres!$A$1:$I$89,3,0)*0.475*44/12</f>
        <v>#N/A</v>
      </c>
      <c r="AA35" s="23" t="e">
        <f>EXP(-LN(2)/25)*AA34+(1-EXP(-LN(2)/25))/(LN(2)/25)*Calculateur!V35*Calculateur!X35*VLOOKUP('Données projet'!$B$9,Paramètres!$A$1:$I$89,3,0)*0.475*44/12</f>
        <v>#N/A</v>
      </c>
      <c r="AB35" s="23" t="e">
        <f>EXP(-LN(2)/2)*AB34+(1-EXP(-LN(2)/2))/(LN(2)/2)*V35*Y35*VLOOKUP('Données projet'!$B$9,Paramètres!$A$1:$I$89,3,0)*0.475*44/12</f>
        <v>#N/A</v>
      </c>
      <c r="AC35" s="24" t="e">
        <f t="shared" si="3"/>
        <v>#N/A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0">
        <f t="shared" si="5"/>
        <v>478.24526587136597</v>
      </c>
      <c r="AN35" s="60">
        <f ca="1">AVERAGE(OFFSET($AM$3,0,0,'Données projet'!$E$10+1,1))-AVERAGE(OFFSET($H$3,0,0,'Données projet'!$E$10+1,1))</f>
        <v>428.8489304403459</v>
      </c>
      <c r="AO35" s="60">
        <f t="shared" si="36"/>
        <v>247.01165577562966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19.857142857142858</v>
      </c>
      <c r="BD35" s="13">
        <f>IF('Données projet'!$A$88&gt;35,BD34+BC35-BL34,IF(A35&lt;'Données projet'!$A$88,$BA$205^A35,IF(A35='Données projet'!$A$88,'Données projet'!$B$88,BD34+BC35-BL34)))</f>
        <v>295.42857142857139</v>
      </c>
      <c r="BE35" s="14">
        <f>BD35*VLOOKUP('Données projet'!$B$11,Paramètres!$A$1:$I$89,3,0)*VLOOKUP('Données projet'!$B$11,Paramètres!$A$1:$I$89,5,0)</f>
        <v>165.14457142857142</v>
      </c>
      <c r="BF35" s="14">
        <f t="shared" si="37"/>
        <v>42.000741952671746</v>
      </c>
      <c r="BG35" s="22">
        <f t="shared" si="7"/>
        <v>360.77808747233183</v>
      </c>
      <c r="BH35" s="60">
        <f t="shared" si="8"/>
        <v>654.11142080566515</v>
      </c>
      <c r="BI35" s="60">
        <f ca="1">AVERAGE(OFFSET($BH$3,0,0,'Données projet'!$E$11+1,1))-AVERAGE(OFFSET($H$3,0,0,'Données projet'!$E$11+1,1))</f>
        <v>374.79806286316051</v>
      </c>
      <c r="BJ35" s="60">
        <f t="shared" si="38"/>
        <v>350.01856672839466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21.068157224543075</v>
      </c>
      <c r="BR35" s="23">
        <f>EXP(-LN(2)/2)*BR34+(1-EXP(-LN(2)/2))/(LN(2)/2)*BL35*BO35*VLOOKUP('Données projet'!$B$11,Paramètres!$A$1:$I$89,3,0)*0.475*44/12</f>
        <v>5.5038905208426279</v>
      </c>
      <c r="BS35" s="24">
        <f t="shared" si="9"/>
        <v>26.572047745385703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0">
        <f t="shared" si="11"/>
        <v>478.24526587136597</v>
      </c>
      <c r="CD35" s="60">
        <f ca="1">AVERAGE(OFFSET($CC$3,0,0,'Données projet'!$E$12+1,1))-AVERAGE(OFFSET($H$3,0,0,'Données projet'!$E$12+1,1))</f>
        <v>428.8489304403459</v>
      </c>
      <c r="CE35" s="60">
        <f t="shared" si="40"/>
        <v>247.01165577562966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6.1538461538461515</v>
      </c>
      <c r="CT35" s="13">
        <f>IF('Données projet'!$A$140&gt;35,CT34+CS35-DB34,IF(A35&lt;'Données projet'!$A$140,$CQ$205^A35,IF(A35='Données projet'!$A$140,'Données projet'!$B$140,CT34+CS35-DB34)))</f>
        <v>111.02564102564105</v>
      </c>
      <c r="CU35" s="18">
        <f>CT35*VLOOKUP('Données projet'!$B$13,Paramètres!$A$1:$I$89,3,0)*VLOOKUP('Données projet'!$B$13,Paramètres!$A$1:$I$89,5,0)</f>
        <v>105.65200000000003</v>
      </c>
      <c r="CV35" s="14">
        <f t="shared" si="41"/>
        <v>28.304169779393426</v>
      </c>
      <c r="CW35" s="22">
        <f t="shared" si="13"/>
        <v>233.30699569911027</v>
      </c>
      <c r="CX35" s="60">
        <f t="shared" si="14"/>
        <v>526.64032903244356</v>
      </c>
      <c r="CY35" s="60">
        <f ca="1">AVERAGE(OFFSET($CX$3,0,0,'Données projet'!$E$13+1,1))-AVERAGE(OFFSET($H$3,0,0,'Données projet'!$E$13+1,1))</f>
        <v>354.63118425028898</v>
      </c>
      <c r="CZ35" s="60">
        <f t="shared" si="42"/>
        <v>244.7141066773861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88.982399999999998</v>
      </c>
      <c r="DQ35" s="14">
        <f t="shared" si="43"/>
        <v>24.31964219550628</v>
      </c>
      <c r="DR35" s="22">
        <f t="shared" si="16"/>
        <v>197.3343901571734</v>
      </c>
      <c r="DS35" s="60">
        <f t="shared" si="17"/>
        <v>490.66772349050672</v>
      </c>
      <c r="DT35" s="60">
        <f ca="1">AVERAGE(OFFSET($DS$3,0,0,'Données projet'!$E$14+1,1))-AVERAGE(OFFSET($H$3,0,0,'Données projet'!$E$14+1,1))</f>
        <v>455.50822833641354</v>
      </c>
      <c r="DU35" s="60">
        <f t="shared" si="44"/>
        <v>261.14722581688039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>
        <f>VLOOKUP(A35,'Données projet'!$A$191:$I$211,2,0)</f>
        <v>243.36350000000002</v>
      </c>
      <c r="EH35" s="13">
        <f>VLOOKUP(A35,'Données projet'!$A$191:$I$211,9,0)</f>
        <v>16.145750000000007</v>
      </c>
      <c r="EI35" s="13">
        <f t="array" ref="EI35">INDEX(EH:EH,MIN(IF(ISNUMBER(EH35:EH231),ROW(EH35:EH231),"")))</f>
        <v>16.145750000000007</v>
      </c>
      <c r="EJ35" s="13">
        <f>IF('Données projet'!$A$192&gt;35,EJ34+EI35-ER34,IF(A35&lt;'Données projet'!$A$192,$EG$205^A35,IF(A35='Données projet'!$A$192,'Données projet'!$B$192,EJ34+EI35-ER34)))</f>
        <v>243.36350000000004</v>
      </c>
      <c r="EK35" s="18">
        <f>EJ35*VLOOKUP('Données projet'!$B$15,Paramètres!$A$1:$I$89,3,0)*VLOOKUP('Données projet'!$B$15,Paramètres!$A$1:$I$89,5,0)</f>
        <v>145.53137300000003</v>
      </c>
      <c r="EL35" s="14">
        <f t="shared" si="45"/>
        <v>37.561293545308772</v>
      </c>
      <c r="EM35" s="22">
        <f t="shared" si="19"/>
        <v>318.8863942330795</v>
      </c>
      <c r="EN35" s="60">
        <f t="shared" si="20"/>
        <v>612.21972756641276</v>
      </c>
      <c r="EO35" s="60">
        <f ca="1">AVERAGE(OFFSET($EN$3,0,0,'Données projet'!$E$15+1,1))-AVERAGE(OFFSET($H$3,0,0,'Données projet'!$E$15+1,1))</f>
        <v>207.03241199974599</v>
      </c>
      <c r="EP35" s="60">
        <f t="shared" si="46"/>
        <v>314.188568589113</v>
      </c>
      <c r="EQ35" s="16">
        <f>IF(ISNA(VLOOKUP(A35,'Données projet'!$A$191:$I$211,3,0)),0,VLOOKUP(A35,'Données projet'!$A$191:$I$211,3,0))</f>
        <v>4</v>
      </c>
      <c r="ER35" s="16">
        <f>IF(ISNA(VLOOKUP(A35,'Données projet'!$A$191:$I$211,4,0)),0,VLOOKUP(A35,'Données projet'!$A$191:$I$211,4,0))</f>
        <v>62.73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12.976645170303541</v>
      </c>
      <c r="EW35" s="23">
        <f>EXP(-LN(2)/25)*EW34+(1-EXP(-LN(2)/25))/(LN(2)/25)*Calculateur!ER35*Calculateur!ET35*VLOOKUP('Données projet'!$B$15,Paramètres!$A$1:$I$89,3,0)*0.475*44/12</f>
        <v>9.2235073171333237</v>
      </c>
      <c r="EX35" s="23">
        <f>EXP(-LN(2)/2)*EX34+(1-EXP(-LN(2)/2))/(LN(2)/2)*ER35*EU35*VLOOKUP('Données projet'!$B$15,Paramètres!$A$1:$I$89,3,0)*0.475*44/12</f>
        <v>1.4622138484564045</v>
      </c>
      <c r="EY35" s="24">
        <f t="shared" si="21"/>
        <v>23.662366335893271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 t="e">
        <f>N36*VLOOKUP('Données projet'!$B$9,Paramètres!$A$1:$I$89,3,0)*VLOOKUP('Données projet'!$B$9,Paramètres!$A$1:$I$89,5,0)</f>
        <v>#N/A</v>
      </c>
      <c r="P36" s="14" t="e">
        <f t="shared" si="33"/>
        <v>#N/A</v>
      </c>
      <c r="Q36" s="22" t="e">
        <f t="shared" si="53"/>
        <v>#N/A</v>
      </c>
      <c r="R36" s="60" t="e">
        <f t="shared" si="0"/>
        <v>#N/A</v>
      </c>
      <c r="S36" s="60" t="e">
        <f ca="1">AVERAGE(OFFSET($R$3,0,0,'Données projet'!$E$9+1,1))-AVERAGE(OFFSET($H$3,0,0,'Données projet'!$E$9+1,1))</f>
        <v>#N/A</v>
      </c>
      <c r="T36" s="60" t="e">
        <f t="shared" si="34"/>
        <v>#N/A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 t="e">
        <f>EXP(-LN(2)/35)*Z35+(1-EXP(-LN(2)/35))/(LN(2)/35)*V36*W36*VLOOKUP('Données projet'!$B$9,Paramètres!$A$1:$I$89,3,0)*0.475*44/12</f>
        <v>#N/A</v>
      </c>
      <c r="AA36" s="23" t="e">
        <f>EXP(-LN(2)/25)*AA35+(1-EXP(-LN(2)/25))/(LN(2)/25)*Calculateur!V36*Calculateur!X36*VLOOKUP('Données projet'!$B$9,Paramètres!$A$1:$I$89,3,0)*0.475*44/12</f>
        <v>#N/A</v>
      </c>
      <c r="AB36" s="23" t="e">
        <f>EXP(-LN(2)/2)*AB35+(1-EXP(-LN(2)/2))/(LN(2)/2)*V36*Y36*VLOOKUP('Données projet'!$B$9,Paramètres!$A$1:$I$89,3,0)*0.475*44/12</f>
        <v>#N/A</v>
      </c>
      <c r="AC36" s="24" t="e">
        <f t="shared" si="3"/>
        <v>#N/A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0">
        <f t="shared" si="5"/>
        <v>493.9053274736159</v>
      </c>
      <c r="AN36" s="60">
        <f ca="1">AVERAGE(OFFSET($AM$3,0,0,'Données projet'!$E$10+1,1))-AVERAGE(OFFSET($H$3,0,0,'Données projet'!$E$10+1,1))</f>
        <v>428.8489304403459</v>
      </c>
      <c r="AO36" s="60">
        <f t="shared" si="36"/>
        <v>247.01165577562966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19.857142857142858</v>
      </c>
      <c r="BD36" s="13">
        <f>IF('Données projet'!$A$88&gt;35,BD35+BC36-BL35,IF(A36&lt;'Données projet'!$A$88,$BA$205^A36,IF(A36='Données projet'!$A$88,'Données projet'!$B$88,BD35+BC36-BL35)))</f>
        <v>315.28571428571422</v>
      </c>
      <c r="BE36" s="14">
        <f>BD36*VLOOKUP('Données projet'!$B$11,Paramètres!$A$1:$I$89,3,0)*VLOOKUP('Données projet'!$B$11,Paramètres!$A$1:$I$89,5,0)</f>
        <v>176.24471428571425</v>
      </c>
      <c r="BF36" s="14">
        <f t="shared" si="37"/>
        <v>44.485681868533291</v>
      </c>
      <c r="BG36" s="22">
        <f t="shared" si="7"/>
        <v>384.43877330198114</v>
      </c>
      <c r="BH36" s="60">
        <f t="shared" si="8"/>
        <v>677.77210663531446</v>
      </c>
      <c r="BI36" s="60">
        <f ca="1">AVERAGE(OFFSET($BH$3,0,0,'Données projet'!$E$11+1,1))-AVERAGE(OFFSET($H$3,0,0,'Données projet'!$E$11+1,1))</f>
        <v>374.79806286316051</v>
      </c>
      <c r="BJ36" s="60">
        <f t="shared" si="38"/>
        <v>350.01856672839466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20.492047357311709</v>
      </c>
      <c r="BR36" s="23">
        <f>EXP(-LN(2)/2)*BR35+(1-EXP(-LN(2)/2))/(LN(2)/2)*BL36*BO36*VLOOKUP('Données projet'!$B$11,Paramètres!$A$1:$I$89,3,0)*0.475*44/12</f>
        <v>3.8918383101961815</v>
      </c>
      <c r="BS36" s="24">
        <f t="shared" si="9"/>
        <v>24.38388566750789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0">
        <f t="shared" si="11"/>
        <v>493.9053274736159</v>
      </c>
      <c r="CD36" s="60">
        <f ca="1">AVERAGE(OFFSET($CC$3,0,0,'Données projet'!$E$12+1,1))-AVERAGE(OFFSET($H$3,0,0,'Données projet'!$E$12+1,1))</f>
        <v>428.8489304403459</v>
      </c>
      <c r="CE36" s="60">
        <f t="shared" si="40"/>
        <v>247.01165577562966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6.1538461538461515</v>
      </c>
      <c r="CT36" s="13">
        <f>IF('Données projet'!$A$140&gt;35,CT35+CS36-DB35,IF(A36&lt;'Données projet'!$A$140,$CQ$205^A36,IF(A36='Données projet'!$A$140,'Données projet'!$B$140,CT35+CS36-DB35)))</f>
        <v>117.1794871794872</v>
      </c>
      <c r="CU36" s="18">
        <f>CT36*VLOOKUP('Données projet'!$B$13,Paramètres!$A$1:$I$89,3,0)*VLOOKUP('Données projet'!$B$13,Paramètres!$A$1:$I$89,5,0)</f>
        <v>111.50800000000002</v>
      </c>
      <c r="CV36" s="14">
        <f t="shared" si="41"/>
        <v>29.685999090183582</v>
      </c>
      <c r="CW36" s="22">
        <f t="shared" si="13"/>
        <v>245.9128817487364</v>
      </c>
      <c r="CX36" s="60">
        <f t="shared" si="14"/>
        <v>539.24621508206974</v>
      </c>
      <c r="CY36" s="60">
        <f ca="1">AVERAGE(OFFSET($CX$3,0,0,'Données projet'!$E$13+1,1))-AVERAGE(OFFSET($H$3,0,0,'Données projet'!$E$13+1,1))</f>
        <v>354.63118425028898</v>
      </c>
      <c r="CZ36" s="60">
        <f t="shared" si="42"/>
        <v>244.7141066773861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96.72</v>
      </c>
      <c r="DQ36" s="14">
        <f t="shared" si="43"/>
        <v>26.179072558792139</v>
      </c>
      <c r="DR36" s="22">
        <f t="shared" si="16"/>
        <v>214.04921803989632</v>
      </c>
      <c r="DS36" s="60">
        <f t="shared" si="17"/>
        <v>507.3825513732296</v>
      </c>
      <c r="DT36" s="60">
        <f ca="1">AVERAGE(OFFSET($DS$3,0,0,'Données projet'!$E$14+1,1))-AVERAGE(OFFSET($H$3,0,0,'Données projet'!$E$14+1,1))</f>
        <v>455.50822833641354</v>
      </c>
      <c r="DU36" s="60">
        <f t="shared" si="44"/>
        <v>261.14722581688039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12.938699999999994</v>
      </c>
      <c r="EJ36" s="13">
        <f>IF('Données projet'!$A$192&gt;35,EJ35+EI36-ER35,IF(A36&lt;'Données projet'!$A$192,$EG$205^A36,IF(A36='Données projet'!$A$192,'Données projet'!$B$192,EJ35+EI36-ER35)))</f>
        <v>193.57220000000004</v>
      </c>
      <c r="EK36" s="18">
        <f>EJ36*VLOOKUP('Données projet'!$B$15,Paramètres!$A$1:$I$89,3,0)*VLOOKUP('Données projet'!$B$15,Paramètres!$A$1:$I$89,5,0)</f>
        <v>115.75617560000003</v>
      </c>
      <c r="EL36" s="14">
        <f t="shared" si="45"/>
        <v>30.683132354258433</v>
      </c>
      <c r="EM36" s="22">
        <f t="shared" si="19"/>
        <v>255.0484613536668</v>
      </c>
      <c r="EN36" s="60">
        <f t="shared" si="20"/>
        <v>548.38179468700014</v>
      </c>
      <c r="EO36" s="60">
        <f ca="1">AVERAGE(OFFSET($EN$3,0,0,'Données projet'!$E$15+1,1))-AVERAGE(OFFSET($H$3,0,0,'Données projet'!$E$15+1,1))</f>
        <v>207.03241199974599</v>
      </c>
      <c r="EP36" s="60">
        <f t="shared" si="46"/>
        <v>314.188568589113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12.722181073485904</v>
      </c>
      <c r="EW36" s="23">
        <f>EXP(-LN(2)/25)*EW35+(1-EXP(-LN(2)/25))/(LN(2)/25)*Calculateur!ER36*Calculateur!ET36*VLOOKUP('Données projet'!$B$15,Paramètres!$A$1:$I$89,3,0)*0.475*44/12</f>
        <v>8.9712900245031442</v>
      </c>
      <c r="EX36" s="23">
        <f>EXP(-LN(2)/2)*EX35+(1-EXP(-LN(2)/2))/(LN(2)/2)*ER36*EU36*VLOOKUP('Données projet'!$B$15,Paramètres!$A$1:$I$89,3,0)*0.475*44/12</f>
        <v>1.0339413277884024</v>
      </c>
      <c r="EY36" s="24">
        <f t="shared" si="21"/>
        <v>22.727412425777448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 t="e">
        <f>N37*VLOOKUP('Données projet'!$B$9,Paramètres!$A$1:$I$89,3,0)*VLOOKUP('Données projet'!$B$9,Paramètres!$A$1:$I$89,5,0)</f>
        <v>#N/A</v>
      </c>
      <c r="P37" s="14" t="e">
        <f t="shared" si="33"/>
        <v>#N/A</v>
      </c>
      <c r="Q37" s="22" t="e">
        <f t="shared" si="53"/>
        <v>#N/A</v>
      </c>
      <c r="R37" s="60" t="e">
        <f t="shared" si="0"/>
        <v>#N/A</v>
      </c>
      <c r="S37" s="60" t="e">
        <f ca="1">AVERAGE(OFFSET($R$3,0,0,'Données projet'!$E$9+1,1))-AVERAGE(OFFSET($H$3,0,0,'Données projet'!$E$9+1,1))</f>
        <v>#N/A</v>
      </c>
      <c r="T37" s="60" t="e">
        <f t="shared" si="34"/>
        <v>#N/A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 t="e">
        <f>EXP(-LN(2)/35)*Z36+(1-EXP(-LN(2)/35))/(LN(2)/35)*V37*W37*VLOOKUP('Données projet'!$B$9,Paramètres!$A$1:$I$89,3,0)*0.475*44/12</f>
        <v>#N/A</v>
      </c>
      <c r="AA37" s="23" t="e">
        <f>EXP(-LN(2)/25)*AA36+(1-EXP(-LN(2)/25))/(LN(2)/25)*Calculateur!V37*Calculateur!X37*VLOOKUP('Données projet'!$B$9,Paramètres!$A$1:$I$89,3,0)*0.475*44/12</f>
        <v>#N/A</v>
      </c>
      <c r="AB37" s="23" t="e">
        <f>EXP(-LN(2)/2)*AB36+(1-EXP(-LN(2)/2))/(LN(2)/2)*V37*Y37*VLOOKUP('Données projet'!$B$9,Paramètres!$A$1:$I$89,3,0)*0.475*44/12</f>
        <v>#N/A</v>
      </c>
      <c r="AC37" s="24" t="e">
        <f t="shared" si="3"/>
        <v>#N/A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0">
        <f t="shared" si="5"/>
        <v>509.537057935093</v>
      </c>
      <c r="AN37" s="60">
        <f ca="1">AVERAGE(OFFSET($AM$3,0,0,'Données projet'!$E$10+1,1))-AVERAGE(OFFSET($H$3,0,0,'Données projet'!$E$10+1,1))</f>
        <v>428.8489304403459</v>
      </c>
      <c r="AO37" s="60">
        <f t="shared" si="36"/>
        <v>247.01165577562966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19.857142857142858</v>
      </c>
      <c r="BD37" s="13">
        <f>IF('Données projet'!$A$88&gt;35,BD36+BC37-BL36,IF(A37&lt;'Données projet'!$A$88,$BA$205^A37,IF(A37='Données projet'!$A$88,'Données projet'!$B$88,BD36+BC37-BL36)))</f>
        <v>335.14285714285705</v>
      </c>
      <c r="BE37" s="14">
        <f>BD37*VLOOKUP('Données projet'!$B$11,Paramètres!$A$1:$I$89,3,0)*VLOOKUP('Données projet'!$B$11,Paramètres!$A$1:$I$89,5,0)</f>
        <v>187.34485714285708</v>
      </c>
      <c r="BF37" s="14">
        <f t="shared" si="37"/>
        <v>46.95245853654621</v>
      </c>
      <c r="BG37" s="22">
        <f t="shared" si="7"/>
        <v>408.06782480829406</v>
      </c>
      <c r="BH37" s="60">
        <f t="shared" si="8"/>
        <v>701.40115814162732</v>
      </c>
      <c r="BI37" s="60">
        <f ca="1">AVERAGE(OFFSET($BH$3,0,0,'Données projet'!$E$11+1,1))-AVERAGE(OFFSET($H$3,0,0,'Données projet'!$E$11+1,1))</f>
        <v>374.79806286316051</v>
      </c>
      <c r="BJ37" s="60">
        <f t="shared" si="38"/>
        <v>350.01856672839466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19.931691244696086</v>
      </c>
      <c r="BR37" s="23">
        <f>EXP(-LN(2)/2)*BR36+(1-EXP(-LN(2)/2))/(LN(2)/2)*BL37*BO37*VLOOKUP('Données projet'!$B$11,Paramètres!$A$1:$I$89,3,0)*0.475*44/12</f>
        <v>2.7519452604213144</v>
      </c>
      <c r="BS37" s="24">
        <f t="shared" si="9"/>
        <v>22.683636505117402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0">
        <f t="shared" si="11"/>
        <v>509.537057935093</v>
      </c>
      <c r="CD37" s="60">
        <f ca="1">AVERAGE(OFFSET($CC$3,0,0,'Données projet'!$E$12+1,1))-AVERAGE(OFFSET($H$3,0,0,'Données projet'!$E$12+1,1))</f>
        <v>428.8489304403459</v>
      </c>
      <c r="CE37" s="60">
        <f t="shared" si="40"/>
        <v>247.01165577562966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6.1538461538461515</v>
      </c>
      <c r="CT37" s="13">
        <f>IF('Données projet'!$A$140&gt;35,CT36+CS37-DB36,IF(A37&lt;'Données projet'!$A$140,$CQ$205^A37,IF(A37='Données projet'!$A$140,'Données projet'!$B$140,CT36+CS37-DB36)))</f>
        <v>123.33333333333334</v>
      </c>
      <c r="CU37" s="18">
        <f>CT37*VLOOKUP('Données projet'!$B$13,Paramètres!$A$1:$I$89,3,0)*VLOOKUP('Données projet'!$B$13,Paramètres!$A$1:$I$89,5,0)</f>
        <v>117.364</v>
      </c>
      <c r="CV37" s="14">
        <f t="shared" si="41"/>
        <v>31.059403079292686</v>
      </c>
      <c r="CW37" s="22">
        <f t="shared" si="13"/>
        <v>258.50409369643472</v>
      </c>
      <c r="CX37" s="60">
        <f t="shared" si="14"/>
        <v>551.83742702976804</v>
      </c>
      <c r="CY37" s="60">
        <f ca="1">AVERAGE(OFFSET($CX$3,0,0,'Données projet'!$E$13+1,1))-AVERAGE(OFFSET($H$3,0,0,'Données projet'!$E$13+1,1))</f>
        <v>354.63118425028898</v>
      </c>
      <c r="CZ37" s="60">
        <f t="shared" si="42"/>
        <v>244.7141066773861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104.4576</v>
      </c>
      <c r="DQ37" s="14">
        <f t="shared" si="43"/>
        <v>28.021248860498272</v>
      </c>
      <c r="DR37" s="22">
        <f t="shared" si="16"/>
        <v>230.73399509870114</v>
      </c>
      <c r="DS37" s="60">
        <f t="shared" si="17"/>
        <v>524.0673284320344</v>
      </c>
      <c r="DT37" s="60">
        <f ca="1">AVERAGE(OFFSET($DS$3,0,0,'Données projet'!$E$14+1,1))-AVERAGE(OFFSET($H$3,0,0,'Données projet'!$E$14+1,1))</f>
        <v>455.50822833641354</v>
      </c>
      <c r="DU37" s="60">
        <f t="shared" si="44"/>
        <v>261.14722581688039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12.938699999999994</v>
      </c>
      <c r="EJ37" s="13">
        <f>IF('Données projet'!$A$192&gt;35,EJ36+EI37-ER36,IF(A37&lt;'Données projet'!$A$192,$EG$205^A37,IF(A37='Données projet'!$A$192,'Données projet'!$B$192,EJ36+EI37-ER36)))</f>
        <v>206.51090000000002</v>
      </c>
      <c r="EK37" s="18">
        <f>EJ37*VLOOKUP('Données projet'!$B$15,Paramètres!$A$1:$I$89,3,0)*VLOOKUP('Données projet'!$B$15,Paramètres!$A$1:$I$89,5,0)</f>
        <v>123.49351820000003</v>
      </c>
      <c r="EL37" s="14">
        <f t="shared" si="45"/>
        <v>32.488439203441445</v>
      </c>
      <c r="EM37" s="22">
        <f t="shared" si="19"/>
        <v>271.66857581099384</v>
      </c>
      <c r="EN37" s="60">
        <f t="shared" si="20"/>
        <v>565.0019091443271</v>
      </c>
      <c r="EO37" s="60">
        <f ca="1">AVERAGE(OFFSET($EN$3,0,0,'Données projet'!$E$15+1,1))-AVERAGE(OFFSET($H$3,0,0,'Données projet'!$E$15+1,1))</f>
        <v>207.03241199974599</v>
      </c>
      <c r="EP37" s="60">
        <f t="shared" si="46"/>
        <v>314.188568589113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12.472706862399088</v>
      </c>
      <c r="EW37" s="23">
        <f>EXP(-LN(2)/25)*EW36+(1-EXP(-LN(2)/25))/(LN(2)/25)*Calculateur!ER37*Calculateur!ET37*VLOOKUP('Données projet'!$B$15,Paramètres!$A$1:$I$89,3,0)*0.475*44/12</f>
        <v>8.725969627003467</v>
      </c>
      <c r="EX37" s="23">
        <f>EXP(-LN(2)/2)*EX36+(1-EXP(-LN(2)/2))/(LN(2)/2)*ER37*EU37*VLOOKUP('Données projet'!$B$15,Paramètres!$A$1:$I$89,3,0)*0.475*44/12</f>
        <v>0.73110692422820234</v>
      </c>
      <c r="EY37" s="24">
        <f t="shared" si="21"/>
        <v>21.929783413630759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 t="e">
        <f>N38*VLOOKUP('Données projet'!$B$9,Paramètres!$A$1:$I$89,3,0)*VLOOKUP('Données projet'!$B$9,Paramètres!$A$1:$I$89,5,0)</f>
        <v>#N/A</v>
      </c>
      <c r="P38" s="14" t="e">
        <f t="shared" si="33"/>
        <v>#N/A</v>
      </c>
      <c r="Q38" s="22" t="e">
        <f t="shared" si="53"/>
        <v>#N/A</v>
      </c>
      <c r="R38" s="60" t="e">
        <f t="shared" si="0"/>
        <v>#N/A</v>
      </c>
      <c r="S38" s="60" t="e">
        <f ca="1">AVERAGE(OFFSET($R$3,0,0,'Données projet'!$E$9+1,1))-AVERAGE(OFFSET($H$3,0,0,'Données projet'!$E$9+1,1))</f>
        <v>#N/A</v>
      </c>
      <c r="T38" s="60" t="e">
        <f t="shared" si="34"/>
        <v>#N/A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 t="e">
        <f>EXP(-LN(2)/35)*Z37+(1-EXP(-LN(2)/35))/(LN(2)/35)*V38*W38*VLOOKUP('Données projet'!$B$9,Paramètres!$A$1:$I$89,3,0)*0.475*44/12</f>
        <v>#N/A</v>
      </c>
      <c r="AA38" s="23" t="e">
        <f>EXP(-LN(2)/25)*AA37+(1-EXP(-LN(2)/25))/(LN(2)/25)*Calculateur!V38*Calculateur!X38*VLOOKUP('Données projet'!$B$9,Paramètres!$A$1:$I$89,3,0)*0.475*44/12</f>
        <v>#N/A</v>
      </c>
      <c r="AB38" s="23" t="e">
        <f>EXP(-LN(2)/2)*AB37+(1-EXP(-LN(2)/2))/(LN(2)/2)*V38*Y38*VLOOKUP('Données projet'!$B$9,Paramètres!$A$1:$I$89,3,0)*0.475*44/12</f>
        <v>#N/A</v>
      </c>
      <c r="AC38" s="24" t="e">
        <f t="shared" si="3"/>
        <v>#N/A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0">
        <f t="shared" si="5"/>
        <v>525.14279449916307</v>
      </c>
      <c r="AN38" s="60">
        <f ca="1">AVERAGE(OFFSET($AM$3,0,0,'Données projet'!$E$10+1,1))-AVERAGE(OFFSET($H$3,0,0,'Données projet'!$E$10+1,1))</f>
        <v>428.8489304403459</v>
      </c>
      <c r="AO38" s="60">
        <f t="shared" si="36"/>
        <v>247.01165577562966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355</v>
      </c>
      <c r="BB38" s="13">
        <f>VLOOKUP(A38,'Données projet'!$A$87:$I$107,9,0)</f>
        <v>19.857142857142858</v>
      </c>
      <c r="BC38" s="13">
        <f t="array" ref="BC38">INDEX(BB:BB,MIN(IF(ISNUMBER(BB38:BB234),ROW(BB38:BB234),"")))</f>
        <v>19.857142857142858</v>
      </c>
      <c r="BD38" s="13">
        <f>IF('Données projet'!$A$88&gt;35,BD37+BC38-BL37,IF(A38&lt;'Données projet'!$A$88,$BA$205^A38,IF(A38='Données projet'!$A$88,'Données projet'!$B$88,BD37+BC38-BL37)))</f>
        <v>354.99999999999989</v>
      </c>
      <c r="BE38" s="14">
        <f>BD38*VLOOKUP('Données projet'!$B$11,Paramètres!$A$1:$I$89,3,0)*VLOOKUP('Données projet'!$B$11,Paramètres!$A$1:$I$89,5,0)</f>
        <v>198.44499999999994</v>
      </c>
      <c r="BF38" s="14">
        <f t="shared" si="37"/>
        <v>49.40227070134226</v>
      </c>
      <c r="BG38" s="22">
        <f t="shared" si="7"/>
        <v>431.66732980483766</v>
      </c>
      <c r="BH38" s="60">
        <f t="shared" si="8"/>
        <v>725.00066313817092</v>
      </c>
      <c r="BI38" s="60">
        <f ca="1">AVERAGE(OFFSET($BH$3,0,0,'Données projet'!$E$11+1,1))-AVERAGE(OFFSET($H$3,0,0,'Données projet'!$E$11+1,1))</f>
        <v>374.79806286316051</v>
      </c>
      <c r="BJ38" s="60">
        <f t="shared" si="38"/>
        <v>350.01856672839466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73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19.386658099447782</v>
      </c>
      <c r="BR38" s="23">
        <f>EXP(-LN(2)/2)*BR37+(1-EXP(-LN(2)/2))/(LN(2)/2)*BL38*BO38*VLOOKUP('Données projet'!$B$11,Paramètres!$A$1:$I$89,3,0)*0.475*44/12</f>
        <v>1.945919155098091</v>
      </c>
      <c r="BS38" s="24">
        <f t="shared" si="9"/>
        <v>21.332577254545875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525.14279449916307</v>
      </c>
      <c r="CD38" s="60">
        <f ca="1">AVERAGE(OFFSET($CC$3,0,0,'Données projet'!$E$12+1,1))-AVERAGE(OFFSET($H$3,0,0,'Données projet'!$E$12+1,1))</f>
        <v>428.8489304403459</v>
      </c>
      <c r="CE38" s="60">
        <f t="shared" si="40"/>
        <v>247.01165577562966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129.48717948717947</v>
      </c>
      <c r="CR38" s="13">
        <f>VLOOKUP(A38,'Données projet'!$A$139:$I$159,9,0)</f>
        <v>6.1538461538461515</v>
      </c>
      <c r="CS38" s="13">
        <f t="array" ref="CS38">INDEX(CR:CR,MIN(IF(ISNUMBER(CR38:CR234),ROW(CR38:CR234),"")))</f>
        <v>6.1538461538461515</v>
      </c>
      <c r="CT38" s="13">
        <f>IF('Données projet'!$A$140&gt;35,CT37+CS38-DB37,IF(A38&lt;'Données projet'!$A$140,$CQ$205^A38,IF(A38='Données projet'!$A$140,'Données projet'!$B$140,CT37+CS38-DB37)))</f>
        <v>129.4871794871795</v>
      </c>
      <c r="CU38" s="18">
        <f>CT38*VLOOKUP('Données projet'!$B$13,Paramètres!$A$1:$I$89,3,0)*VLOOKUP('Données projet'!$B$13,Paramètres!$A$1:$I$89,5,0)</f>
        <v>123.22000000000001</v>
      </c>
      <c r="CV38" s="14">
        <f t="shared" si="41"/>
        <v>32.42485010818541</v>
      </c>
      <c r="CW38" s="22">
        <f t="shared" si="13"/>
        <v>271.0814472717563</v>
      </c>
      <c r="CX38" s="60">
        <f t="shared" si="14"/>
        <v>564.41478060508962</v>
      </c>
      <c r="CY38" s="60">
        <f ca="1">AVERAGE(OFFSET($CX$3,0,0,'Données projet'!$E$13+1,1))-AVERAGE(OFFSET($H$3,0,0,'Données projet'!$E$13+1,1))</f>
        <v>354.63118425028898</v>
      </c>
      <c r="CZ38" s="60">
        <f t="shared" si="42"/>
        <v>244.7141066773861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26.282051282051281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112.1952</v>
      </c>
      <c r="DQ38" s="14">
        <f t="shared" si="43"/>
        <v>29.847594514573263</v>
      </c>
      <c r="DR38" s="22">
        <f t="shared" si="16"/>
        <v>247.39120044621509</v>
      </c>
      <c r="DS38" s="60">
        <f t="shared" si="17"/>
        <v>540.72453377954844</v>
      </c>
      <c r="DT38" s="60">
        <f ca="1">AVERAGE(OFFSET($DS$3,0,0,'Données projet'!$E$14+1,1))-AVERAGE(OFFSET($H$3,0,0,'Données projet'!$E$14+1,1))</f>
        <v>455.50822833641354</v>
      </c>
      <c r="DU38" s="60">
        <f t="shared" si="44"/>
        <v>261.14722581688039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12.938699999999994</v>
      </c>
      <c r="EJ38" s="13">
        <f>IF('Données projet'!$A$192&gt;35,EJ37+EI38-ER37,IF(A38&lt;'Données projet'!$A$192,$EG$205^A38,IF(A38='Données projet'!$A$192,'Données projet'!$B$192,EJ37+EI38-ER37)))</f>
        <v>219.4496</v>
      </c>
      <c r="EK38" s="18">
        <f>EJ38*VLOOKUP('Données projet'!$B$15,Paramètres!$A$1:$I$89,3,0)*VLOOKUP('Données projet'!$B$15,Paramètres!$A$1:$I$89,5,0)</f>
        <v>131.23086080000002</v>
      </c>
      <c r="EL38" s="14">
        <f t="shared" si="45"/>
        <v>34.280618947286037</v>
      </c>
      <c r="EM38" s="22">
        <f t="shared" si="19"/>
        <v>288.26582722652319</v>
      </c>
      <c r="EN38" s="60">
        <f t="shared" si="20"/>
        <v>581.5991605598565</v>
      </c>
      <c r="EO38" s="60">
        <f ca="1">AVERAGE(OFFSET($EN$3,0,0,'Données projet'!$E$15+1,1))-AVERAGE(OFFSET($H$3,0,0,'Données projet'!$E$15+1,1))</f>
        <v>207.03241199974599</v>
      </c>
      <c r="EP38" s="60">
        <f t="shared" si="46"/>
        <v>314.188568589113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12.228124688427439</v>
      </c>
      <c r="EW38" s="23">
        <f>EXP(-LN(2)/25)*EW37+(1-EXP(-LN(2)/25))/(LN(2)/25)*Calculateur!ER38*Calculateur!ET38*VLOOKUP('Données projet'!$B$15,Paramètres!$A$1:$I$89,3,0)*0.475*44/12</f>
        <v>8.4873575286742575</v>
      </c>
      <c r="EX38" s="23">
        <f>EXP(-LN(2)/2)*EX37+(1-EXP(-LN(2)/2))/(LN(2)/2)*ER38*EU38*VLOOKUP('Données projet'!$B$15,Paramètres!$A$1:$I$89,3,0)*0.475*44/12</f>
        <v>0.51697066389420132</v>
      </c>
      <c r="EY38" s="24">
        <f t="shared" si="21"/>
        <v>21.232452880995897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 t="e">
        <f>N39*VLOOKUP('Données projet'!$B$9,Paramètres!$A$1:$I$89,3,0)*VLOOKUP('Données projet'!$B$9,Paramètres!$A$1:$I$89,5,0)</f>
        <v>#N/A</v>
      </c>
      <c r="P39" s="14" t="e">
        <f t="shared" si="33"/>
        <v>#N/A</v>
      </c>
      <c r="Q39" s="22" t="e">
        <f t="shared" si="53"/>
        <v>#N/A</v>
      </c>
      <c r="R39" s="60" t="e">
        <f t="shared" si="0"/>
        <v>#N/A</v>
      </c>
      <c r="S39" s="60" t="e">
        <f ca="1">AVERAGE(OFFSET($R$3,0,0,'Données projet'!$E$9+1,1))-AVERAGE(OFFSET($H$3,0,0,'Données projet'!$E$9+1,1))</f>
        <v>#N/A</v>
      </c>
      <c r="T39" s="60" t="e">
        <f t="shared" si="34"/>
        <v>#N/A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 t="e">
        <f>EXP(-LN(2)/35)*Z38+(1-EXP(-LN(2)/35))/(LN(2)/35)*V39*W39*VLOOKUP('Données projet'!$B$9,Paramètres!$A$1:$I$89,3,0)*0.475*44/12</f>
        <v>#N/A</v>
      </c>
      <c r="AA39" s="23" t="e">
        <f>EXP(-LN(2)/25)*AA38+(1-EXP(-LN(2)/25))/(LN(2)/25)*Calculateur!V39*Calculateur!X39*VLOOKUP('Données projet'!$B$9,Paramètres!$A$1:$I$89,3,0)*0.475*44/12</f>
        <v>#N/A</v>
      </c>
      <c r="AB39" s="23" t="e">
        <f>EXP(-LN(2)/2)*AB38+(1-EXP(-LN(2)/2))/(LN(2)/2)*V39*Y39*VLOOKUP('Données projet'!$B$9,Paramètres!$A$1:$I$89,3,0)*0.475*44/12</f>
        <v>#N/A</v>
      </c>
      <c r="AC39" s="24" t="e">
        <f t="shared" si="3"/>
        <v>#N/A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0">
        <f t="shared" si="5"/>
        <v>541.50302276112825</v>
      </c>
      <c r="AN39" s="60">
        <f ca="1">AVERAGE(OFFSET($AM$3,0,0,'Données projet'!$E$10+1,1))-AVERAGE(OFFSET($H$3,0,0,'Données projet'!$E$10+1,1))</f>
        <v>428.8489304403459</v>
      </c>
      <c r="AO39" s="60">
        <f t="shared" si="36"/>
        <v>247.01165577562966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301.57142857142844</v>
      </c>
      <c r="BE39" s="14">
        <f>BD39*VLOOKUP('Données projet'!$B$11,Paramètres!$A$1:$I$89,3,0)*VLOOKUP('Données projet'!$B$11,Paramètres!$A$1:$I$89,5,0)</f>
        <v>168.5784285714285</v>
      </c>
      <c r="BF39" s="14">
        <f t="shared" si="37"/>
        <v>42.771483439273169</v>
      </c>
      <c r="BG39" s="22">
        <f t="shared" si="7"/>
        <v>368.10109675197208</v>
      </c>
      <c r="BH39" s="60">
        <f t="shared" si="8"/>
        <v>661.43443008530539</v>
      </c>
      <c r="BI39" s="60">
        <f ca="1">AVERAGE(OFFSET($BH$3,0,0,'Données projet'!$E$11+1,1))-AVERAGE(OFFSET($H$3,0,0,'Données projet'!$E$11+1,1))</f>
        <v>374.79806286316051</v>
      </c>
      <c r="BJ39" s="60">
        <f t="shared" si="38"/>
        <v>350.01856672839466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18.856528914218341</v>
      </c>
      <c r="BR39" s="23">
        <f>EXP(-LN(2)/2)*BR38+(1-EXP(-LN(2)/2))/(LN(2)/2)*BL39*BO39*VLOOKUP('Données projet'!$B$11,Paramètres!$A$1:$I$89,3,0)*0.475*44/12</f>
        <v>1.3759726302106574</v>
      </c>
      <c r="BS39" s="24">
        <f t="shared" si="9"/>
        <v>20.232501544428999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112.55712000000001</v>
      </c>
      <c r="CA39" s="14">
        <f t="shared" si="39"/>
        <v>29.932653834140599</v>
      </c>
      <c r="CB39" s="22">
        <f t="shared" si="10"/>
        <v>248.16968942779488</v>
      </c>
      <c r="CC39" s="60">
        <f t="shared" si="11"/>
        <v>541.50302276112825</v>
      </c>
      <c r="CD39" s="60">
        <f ca="1">AVERAGE(OFFSET($CC$3,0,0,'Données projet'!$E$12+1,1))-AVERAGE(OFFSET($H$3,0,0,'Données projet'!$E$12+1,1))</f>
        <v>428.8489304403459</v>
      </c>
      <c r="CE39" s="60">
        <f t="shared" si="40"/>
        <v>247.01165577562966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5.7692307692307709</v>
      </c>
      <c r="CT39" s="13">
        <f>IF('Données projet'!$A$140&gt;35,CT38+CS39-DB38,IF(A39&lt;'Données projet'!$A$140,$CQ$205^A39,IF(A39='Données projet'!$A$140,'Données projet'!$B$140,CT38+CS39-DB38)))</f>
        <v>108.97435897435899</v>
      </c>
      <c r="CU39" s="18">
        <f>CT39*VLOOKUP('Données projet'!$B$13,Paramètres!$A$1:$I$89,3,0)*VLOOKUP('Données projet'!$B$13,Paramètres!$A$1:$I$89,5,0)</f>
        <v>103.7</v>
      </c>
      <c r="CV39" s="14">
        <f t="shared" si="41"/>
        <v>27.841598996112509</v>
      </c>
      <c r="CW39" s="22">
        <f t="shared" si="13"/>
        <v>229.1016182515626</v>
      </c>
      <c r="CX39" s="60">
        <f t="shared" si="14"/>
        <v>522.43495158489588</v>
      </c>
      <c r="CY39" s="60">
        <f ca="1">AVERAGE(OFFSET($CX$3,0,0,'Données projet'!$E$13+1,1))-AVERAGE(OFFSET($H$3,0,0,'Données projet'!$E$13+1,1))</f>
        <v>354.63118425028898</v>
      </c>
      <c r="CZ39" s="60">
        <f t="shared" si="42"/>
        <v>244.7141066773861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120.31968000000001</v>
      </c>
      <c r="DQ39" s="14">
        <f t="shared" si="43"/>
        <v>31.74954785566829</v>
      </c>
      <c r="DR39" s="22">
        <f t="shared" si="16"/>
        <v>264.85390518195555</v>
      </c>
      <c r="DS39" s="60">
        <f t="shared" si="17"/>
        <v>558.18723851528887</v>
      </c>
      <c r="DT39" s="60">
        <f ca="1">AVERAGE(OFFSET($DS$3,0,0,'Données projet'!$E$14+1,1))-AVERAGE(OFFSET($H$3,0,0,'Données projet'!$E$14+1,1))</f>
        <v>455.50822833641354</v>
      </c>
      <c r="DU39" s="60">
        <f t="shared" si="44"/>
        <v>261.14722581688039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12.938699999999994</v>
      </c>
      <c r="EJ39" s="13">
        <f>IF('Données projet'!$A$192&gt;35,EJ38+EI39-ER38,IF(A39&lt;'Données projet'!$A$192,$EG$205^A39,IF(A39='Données projet'!$A$192,'Données projet'!$B$192,EJ38+EI39-ER38)))</f>
        <v>232.38829999999999</v>
      </c>
      <c r="EK39" s="18">
        <f>EJ39*VLOOKUP('Données projet'!$B$15,Paramètres!$A$1:$I$89,3,0)*VLOOKUP('Données projet'!$B$15,Paramètres!$A$1:$I$89,5,0)</f>
        <v>138.96820339999999</v>
      </c>
      <c r="EL39" s="14">
        <f t="shared" si="45"/>
        <v>36.060533716914215</v>
      </c>
      <c r="EM39" s="22">
        <f t="shared" si="19"/>
        <v>304.84171714529225</v>
      </c>
      <c r="EN39" s="60">
        <f t="shared" si="20"/>
        <v>598.17505047862551</v>
      </c>
      <c r="EO39" s="60">
        <f ca="1">AVERAGE(OFFSET($EN$3,0,0,'Données projet'!$E$15+1,1))-AVERAGE(OFFSET($H$3,0,0,'Données projet'!$E$15+1,1))</f>
        <v>207.03241199974599</v>
      </c>
      <c r="EP39" s="60">
        <f t="shared" si="46"/>
        <v>314.188568589113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11.988338621706978</v>
      </c>
      <c r="EW39" s="23">
        <f>EXP(-LN(2)/25)*EW38+(1-EXP(-LN(2)/25))/(LN(2)/25)*Calculateur!ER39*Calculateur!ET39*VLOOKUP('Données projet'!$B$15,Paramètres!$A$1:$I$89,3,0)*0.475*44/12</f>
        <v>8.255270290721926</v>
      </c>
      <c r="EX39" s="23">
        <f>EXP(-LN(2)/2)*EX38+(1-EXP(-LN(2)/2))/(LN(2)/2)*ER39*EU39*VLOOKUP('Données projet'!$B$15,Paramètres!$A$1:$I$89,3,0)*0.475*44/12</f>
        <v>0.36555346211410122</v>
      </c>
      <c r="EY39" s="24">
        <f t="shared" si="21"/>
        <v>20.609162374543004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 t="e">
        <f>N40*VLOOKUP('Données projet'!$B$9,Paramètres!$A$1:$I$89,3,0)*VLOOKUP('Données projet'!$B$9,Paramètres!$A$1:$I$89,5,0)</f>
        <v>#N/A</v>
      </c>
      <c r="P40" s="14" t="e">
        <f t="shared" si="33"/>
        <v>#N/A</v>
      </c>
      <c r="Q40" s="22" t="e">
        <f t="shared" si="53"/>
        <v>#N/A</v>
      </c>
      <c r="R40" s="60" t="e">
        <f t="shared" si="0"/>
        <v>#N/A</v>
      </c>
      <c r="S40" s="60" t="e">
        <f ca="1">AVERAGE(OFFSET($R$3,0,0,'Données projet'!$E$9+1,1))-AVERAGE(OFFSET($H$3,0,0,'Données projet'!$E$9+1,1))</f>
        <v>#N/A</v>
      </c>
      <c r="T40" s="60" t="e">
        <f t="shared" si="34"/>
        <v>#N/A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 t="e">
        <f>EXP(-LN(2)/35)*Z39+(1-EXP(-LN(2)/35))/(LN(2)/35)*V40*W40*VLOOKUP('Données projet'!$B$9,Paramètres!$A$1:$I$89,3,0)*0.475*44/12</f>
        <v>#N/A</v>
      </c>
      <c r="AA40" s="23" t="e">
        <f>EXP(-LN(2)/25)*AA39+(1-EXP(-LN(2)/25))/(LN(2)/25)*Calculateur!V40*Calculateur!X40*VLOOKUP('Données projet'!$B$9,Paramètres!$A$1:$I$89,3,0)*0.475*44/12</f>
        <v>#N/A</v>
      </c>
      <c r="AB40" s="23" t="e">
        <f>EXP(-LN(2)/2)*AB39+(1-EXP(-LN(2)/2))/(LN(2)/2)*V40*Y40*VLOOKUP('Données projet'!$B$9,Paramètres!$A$1:$I$89,3,0)*0.475*44/12</f>
        <v>#N/A</v>
      </c>
      <c r="AC40" s="24" t="e">
        <f t="shared" si="3"/>
        <v>#N/A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0">
        <f t="shared" si="5"/>
        <v>557.83878140250943</v>
      </c>
      <c r="AN40" s="60">
        <f ca="1">AVERAGE(OFFSET($AM$3,0,0,'Données projet'!$E$10+1,1))-AVERAGE(OFFSET($H$3,0,0,'Données projet'!$E$10+1,1))</f>
        <v>428.8489304403459</v>
      </c>
      <c r="AO40" s="60">
        <f t="shared" si="36"/>
        <v>247.01165577562966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321.142857142857</v>
      </c>
      <c r="BE40" s="14">
        <f>BD40*VLOOKUP('Données projet'!$B$11,Paramètres!$A$1:$I$89,3,0)*VLOOKUP('Données projet'!$B$11,Paramètres!$A$1:$I$89,5,0)</f>
        <v>179.51885714285706</v>
      </c>
      <c r="BF40" s="14">
        <f t="shared" si="37"/>
        <v>45.215124075787188</v>
      </c>
      <c r="BG40" s="22">
        <f t="shared" si="7"/>
        <v>391.41168395580547</v>
      </c>
      <c r="BH40" s="60">
        <f t="shared" si="8"/>
        <v>684.74501728913879</v>
      </c>
      <c r="BI40" s="60">
        <f ca="1">AVERAGE(OFFSET($BH$3,0,0,'Données projet'!$E$11+1,1))-AVERAGE(OFFSET($H$3,0,0,'Données projet'!$E$11+1,1))</f>
        <v>374.79806286316051</v>
      </c>
      <c r="BJ40" s="60">
        <f t="shared" si="38"/>
        <v>350.01856672839466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18.340896139437284</v>
      </c>
      <c r="BR40" s="23">
        <f>EXP(-LN(2)/2)*BR39+(1-EXP(-LN(2)/2))/(LN(2)/2)*BL40*BO40*VLOOKUP('Données projet'!$B$11,Paramètres!$A$1:$I$89,3,0)*0.475*44/12</f>
        <v>0.97295957754904572</v>
      </c>
      <c r="BS40" s="24">
        <f t="shared" si="9"/>
        <v>19.313855716986328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120.15744000000001</v>
      </c>
      <c r="CA40" s="14">
        <f t="shared" si="39"/>
        <v>31.711716786129845</v>
      </c>
      <c r="CB40" s="22">
        <f t="shared" si="10"/>
        <v>264.50544806917611</v>
      </c>
      <c r="CC40" s="60">
        <f t="shared" si="11"/>
        <v>557.83878140250943</v>
      </c>
      <c r="CD40" s="60">
        <f ca="1">AVERAGE(OFFSET($CC$3,0,0,'Données projet'!$E$12+1,1))-AVERAGE(OFFSET($H$3,0,0,'Données projet'!$E$12+1,1))</f>
        <v>428.8489304403459</v>
      </c>
      <c r="CE40" s="60">
        <f t="shared" si="40"/>
        <v>247.01165577562966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5.7692307692307709</v>
      </c>
      <c r="CT40" s="13">
        <f>IF('Données projet'!$A$140&gt;35,CT39+CS40-DB39,IF(A40&lt;'Données projet'!$A$140,$CQ$205^A40,IF(A40='Données projet'!$A$140,'Données projet'!$B$140,CT39+CS40-DB39)))</f>
        <v>114.74358974358977</v>
      </c>
      <c r="CU40" s="18">
        <f>CT40*VLOOKUP('Données projet'!$B$13,Paramètres!$A$1:$I$89,3,0)*VLOOKUP('Données projet'!$B$13,Paramètres!$A$1:$I$89,5,0)</f>
        <v>109.19000000000001</v>
      </c>
      <c r="CV40" s="14">
        <f t="shared" si="41"/>
        <v>29.140060241717325</v>
      </c>
      <c r="CW40" s="22">
        <f t="shared" si="13"/>
        <v>240.92485492099104</v>
      </c>
      <c r="CX40" s="60">
        <f t="shared" si="14"/>
        <v>534.2581882543243</v>
      </c>
      <c r="CY40" s="60">
        <f ca="1">AVERAGE(OFFSET($CX$3,0,0,'Données projet'!$E$13+1,1))-AVERAGE(OFFSET($H$3,0,0,'Données projet'!$E$13+1,1))</f>
        <v>354.63118425028898</v>
      </c>
      <c r="CZ40" s="60">
        <f t="shared" si="42"/>
        <v>244.7141066773861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128.44416000000001</v>
      </c>
      <c r="DQ40" s="14">
        <f t="shared" si="43"/>
        <v>33.636598855068925</v>
      </c>
      <c r="DR40" s="22">
        <f t="shared" si="16"/>
        <v>282.29065500591173</v>
      </c>
      <c r="DS40" s="60">
        <f t="shared" si="17"/>
        <v>575.62398833924499</v>
      </c>
      <c r="DT40" s="60">
        <f ca="1">AVERAGE(OFFSET($DS$3,0,0,'Données projet'!$E$14+1,1))-AVERAGE(OFFSET($H$3,0,0,'Données projet'!$E$14+1,1))</f>
        <v>455.50822833641354</v>
      </c>
      <c r="DU40" s="60">
        <f t="shared" si="44"/>
        <v>261.14722581688039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>
        <f>VLOOKUP(A40,'Données projet'!$A$191:$I$211,2,0)</f>
        <v>245.327</v>
      </c>
      <c r="EH40" s="13">
        <f>VLOOKUP(A40,'Données projet'!$A$191:$I$211,9,0)</f>
        <v>12.938699999999994</v>
      </c>
      <c r="EI40" s="13">
        <f t="array" ref="EI40">INDEX(EH:EH,MIN(IF(ISNUMBER(EH40:EH236),ROW(EH40:EH236),"")))</f>
        <v>12.938699999999994</v>
      </c>
      <c r="EJ40" s="13">
        <f>IF('Données projet'!$A$192&gt;35,EJ39+EI40-ER39,IF(A40&lt;'Données projet'!$A$192,$EG$205^A40,IF(A40='Données projet'!$A$192,'Données projet'!$B$192,EJ39+EI40-ER39)))</f>
        <v>245.32699999999997</v>
      </c>
      <c r="EK40" s="18">
        <f>EJ40*VLOOKUP('Données projet'!$B$15,Paramètres!$A$1:$I$89,3,0)*VLOOKUP('Données projet'!$B$15,Paramètres!$A$1:$I$89,5,0)</f>
        <v>146.705546</v>
      </c>
      <c r="EL40" s="14">
        <f t="shared" si="45"/>
        <v>37.828944219472127</v>
      </c>
      <c r="EM40" s="22">
        <f t="shared" si="19"/>
        <v>321.3975704655806</v>
      </c>
      <c r="EN40" s="60">
        <f t="shared" si="20"/>
        <v>614.73090379891391</v>
      </c>
      <c r="EO40" s="60">
        <f ca="1">AVERAGE(OFFSET($EN$3,0,0,'Données projet'!$E$15+1,1))-AVERAGE(OFFSET($H$3,0,0,'Données projet'!$E$15+1,1))</f>
        <v>207.03241199974599</v>
      </c>
      <c r="EP40" s="60">
        <f t="shared" si="46"/>
        <v>314.188568589113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11.753254613499847</v>
      </c>
      <c r="EW40" s="23">
        <f>EXP(-LN(2)/25)*EW39+(1-EXP(-LN(2)/25))/(LN(2)/25)*Calculateur!ER40*Calculateur!ET40*VLOOKUP('Données projet'!$B$15,Paramètres!$A$1:$I$89,3,0)*0.475*44/12</f>
        <v>8.0295294904963388</v>
      </c>
      <c r="EX40" s="23">
        <f>EXP(-LN(2)/2)*EX39+(1-EXP(-LN(2)/2))/(LN(2)/2)*ER40*EU40*VLOOKUP('Données projet'!$B$15,Paramètres!$A$1:$I$89,3,0)*0.475*44/12</f>
        <v>0.25848533194710066</v>
      </c>
      <c r="EY40" s="24">
        <f t="shared" si="21"/>
        <v>20.041269435943285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 t="e">
        <f>N41*VLOOKUP('Données projet'!$B$9,Paramètres!$A$1:$I$89,3,0)*VLOOKUP('Données projet'!$B$9,Paramètres!$A$1:$I$89,5,0)</f>
        <v>#N/A</v>
      </c>
      <c r="P41" s="14" t="e">
        <f t="shared" si="33"/>
        <v>#N/A</v>
      </c>
      <c r="Q41" s="22" t="e">
        <f t="shared" si="53"/>
        <v>#N/A</v>
      </c>
      <c r="R41" s="60" t="e">
        <f t="shared" si="0"/>
        <v>#N/A</v>
      </c>
      <c r="S41" s="60" t="e">
        <f ca="1">AVERAGE(OFFSET($R$3,0,0,'Données projet'!$E$9+1,1))-AVERAGE(OFFSET($H$3,0,0,'Données projet'!$E$9+1,1))</f>
        <v>#N/A</v>
      </c>
      <c r="T41" s="60" t="e">
        <f t="shared" si="34"/>
        <v>#N/A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 t="e">
        <f>EXP(-LN(2)/35)*Z40+(1-EXP(-LN(2)/35))/(LN(2)/35)*V41*W41*VLOOKUP('Données projet'!$B$9,Paramètres!$A$1:$I$89,3,0)*0.475*44/12</f>
        <v>#N/A</v>
      </c>
      <c r="AA41" s="23" t="e">
        <f>EXP(-LN(2)/25)*AA40+(1-EXP(-LN(2)/25))/(LN(2)/25)*Calculateur!V41*Calculateur!X41*VLOOKUP('Données projet'!$B$9,Paramètres!$A$1:$I$89,3,0)*0.475*44/12</f>
        <v>#N/A</v>
      </c>
      <c r="AB41" s="23" t="e">
        <f>EXP(-LN(2)/2)*AB40+(1-EXP(-LN(2)/2))/(LN(2)/2)*V41*Y41*VLOOKUP('Données projet'!$B$9,Paramètres!$A$1:$I$89,3,0)*0.475*44/12</f>
        <v>#N/A</v>
      </c>
      <c r="AC41" s="24" t="e">
        <f t="shared" si="3"/>
        <v>#N/A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0">
        <f t="shared" si="5"/>
        <v>574.15179438724942</v>
      </c>
      <c r="AN41" s="60">
        <f ca="1">AVERAGE(OFFSET($AM$3,0,0,'Données projet'!$E$10+1,1))-AVERAGE(OFFSET($H$3,0,0,'Données projet'!$E$10+1,1))</f>
        <v>428.8489304403459</v>
      </c>
      <c r="AO41" s="60">
        <f t="shared" si="36"/>
        <v>247.01165577562966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340.71428571428555</v>
      </c>
      <c r="BE41" s="14">
        <f>BD41*VLOOKUP('Données projet'!$B$11,Paramètres!$A$1:$I$89,3,0)*VLOOKUP('Données projet'!$B$11,Paramètres!$A$1:$I$89,5,0)</f>
        <v>190.45928571428561</v>
      </c>
      <c r="BF41" s="14">
        <f t="shared" si="37"/>
        <v>47.641480128932045</v>
      </c>
      <c r="BG41" s="22">
        <f t="shared" si="7"/>
        <v>414.6921671769374</v>
      </c>
      <c r="BH41" s="60">
        <f t="shared" si="8"/>
        <v>708.02550051027072</v>
      </c>
      <c r="BI41" s="60">
        <f ca="1">AVERAGE(OFFSET($BH$3,0,0,'Données projet'!$E$11+1,1))-AVERAGE(OFFSET($H$3,0,0,'Données projet'!$E$11+1,1))</f>
        <v>374.79806286316051</v>
      </c>
      <c r="BJ41" s="60">
        <f t="shared" si="38"/>
        <v>350.01856672839466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17.839363369998562</v>
      </c>
      <c r="BR41" s="23">
        <f>EXP(-LN(2)/2)*BR40+(1-EXP(-LN(2)/2))/(LN(2)/2)*BL41*BO41*VLOOKUP('Données projet'!$B$11,Paramètres!$A$1:$I$89,3,0)*0.475*44/12</f>
        <v>0.68798631510532882</v>
      </c>
      <c r="BS41" s="24">
        <f t="shared" si="9"/>
        <v>18.527349685103889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127.75776</v>
      </c>
      <c r="CA41" s="14">
        <f t="shared" si="39"/>
        <v>33.477720030956604</v>
      </c>
      <c r="CB41" s="22">
        <f t="shared" si="10"/>
        <v>280.81846105391611</v>
      </c>
      <c r="CC41" s="60">
        <f t="shared" si="11"/>
        <v>574.15179438724942</v>
      </c>
      <c r="CD41" s="60">
        <f ca="1">AVERAGE(OFFSET($CC$3,0,0,'Données projet'!$E$12+1,1))-AVERAGE(OFFSET($H$3,0,0,'Données projet'!$E$12+1,1))</f>
        <v>428.8489304403459</v>
      </c>
      <c r="CE41" s="60">
        <f t="shared" si="40"/>
        <v>247.01165577562966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5.7692307692307709</v>
      </c>
      <c r="CT41" s="13">
        <f>IF('Données projet'!$A$140&gt;35,CT40+CS41-DB40,IF(A41&lt;'Données projet'!$A$140,$CQ$205^A41,IF(A41='Données projet'!$A$140,'Données projet'!$B$140,CT40+CS41-DB40)))</f>
        <v>120.51282051282054</v>
      </c>
      <c r="CU41" s="18">
        <f>CT41*VLOOKUP('Données projet'!$B$13,Paramètres!$A$1:$I$89,3,0)*VLOOKUP('Données projet'!$B$13,Paramètres!$A$1:$I$89,5,0)</f>
        <v>114.68000000000002</v>
      </c>
      <c r="CV41" s="14">
        <f t="shared" si="41"/>
        <v>30.430941046845955</v>
      </c>
      <c r="CW41" s="22">
        <f t="shared" si="13"/>
        <v>252.73488898992335</v>
      </c>
      <c r="CX41" s="60">
        <f t="shared" si="14"/>
        <v>546.06822232325669</v>
      </c>
      <c r="CY41" s="60">
        <f ca="1">AVERAGE(OFFSET($CX$3,0,0,'Données projet'!$E$13+1,1))-AVERAGE(OFFSET($H$3,0,0,'Données projet'!$E$13+1,1))</f>
        <v>354.63118425028898</v>
      </c>
      <c r="CZ41" s="60">
        <f t="shared" si="42"/>
        <v>244.7141066773861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136.56864000000002</v>
      </c>
      <c r="DQ41" s="14">
        <f t="shared" si="43"/>
        <v>35.509797430964703</v>
      </c>
      <c r="DR41" s="22">
        <f t="shared" si="16"/>
        <v>299.70327852559689</v>
      </c>
      <c r="DS41" s="60">
        <f t="shared" si="17"/>
        <v>593.0366118589302</v>
      </c>
      <c r="DT41" s="60">
        <f ca="1">AVERAGE(OFFSET($DS$3,0,0,'Données projet'!$E$14+1,1))-AVERAGE(OFFSET($H$3,0,0,'Données projet'!$E$14+1,1))</f>
        <v>455.50822833641354</v>
      </c>
      <c r="DU41" s="60">
        <f t="shared" si="44"/>
        <v>261.14722581688039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13.198800000000006</v>
      </c>
      <c r="EJ41" s="13">
        <f>IF('Données projet'!$A$192&gt;35,EJ40+EI41-ER40,IF(A41&lt;'Données projet'!$A$192,$EG$205^A41,IF(A41='Données projet'!$A$192,'Données projet'!$B$192,EJ40+EI41-ER40)))</f>
        <v>258.5258</v>
      </c>
      <c r="EK41" s="18">
        <f>EJ41*VLOOKUP('Données projet'!$B$15,Paramètres!$A$1:$I$89,3,0)*VLOOKUP('Données projet'!$B$15,Paramètres!$A$1:$I$89,5,0)</f>
        <v>154.59842840000002</v>
      </c>
      <c r="EL41" s="14">
        <f t="shared" si="45"/>
        <v>39.621751412081764</v>
      </c>
      <c r="EM41" s="22">
        <f t="shared" si="19"/>
        <v>338.26681317270908</v>
      </c>
      <c r="EN41" s="60">
        <f t="shared" si="20"/>
        <v>631.60014650604239</v>
      </c>
      <c r="EO41" s="60">
        <f ca="1">AVERAGE(OFFSET($EN$3,0,0,'Données projet'!$E$15+1,1))-AVERAGE(OFFSET($H$3,0,0,'Données projet'!$E$15+1,1))</f>
        <v>207.03241199974599</v>
      </c>
      <c r="EP41" s="60">
        <f t="shared" si="46"/>
        <v>314.188568589113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11.522780459306571</v>
      </c>
      <c r="EW41" s="23">
        <f>EXP(-LN(2)/25)*EW40+(1-EXP(-LN(2)/25))/(LN(2)/25)*Calculateur!ER41*Calculateur!ET41*VLOOKUP('Données projet'!$B$15,Paramètres!$A$1:$I$89,3,0)*0.475*44/12</f>
        <v>7.8099615843241121</v>
      </c>
      <c r="EX41" s="23">
        <f>EXP(-LN(2)/2)*EX40+(1-EXP(-LN(2)/2))/(LN(2)/2)*ER41*EU41*VLOOKUP('Données projet'!$B$15,Paramètres!$A$1:$I$89,3,0)*0.475*44/12</f>
        <v>0.18277673105705061</v>
      </c>
      <c r="EY41" s="24">
        <f t="shared" si="21"/>
        <v>19.515518774687731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 t="e">
        <f>N42*VLOOKUP('Données projet'!$B$9,Paramètres!$A$1:$I$89,3,0)*VLOOKUP('Données projet'!$B$9,Paramètres!$A$1:$I$89,5,0)</f>
        <v>#N/A</v>
      </c>
      <c r="P42" s="14" t="e">
        <f t="shared" si="33"/>
        <v>#N/A</v>
      </c>
      <c r="Q42" s="22" t="e">
        <f t="shared" si="53"/>
        <v>#N/A</v>
      </c>
      <c r="R42" s="60" t="e">
        <f t="shared" si="0"/>
        <v>#N/A</v>
      </c>
      <c r="S42" s="60" t="e">
        <f ca="1">AVERAGE(OFFSET($R$3,0,0,'Données projet'!$E$9+1,1))-AVERAGE(OFFSET($H$3,0,0,'Données projet'!$E$9+1,1))</f>
        <v>#N/A</v>
      </c>
      <c r="T42" s="60" t="e">
        <f t="shared" si="34"/>
        <v>#N/A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 t="e">
        <f>EXP(-LN(2)/35)*Z41+(1-EXP(-LN(2)/35))/(LN(2)/35)*V42*W42*VLOOKUP('Données projet'!$B$9,Paramètres!$A$1:$I$89,3,0)*0.475*44/12</f>
        <v>#N/A</v>
      </c>
      <c r="AA42" s="23" t="e">
        <f>EXP(-LN(2)/25)*AA41+(1-EXP(-LN(2)/25))/(LN(2)/25)*Calculateur!V42*Calculateur!X42*VLOOKUP('Données projet'!$B$9,Paramètres!$A$1:$I$89,3,0)*0.475*44/12</f>
        <v>#N/A</v>
      </c>
      <c r="AB42" s="23" t="e">
        <f>EXP(-LN(2)/2)*AB41+(1-EXP(-LN(2)/2))/(LN(2)/2)*V42*Y42*VLOOKUP('Données projet'!$B$9,Paramètres!$A$1:$I$89,3,0)*0.475*44/12</f>
        <v>#N/A</v>
      </c>
      <c r="AC42" s="24" t="e">
        <f t="shared" si="3"/>
        <v>#N/A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0">
        <f t="shared" si="5"/>
        <v>590.44356897369653</v>
      </c>
      <c r="AN42" s="60">
        <f ca="1">AVERAGE(OFFSET($AM$3,0,0,'Données projet'!$E$10+1,1))-AVERAGE(OFFSET($H$3,0,0,'Données projet'!$E$10+1,1))</f>
        <v>428.8489304403459</v>
      </c>
      <c r="AO42" s="60">
        <f t="shared" si="36"/>
        <v>247.01165577562966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360.28571428571411</v>
      </c>
      <c r="BE42" s="14">
        <f>BD42*VLOOKUP('Données projet'!$B$11,Paramètres!$A$1:$I$89,3,0)*VLOOKUP('Données projet'!$B$11,Paramètres!$A$1:$I$89,5,0)</f>
        <v>201.39971428571417</v>
      </c>
      <c r="BF42" s="14">
        <f t="shared" si="37"/>
        <v>50.051657588658017</v>
      </c>
      <c r="BG42" s="22">
        <f t="shared" si="7"/>
        <v>437.94447268119819</v>
      </c>
      <c r="BH42" s="60">
        <f t="shared" si="8"/>
        <v>731.27780601453151</v>
      </c>
      <c r="BI42" s="60">
        <f ca="1">AVERAGE(OFFSET($BH$3,0,0,'Données projet'!$E$11+1,1))-AVERAGE(OFFSET($H$3,0,0,'Données projet'!$E$11+1,1))</f>
        <v>374.79806286316051</v>
      </c>
      <c r="BJ42" s="60">
        <f t="shared" si="38"/>
        <v>350.01856672839466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17.351545040514605</v>
      </c>
      <c r="BR42" s="23">
        <f>EXP(-LN(2)/2)*BR41+(1-EXP(-LN(2)/2))/(LN(2)/2)*BL42*BO42*VLOOKUP('Données projet'!$B$11,Paramètres!$A$1:$I$89,3,0)*0.475*44/12</f>
        <v>0.48647978877452291</v>
      </c>
      <c r="BS42" s="24">
        <f t="shared" si="9"/>
        <v>17.838024829289129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135.35808</v>
      </c>
      <c r="CA42" s="14">
        <f t="shared" si="39"/>
        <v>35.231528980112834</v>
      </c>
      <c r="CB42" s="22">
        <f t="shared" si="10"/>
        <v>297.11023564036316</v>
      </c>
      <c r="CC42" s="60">
        <f t="shared" si="11"/>
        <v>590.44356897369653</v>
      </c>
      <c r="CD42" s="60">
        <f ca="1">AVERAGE(OFFSET($CC$3,0,0,'Données projet'!$E$12+1,1))-AVERAGE(OFFSET($H$3,0,0,'Données projet'!$E$12+1,1))</f>
        <v>428.8489304403459</v>
      </c>
      <c r="CE42" s="60">
        <f t="shared" si="40"/>
        <v>247.01165577562966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5.7692307692307709</v>
      </c>
      <c r="CT42" s="13">
        <f>IF('Données projet'!$A$140&gt;35,CT41+CS42-DB41,IF(A42&lt;'Données projet'!$A$140,$CQ$205^A42,IF(A42='Données projet'!$A$140,'Données projet'!$B$140,CT41+CS42-DB41)))</f>
        <v>126.28205128205131</v>
      </c>
      <c r="CU42" s="18">
        <f>CT42*VLOOKUP('Données projet'!$B$13,Paramètres!$A$1:$I$89,3,0)*VLOOKUP('Données projet'!$B$13,Paramètres!$A$1:$I$89,5,0)</f>
        <v>120.17000000000003</v>
      </c>
      <c r="CV42" s="14">
        <f t="shared" si="41"/>
        <v>31.714645735009839</v>
      </c>
      <c r="CW42" s="22">
        <f t="shared" si="13"/>
        <v>264.53242465514222</v>
      </c>
      <c r="CX42" s="60">
        <f t="shared" si="14"/>
        <v>557.86575798847548</v>
      </c>
      <c r="CY42" s="60">
        <f ca="1">AVERAGE(OFFSET($CX$3,0,0,'Données projet'!$E$13+1,1))-AVERAGE(OFFSET($H$3,0,0,'Données projet'!$E$13+1,1))</f>
        <v>354.63118425028898</v>
      </c>
      <c r="CZ42" s="60">
        <f t="shared" si="42"/>
        <v>244.7141066773861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144.69312000000002</v>
      </c>
      <c r="DQ42" s="14">
        <f t="shared" si="43"/>
        <v>37.370061524802772</v>
      </c>
      <c r="DR42" s="22">
        <f t="shared" si="16"/>
        <v>317.09337448903148</v>
      </c>
      <c r="DS42" s="60">
        <f t="shared" si="17"/>
        <v>610.42670782236473</v>
      </c>
      <c r="DT42" s="60">
        <f ca="1">AVERAGE(OFFSET($DS$3,0,0,'Données projet'!$E$14+1,1))-AVERAGE(OFFSET($H$3,0,0,'Données projet'!$E$14+1,1))</f>
        <v>455.50822833641354</v>
      </c>
      <c r="DU42" s="60">
        <f t="shared" si="44"/>
        <v>261.14722581688039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13.198800000000006</v>
      </c>
      <c r="EJ42" s="13">
        <f>IF('Données projet'!$A$192&gt;35,EJ41+EI42-ER41,IF(A42&lt;'Données projet'!$A$192,$EG$205^A42,IF(A42='Données projet'!$A$192,'Données projet'!$B$192,EJ41+EI42-ER41)))</f>
        <v>271.72460000000001</v>
      </c>
      <c r="EK42" s="18">
        <f>EJ42*VLOOKUP('Données projet'!$B$15,Paramètres!$A$1:$I$89,3,0)*VLOOKUP('Données projet'!$B$15,Paramètres!$A$1:$I$89,5,0)</f>
        <v>162.49131080000001</v>
      </c>
      <c r="EL42" s="14">
        <f t="shared" si="45"/>
        <v>41.403931216412602</v>
      </c>
      <c r="EM42" s="22">
        <f t="shared" si="19"/>
        <v>355.11754651191865</v>
      </c>
      <c r="EN42" s="60">
        <f t="shared" si="20"/>
        <v>648.45087984525196</v>
      </c>
      <c r="EO42" s="60">
        <f ca="1">AVERAGE(OFFSET($EN$3,0,0,'Données projet'!$E$15+1,1))-AVERAGE(OFFSET($H$3,0,0,'Données projet'!$E$15+1,1))</f>
        <v>207.03241199974599</v>
      </c>
      <c r="EP42" s="60">
        <f t="shared" si="46"/>
        <v>314.188568589113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11.296825762701671</v>
      </c>
      <c r="EW42" s="23">
        <f>EXP(-LN(2)/25)*EW41+(1-EXP(-LN(2)/25))/(LN(2)/25)*Calculateur!ER42*Calculateur!ET42*VLOOKUP('Données projet'!$B$15,Paramètres!$A$1:$I$89,3,0)*0.475*44/12</f>
        <v>7.5963977740927398</v>
      </c>
      <c r="EX42" s="23">
        <f>EXP(-LN(2)/2)*EX41+(1-EXP(-LN(2)/2))/(LN(2)/2)*ER42*EU42*VLOOKUP('Données projet'!$B$15,Paramètres!$A$1:$I$89,3,0)*0.475*44/12</f>
        <v>0.12924266597355033</v>
      </c>
      <c r="EY42" s="24">
        <f t="shared" si="21"/>
        <v>19.022466202767959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 t="e">
        <f>N43*VLOOKUP('Données projet'!$B$9,Paramètres!$A$1:$I$89,3,0)*VLOOKUP('Données projet'!$B$9,Paramètres!$A$1:$I$89,5,0)</f>
        <v>#N/A</v>
      </c>
      <c r="P43" s="14" t="e">
        <f t="shared" si="33"/>
        <v>#N/A</v>
      </c>
      <c r="Q43" s="22" t="e">
        <f t="shared" si="53"/>
        <v>#N/A</v>
      </c>
      <c r="R43" s="60" t="e">
        <f t="shared" si="0"/>
        <v>#N/A</v>
      </c>
      <c r="S43" s="60" t="e">
        <f ca="1">AVERAGE(OFFSET($R$3,0,0,'Données projet'!$E$9+1,1))-AVERAGE(OFFSET($H$3,0,0,'Données projet'!$E$9+1,1))</f>
        <v>#N/A</v>
      </c>
      <c r="T43" s="60" t="e">
        <f t="shared" si="34"/>
        <v>#N/A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 t="e">
        <f>EXP(-LN(2)/35)*Z42+(1-EXP(-LN(2)/35))/(LN(2)/35)*V43*W43*VLOOKUP('Données projet'!$B$9,Paramètres!$A$1:$I$89,3,0)*0.475*44/12</f>
        <v>#N/A</v>
      </c>
      <c r="AA43" s="23" t="e">
        <f>EXP(-LN(2)/25)*AA42+(1-EXP(-LN(2)/25))/(LN(2)/25)*Calculateur!V43*Calculateur!X43*VLOOKUP('Données projet'!$B$9,Paramètres!$A$1:$I$89,3,0)*0.475*44/12</f>
        <v>#N/A</v>
      </c>
      <c r="AB43" s="23" t="e">
        <f>EXP(-LN(2)/2)*AB42+(1-EXP(-LN(2)/2))/(LN(2)/2)*V43*Y43*VLOOKUP('Données projet'!$B$9,Paramètres!$A$1:$I$89,3,0)*0.475*44/12</f>
        <v>#N/A</v>
      </c>
      <c r="AC43" s="24" t="e">
        <f t="shared" si="3"/>
        <v>#N/A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0">
        <f t="shared" si="5"/>
        <v>606.71543359582972</v>
      </c>
      <c r="AN43" s="60">
        <f ca="1">AVERAGE(OFFSET($AM$3,0,0,'Données projet'!$E$10+1,1))-AVERAGE(OFFSET($H$3,0,0,'Données projet'!$E$10+1,1))</f>
        <v>428.8489304403459</v>
      </c>
      <c r="AO43" s="60">
        <f t="shared" si="36"/>
        <v>247.01165577562966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379.85714285714266</v>
      </c>
      <c r="BE43" s="14">
        <f>BD43*VLOOKUP('Données projet'!$B$11,Paramètres!$A$1:$I$89,3,0)*VLOOKUP('Données projet'!$B$11,Paramètres!$A$1:$I$89,5,0)</f>
        <v>212.34014285714278</v>
      </c>
      <c r="BF43" s="14">
        <f t="shared" si="37"/>
        <v>52.446635499473253</v>
      </c>
      <c r="BG43" s="22">
        <f t="shared" si="7"/>
        <v>461.17030563777286</v>
      </c>
      <c r="BH43" s="60">
        <f t="shared" si="8"/>
        <v>754.50363897110617</v>
      </c>
      <c r="BI43" s="60">
        <f ca="1">AVERAGE(OFFSET($BH$3,0,0,'Données projet'!$E$11+1,1))-AVERAGE(OFFSET($H$3,0,0,'Données projet'!$E$11+1,1))</f>
        <v>374.79806286316051</v>
      </c>
      <c r="BJ43" s="60">
        <f t="shared" si="38"/>
        <v>350.01856672839466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16.877066128903635</v>
      </c>
      <c r="BR43" s="23">
        <f>EXP(-LN(2)/2)*BR42+(1-EXP(-LN(2)/2))/(LN(2)/2)*BL43*BO43*VLOOKUP('Données projet'!$B$11,Paramètres!$A$1:$I$89,3,0)*0.475*44/12</f>
        <v>0.34399315755266446</v>
      </c>
      <c r="BS43" s="24">
        <f t="shared" si="9"/>
        <v>17.221059286456299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142.95840000000004</v>
      </c>
      <c r="CA43" s="14">
        <f t="shared" si="39"/>
        <v>36.973906370811264</v>
      </c>
      <c r="CB43" s="22">
        <f t="shared" si="10"/>
        <v>313.38210026249641</v>
      </c>
      <c r="CC43" s="60">
        <f t="shared" si="11"/>
        <v>606.71543359582972</v>
      </c>
      <c r="CD43" s="60">
        <f ca="1">AVERAGE(OFFSET($CC$3,0,0,'Données projet'!$E$12+1,1))-AVERAGE(OFFSET($H$3,0,0,'Données projet'!$E$12+1,1))</f>
        <v>428.8489304403459</v>
      </c>
      <c r="CE43" s="60">
        <f t="shared" si="40"/>
        <v>247.01165577562966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132.05128205128204</v>
      </c>
      <c r="CR43" s="13">
        <f>VLOOKUP(A43,'Données projet'!$A$139:$I$159,9,0)</f>
        <v>5.7692307692307709</v>
      </c>
      <c r="CS43" s="13">
        <f t="array" ref="CS43">INDEX(CR:CR,MIN(IF(ISNUMBER(CR43:CR239),ROW(CR43:CR239),"")))</f>
        <v>5.7692307692307709</v>
      </c>
      <c r="CT43" s="13">
        <f>IF('Données projet'!$A$140&gt;35,CT42+CS43-DB42,IF(A43&lt;'Données projet'!$A$140,$CQ$205^A43,IF(A43='Données projet'!$A$140,'Données projet'!$B$140,CT42+CS43-DB42)))</f>
        <v>132.05128205128207</v>
      </c>
      <c r="CU43" s="18">
        <f>CT43*VLOOKUP('Données projet'!$B$13,Paramètres!$A$1:$I$89,3,0)*VLOOKUP('Données projet'!$B$13,Paramètres!$A$1:$I$89,5,0)</f>
        <v>125.66000000000001</v>
      </c>
      <c r="CV43" s="14">
        <f t="shared" si="41"/>
        <v>32.991539598281548</v>
      </c>
      <c r="CW43" s="22">
        <f t="shared" si="13"/>
        <v>276.31809813367369</v>
      </c>
      <c r="CX43" s="60">
        <f t="shared" si="14"/>
        <v>569.651431467007</v>
      </c>
      <c r="CY43" s="60">
        <f ca="1">AVERAGE(OFFSET($CX$3,0,0,'Données projet'!$E$13+1,1))-AVERAGE(OFFSET($H$3,0,0,'Données projet'!$E$13+1,1))</f>
        <v>354.63118425028898</v>
      </c>
      <c r="CZ43" s="60">
        <f t="shared" si="42"/>
        <v>244.7141066773861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152.81760000000003</v>
      </c>
      <c r="DQ43" s="14">
        <f t="shared" si="43"/>
        <v>39.218200171484227</v>
      </c>
      <c r="DR43" s="22">
        <f t="shared" si="16"/>
        <v>334.46235196533502</v>
      </c>
      <c r="DS43" s="60">
        <f t="shared" si="17"/>
        <v>627.79568529866833</v>
      </c>
      <c r="DT43" s="60">
        <f ca="1">AVERAGE(OFFSET($DS$3,0,0,'Données projet'!$E$14+1,1))-AVERAGE(OFFSET($H$3,0,0,'Données projet'!$E$14+1,1))</f>
        <v>455.50822833641354</v>
      </c>
      <c r="DU43" s="60">
        <f t="shared" si="44"/>
        <v>261.14722581688039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13.198800000000006</v>
      </c>
      <c r="EJ43" s="13">
        <f>IF('Données projet'!$A$192&gt;35,EJ42+EI43-ER42,IF(A43&lt;'Données projet'!$A$192,$EG$205^A43,IF(A43='Données projet'!$A$192,'Données projet'!$B$192,EJ42+EI43-ER42)))</f>
        <v>284.92340000000002</v>
      </c>
      <c r="EK43" s="18">
        <f>EJ43*VLOOKUP('Données projet'!$B$15,Paramètres!$A$1:$I$89,3,0)*VLOOKUP('Données projet'!$B$15,Paramètres!$A$1:$I$89,5,0)</f>
        <v>170.38419320000003</v>
      </c>
      <c r="EL43" s="14">
        <f t="shared" si="45"/>
        <v>43.176058773516118</v>
      </c>
      <c r="EM43" s="22">
        <f t="shared" si="19"/>
        <v>371.95077218720718</v>
      </c>
      <c r="EN43" s="60">
        <f t="shared" si="20"/>
        <v>665.28410552054049</v>
      </c>
      <c r="EO43" s="60">
        <f ca="1">AVERAGE(OFFSET($EN$3,0,0,'Données projet'!$E$15+1,1))-AVERAGE(OFFSET($H$3,0,0,'Données projet'!$E$15+1,1))</f>
        <v>207.03241199974599</v>
      </c>
      <c r="EP43" s="60">
        <f t="shared" si="46"/>
        <v>314.188568589113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11.075301899878438</v>
      </c>
      <c r="EW43" s="23">
        <f>EXP(-LN(2)/25)*EW42+(1-EXP(-LN(2)/25))/(LN(2)/25)*Calculateur!ER43*Calculateur!ET43*VLOOKUP('Données projet'!$B$15,Paramètres!$A$1:$I$89,3,0)*0.475*44/12</f>
        <v>7.3886738774829768</v>
      </c>
      <c r="EX43" s="23">
        <f>EXP(-LN(2)/2)*EX42+(1-EXP(-LN(2)/2))/(LN(2)/2)*ER43*EU43*VLOOKUP('Données projet'!$B$15,Paramètres!$A$1:$I$89,3,0)*0.475*44/12</f>
        <v>9.1388365528525306E-2</v>
      </c>
      <c r="EY43" s="24">
        <f t="shared" si="21"/>
        <v>18.555364142889943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 t="e">
        <f>N44*VLOOKUP('Données projet'!$B$9,Paramètres!$A$1:$I$89,3,0)*VLOOKUP('Données projet'!$B$9,Paramètres!$A$1:$I$89,5,0)</f>
        <v>#N/A</v>
      </c>
      <c r="P44" s="14" t="e">
        <f t="shared" si="33"/>
        <v>#N/A</v>
      </c>
      <c r="Q44" s="22" t="e">
        <f t="shared" si="53"/>
        <v>#N/A</v>
      </c>
      <c r="R44" s="60" t="e">
        <f t="shared" si="0"/>
        <v>#N/A</v>
      </c>
      <c r="S44" s="60" t="e">
        <f ca="1">AVERAGE(OFFSET($R$3,0,0,'Données projet'!$E$9+1,1))-AVERAGE(OFFSET($H$3,0,0,'Données projet'!$E$9+1,1))</f>
        <v>#N/A</v>
      </c>
      <c r="T44" s="60" t="e">
        <f t="shared" si="34"/>
        <v>#N/A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 t="e">
        <f>EXP(-LN(2)/35)*Z43+(1-EXP(-LN(2)/35))/(LN(2)/35)*V44*W44*VLOOKUP('Données projet'!$B$9,Paramètres!$A$1:$I$89,3,0)*0.475*44/12</f>
        <v>#N/A</v>
      </c>
      <c r="AA44" s="23" t="e">
        <f>EXP(-LN(2)/25)*AA43+(1-EXP(-LN(2)/25))/(LN(2)/25)*Calculateur!V44*Calculateur!X44*VLOOKUP('Données projet'!$B$9,Paramètres!$A$1:$I$89,3,0)*0.475*44/12</f>
        <v>#N/A</v>
      </c>
      <c r="AB44" s="23" t="e">
        <f>EXP(-LN(2)/2)*AB43+(1-EXP(-LN(2)/2))/(LN(2)/2)*V44*Y44*VLOOKUP('Données projet'!$B$9,Paramètres!$A$1:$I$89,3,0)*0.475*44/12</f>
        <v>#N/A</v>
      </c>
      <c r="AC44" s="24" t="e">
        <f t="shared" si="3"/>
        <v>#N/A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0">
        <f t="shared" si="5"/>
        <v>541.50302276112825</v>
      </c>
      <c r="AN44" s="60">
        <f ca="1">AVERAGE(OFFSET($AM$3,0,0,'Données projet'!$E$10+1,1))-AVERAGE(OFFSET($H$3,0,0,'Données projet'!$E$10+1,1))</f>
        <v>428.8489304403459</v>
      </c>
      <c r="AO44" s="60">
        <f t="shared" si="36"/>
        <v>247.01165577562966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399.42857142857122</v>
      </c>
      <c r="BE44" s="14">
        <f>BD44*VLOOKUP('Données projet'!$B$11,Paramètres!$A$1:$I$89,3,0)*VLOOKUP('Données projet'!$B$11,Paramètres!$A$1:$I$89,5,0)</f>
        <v>223.28057142857133</v>
      </c>
      <c r="BF44" s="14">
        <f t="shared" si="37"/>
        <v>54.827286320639246</v>
      </c>
      <c r="BG44" s="22">
        <f t="shared" si="7"/>
        <v>484.37118557987498</v>
      </c>
      <c r="BH44" s="60">
        <f t="shared" si="8"/>
        <v>777.70451891320829</v>
      </c>
      <c r="BI44" s="60">
        <f ca="1">AVERAGE(OFFSET($BH$3,0,0,'Données projet'!$E$11+1,1))-AVERAGE(OFFSET($H$3,0,0,'Données projet'!$E$11+1,1))</f>
        <v>374.79806286316051</v>
      </c>
      <c r="BJ44" s="60">
        <f t="shared" si="38"/>
        <v>350.01856672839466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16.415561868082431</v>
      </c>
      <c r="BR44" s="23">
        <f>EXP(-LN(2)/2)*BR43+(1-EXP(-LN(2)/2))/(LN(2)/2)*BL44*BO44*VLOOKUP('Données projet'!$B$11,Paramètres!$A$1:$I$89,3,0)*0.475*44/12</f>
        <v>0.24323989438726148</v>
      </c>
      <c r="BS44" s="24">
        <f t="shared" si="9"/>
        <v>16.658801762469693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0">
        <f t="shared" si="11"/>
        <v>541.50302276112825</v>
      </c>
      <c r="CD44" s="60">
        <f ca="1">AVERAGE(OFFSET($CC$3,0,0,'Données projet'!$E$12+1,1))-AVERAGE(OFFSET($H$3,0,0,'Données projet'!$E$12+1,1))</f>
        <v>428.8489304403459</v>
      </c>
      <c r="CE44" s="60">
        <f t="shared" si="40"/>
        <v>247.01165577562966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5.6410256410256405</v>
      </c>
      <c r="CT44" s="13">
        <f>IF('Données projet'!$A$140&gt;35,CT43+CS44-DB43,IF(A44&lt;'Données projet'!$A$140,$CQ$205^A44,IF(A44='Données projet'!$A$140,'Données projet'!$B$140,CT43+CS44-DB43)))</f>
        <v>137.69230769230771</v>
      </c>
      <c r="CU44" s="18">
        <f>CT44*VLOOKUP('Données projet'!$B$13,Paramètres!$A$1:$I$89,3,0)*VLOOKUP('Données projet'!$B$13,Paramètres!$A$1:$I$89,5,0)</f>
        <v>131.02800000000002</v>
      </c>
      <c r="CV44" s="14">
        <f t="shared" si="41"/>
        <v>34.23379094712331</v>
      </c>
      <c r="CW44" s="22">
        <f t="shared" si="13"/>
        <v>287.83095256623977</v>
      </c>
      <c r="CX44" s="60">
        <f t="shared" si="14"/>
        <v>581.16428589957309</v>
      </c>
      <c r="CY44" s="60">
        <f ca="1">AVERAGE(OFFSET($CX$3,0,0,'Données projet'!$E$13+1,1))-AVERAGE(OFFSET($H$3,0,0,'Données projet'!$E$13+1,1))</f>
        <v>354.63118425028898</v>
      </c>
      <c r="CZ44" s="60">
        <f t="shared" si="42"/>
        <v>244.7141066773861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120.31968000000002</v>
      </c>
      <c r="DQ44" s="14">
        <f t="shared" si="43"/>
        <v>31.74954785566829</v>
      </c>
      <c r="DR44" s="22">
        <f t="shared" si="16"/>
        <v>264.85390518195561</v>
      </c>
      <c r="DS44" s="60">
        <f t="shared" si="17"/>
        <v>558.18723851528898</v>
      </c>
      <c r="DT44" s="60">
        <f ca="1">AVERAGE(OFFSET($DS$3,0,0,'Données projet'!$E$14+1,1))-AVERAGE(OFFSET($H$3,0,0,'Données projet'!$E$14+1,1))</f>
        <v>455.50822833641354</v>
      </c>
      <c r="DU44" s="60">
        <f t="shared" si="44"/>
        <v>261.14722581688039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13.198800000000006</v>
      </c>
      <c r="EJ44" s="13">
        <f>IF('Données projet'!$A$192&gt;35,EJ43+EI44-ER43,IF(A44&lt;'Données projet'!$A$192,$EG$205^A44,IF(A44='Données projet'!$A$192,'Données projet'!$B$192,EJ43+EI44-ER43)))</f>
        <v>298.12220000000002</v>
      </c>
      <c r="EK44" s="18">
        <f>EJ44*VLOOKUP('Données projet'!$B$15,Paramètres!$A$1:$I$89,3,0)*VLOOKUP('Données projet'!$B$15,Paramètres!$A$1:$I$89,5,0)</f>
        <v>178.27707560000005</v>
      </c>
      <c r="EL44" s="14">
        <f t="shared" si="45"/>
        <v>44.938652927177529</v>
      </c>
      <c r="EM44" s="22">
        <f t="shared" si="19"/>
        <v>388.76739385150091</v>
      </c>
      <c r="EN44" s="60">
        <f t="shared" si="20"/>
        <v>682.10072718483423</v>
      </c>
      <c r="EO44" s="60">
        <f ca="1">AVERAGE(OFFSET($EN$3,0,0,'Données projet'!$E$15+1,1))-AVERAGE(OFFSET($H$3,0,0,'Données projet'!$E$15+1,1))</f>
        <v>207.03241199974599</v>
      </c>
      <c r="EP44" s="60">
        <f t="shared" si="46"/>
        <v>314.188568589113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10.858121984888953</v>
      </c>
      <c r="EW44" s="23">
        <f>EXP(-LN(2)/25)*EW43+(1-EXP(-LN(2)/25))/(LN(2)/25)*Calculateur!ER44*Calculateur!ET44*VLOOKUP('Données projet'!$B$15,Paramètres!$A$1:$I$89,3,0)*0.475*44/12</f>
        <v>7.1866302017497325</v>
      </c>
      <c r="EX44" s="23">
        <f>EXP(-LN(2)/2)*EX43+(1-EXP(-LN(2)/2))/(LN(2)/2)*ER44*EU44*VLOOKUP('Données projet'!$B$15,Paramètres!$A$1:$I$89,3,0)*0.475*44/12</f>
        <v>6.4621332986775165E-2</v>
      </c>
      <c r="EY44" s="24">
        <f t="shared" si="21"/>
        <v>18.109373519625461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 t="e">
        <f>N45*VLOOKUP('Données projet'!$B$9,Paramètres!$A$1:$I$89,3,0)*VLOOKUP('Données projet'!$B$9,Paramètres!$A$1:$I$89,5,0)</f>
        <v>#N/A</v>
      </c>
      <c r="P45" s="14" t="e">
        <f t="shared" si="33"/>
        <v>#N/A</v>
      </c>
      <c r="Q45" s="22" t="e">
        <f t="shared" si="53"/>
        <v>#N/A</v>
      </c>
      <c r="R45" s="60" t="e">
        <f t="shared" si="0"/>
        <v>#N/A</v>
      </c>
      <c r="S45" s="60" t="e">
        <f ca="1">AVERAGE(OFFSET($R$3,0,0,'Données projet'!$E$9+1,1))-AVERAGE(OFFSET($H$3,0,0,'Données projet'!$E$9+1,1))</f>
        <v>#N/A</v>
      </c>
      <c r="T45" s="60" t="e">
        <f t="shared" si="34"/>
        <v>#N/A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 t="e">
        <f>EXP(-LN(2)/35)*Z44+(1-EXP(-LN(2)/35))/(LN(2)/35)*V45*W45*VLOOKUP('Données projet'!$B$9,Paramètres!$A$1:$I$89,3,0)*0.475*44/12</f>
        <v>#N/A</v>
      </c>
      <c r="AA45" s="23" t="e">
        <f>EXP(-LN(2)/25)*AA44+(1-EXP(-LN(2)/25))/(LN(2)/25)*Calculateur!V45*Calculateur!X45*VLOOKUP('Données projet'!$B$9,Paramètres!$A$1:$I$89,3,0)*0.475*44/12</f>
        <v>#N/A</v>
      </c>
      <c r="AB45" s="23" t="e">
        <f>EXP(-LN(2)/2)*AB44+(1-EXP(-LN(2)/2))/(LN(2)/2)*V45*Y45*VLOOKUP('Données projet'!$B$9,Paramètres!$A$1:$I$89,3,0)*0.475*44/12</f>
        <v>#N/A</v>
      </c>
      <c r="AC45" s="24" t="e">
        <f t="shared" si="3"/>
        <v>#N/A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0">
        <f t="shared" si="5"/>
        <v>557.83878140250954</v>
      </c>
      <c r="AN45" s="60">
        <f ca="1">AVERAGE(OFFSET($AM$3,0,0,'Données projet'!$E$10+1,1))-AVERAGE(OFFSET($H$3,0,0,'Données projet'!$E$10+1,1))</f>
        <v>428.8489304403459</v>
      </c>
      <c r="AO45" s="60">
        <f t="shared" si="36"/>
        <v>247.01165577562966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419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418.99999999999977</v>
      </c>
      <c r="BE45" s="14">
        <f>BD45*VLOOKUP('Données projet'!$B$11,Paramètres!$A$1:$I$89,3,0)*VLOOKUP('Données projet'!$B$11,Paramètres!$A$1:$I$89,5,0)</f>
        <v>234.22099999999989</v>
      </c>
      <c r="BF45" s="14">
        <f t="shared" si="37"/>
        <v>57.194392182630075</v>
      </c>
      <c r="BG45" s="22">
        <f t="shared" si="7"/>
        <v>507.54847471808051</v>
      </c>
      <c r="BH45" s="60">
        <f t="shared" si="8"/>
        <v>800.88180805141383</v>
      </c>
      <c r="BI45" s="60">
        <f ca="1">AVERAGE(OFFSET($BH$3,0,0,'Données projet'!$E$11+1,1))-AVERAGE(OFFSET($H$3,0,0,'Données projet'!$E$11+1,1))</f>
        <v>374.79806286316051</v>
      </c>
      <c r="BJ45" s="60">
        <f t="shared" si="38"/>
        <v>350.01856672839466</v>
      </c>
      <c r="BK45" s="16">
        <f>IF(ISNA(VLOOKUP(A45,'Données projet'!$A$87:$I$107,3,0)),0,VLOOKUP(A45,'Données projet'!$A$87:$I$107,3,0))</f>
        <v>4</v>
      </c>
      <c r="BL45" s="16">
        <f>IF(ISNA(VLOOKUP(A45,'Données projet'!$A$87:$I$107,4,0)),0,VLOOKUP(A45,'Données projet'!$A$87:$I$107,4,0))</f>
        <v>77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15.966677465542837</v>
      </c>
      <c r="BR45" s="23">
        <f>EXP(-LN(2)/2)*BR44+(1-EXP(-LN(2)/2))/(LN(2)/2)*BL45*BO45*VLOOKUP('Données projet'!$B$11,Paramètres!$A$1:$I$89,3,0)*0.475*44/12</f>
        <v>0.17199657877633226</v>
      </c>
      <c r="BS45" s="24">
        <f t="shared" si="9"/>
        <v>16.138674044319171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0">
        <f t="shared" si="11"/>
        <v>557.83878140250954</v>
      </c>
      <c r="CD45" s="60">
        <f ca="1">AVERAGE(OFFSET($CC$3,0,0,'Données projet'!$E$12+1,1))-AVERAGE(OFFSET($H$3,0,0,'Données projet'!$E$12+1,1))</f>
        <v>428.8489304403459</v>
      </c>
      <c r="CE45" s="60">
        <f t="shared" si="40"/>
        <v>247.01165577562966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5.6410256410256405</v>
      </c>
      <c r="CT45" s="13">
        <f>IF('Données projet'!$A$140&gt;35,CT44+CS45-DB44,IF(A45&lt;'Données projet'!$A$140,$CQ$205^A45,IF(A45='Données projet'!$A$140,'Données projet'!$B$140,CT44+CS45-DB44)))</f>
        <v>143.33333333333334</v>
      </c>
      <c r="CU45" s="18">
        <f>CT45*VLOOKUP('Données projet'!$B$13,Paramètres!$A$1:$I$89,3,0)*VLOOKUP('Données projet'!$B$13,Paramètres!$A$1:$I$89,5,0)</f>
        <v>136.39600000000002</v>
      </c>
      <c r="CV45" s="14">
        <f t="shared" si="41"/>
        <v>35.470130709133613</v>
      </c>
      <c r="CW45" s="22">
        <f t="shared" si="13"/>
        <v>299.33351098507438</v>
      </c>
      <c r="CX45" s="60">
        <f t="shared" si="14"/>
        <v>592.6668443184077</v>
      </c>
      <c r="CY45" s="60">
        <f ca="1">AVERAGE(OFFSET($CX$3,0,0,'Données projet'!$E$13+1,1))-AVERAGE(OFFSET($H$3,0,0,'Données projet'!$E$13+1,1))</f>
        <v>354.63118425028898</v>
      </c>
      <c r="CZ45" s="60">
        <f t="shared" si="42"/>
        <v>244.7141066773861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128.44416000000004</v>
      </c>
      <c r="DQ45" s="14">
        <f t="shared" si="43"/>
        <v>33.636598855068954</v>
      </c>
      <c r="DR45" s="22">
        <f t="shared" si="16"/>
        <v>282.29065500591184</v>
      </c>
      <c r="DS45" s="60">
        <f t="shared" si="17"/>
        <v>575.62398833924522</v>
      </c>
      <c r="DT45" s="60">
        <f ca="1">AVERAGE(OFFSET($DS$3,0,0,'Données projet'!$E$14+1,1))-AVERAGE(OFFSET($H$3,0,0,'Données projet'!$E$14+1,1))</f>
        <v>455.50822833641354</v>
      </c>
      <c r="DU45" s="60">
        <f t="shared" si="44"/>
        <v>261.14722581688039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311.32100000000003</v>
      </c>
      <c r="EH45" s="13">
        <f>VLOOKUP(A45,'Données projet'!$A$191:$I$211,9,0)</f>
        <v>13.198800000000006</v>
      </c>
      <c r="EI45" s="13">
        <f t="array" ref="EI45">INDEX(EH:EH,MIN(IF(ISNUMBER(EH45:EH241),ROW(EH45:EH241),"")))</f>
        <v>13.198800000000006</v>
      </c>
      <c r="EJ45" s="13">
        <f>IF('Données projet'!$A$192&gt;35,EJ44+EI45-ER44,IF(A45&lt;'Données projet'!$A$192,$EG$205^A45,IF(A45='Données projet'!$A$192,'Données projet'!$B$192,EJ44+EI45-ER44)))</f>
        <v>311.32100000000003</v>
      </c>
      <c r="EK45" s="18">
        <f>EJ45*VLOOKUP('Données projet'!$B$15,Paramètres!$A$1:$I$89,3,0)*VLOOKUP('Données projet'!$B$15,Paramètres!$A$1:$I$89,5,0)</f>
        <v>186.16995800000001</v>
      </c>
      <c r="EL45" s="14">
        <f t="shared" si="45"/>
        <v>46.692183981977394</v>
      </c>
      <c r="EM45" s="22">
        <f t="shared" si="19"/>
        <v>405.56823061861064</v>
      </c>
      <c r="EN45" s="60">
        <f t="shared" si="20"/>
        <v>698.9015639519439</v>
      </c>
      <c r="EO45" s="60">
        <f ca="1">AVERAGE(OFFSET($EN$3,0,0,'Données projet'!$E$15+1,1))-AVERAGE(OFFSET($H$3,0,0,'Données projet'!$E$15+1,1))</f>
        <v>207.03241199974599</v>
      </c>
      <c r="EP45" s="60">
        <f t="shared" si="46"/>
        <v>314.188568589113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10.645200835565744</v>
      </c>
      <c r="EW45" s="23">
        <f>EXP(-LN(2)/25)*EW44+(1-EXP(-LN(2)/25))/(LN(2)/25)*Calculateur!ER45*Calculateur!ET45*VLOOKUP('Données projet'!$B$15,Paramètres!$A$1:$I$89,3,0)*0.475*44/12</f>
        <v>6.9901114209544293</v>
      </c>
      <c r="EX45" s="23">
        <f>EXP(-LN(2)/2)*EX44+(1-EXP(-LN(2)/2))/(LN(2)/2)*ER45*EU45*VLOOKUP('Données projet'!$B$15,Paramètres!$A$1:$I$89,3,0)*0.475*44/12</f>
        <v>4.5694182764262653E-2</v>
      </c>
      <c r="EY45" s="24">
        <f t="shared" si="21"/>
        <v>17.681006439284435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 t="e">
        <f>N46*VLOOKUP('Données projet'!$B$9,Paramètres!$A$1:$I$89,3,0)*VLOOKUP('Données projet'!$B$9,Paramètres!$A$1:$I$89,5,0)</f>
        <v>#N/A</v>
      </c>
      <c r="P46" s="14" t="e">
        <f t="shared" si="33"/>
        <v>#N/A</v>
      </c>
      <c r="Q46" s="22" t="e">
        <f t="shared" si="53"/>
        <v>#N/A</v>
      </c>
      <c r="R46" s="60" t="e">
        <f t="shared" si="0"/>
        <v>#N/A</v>
      </c>
      <c r="S46" s="60" t="e">
        <f ca="1">AVERAGE(OFFSET($R$3,0,0,'Données projet'!$E$9+1,1))-AVERAGE(OFFSET($H$3,0,0,'Données projet'!$E$9+1,1))</f>
        <v>#N/A</v>
      </c>
      <c r="T46" s="60" t="e">
        <f t="shared" si="34"/>
        <v>#N/A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 t="e">
        <f>EXP(-LN(2)/35)*Z45+(1-EXP(-LN(2)/35))/(LN(2)/35)*V46*W46*VLOOKUP('Données projet'!$B$9,Paramètres!$A$1:$I$89,3,0)*0.475*44/12</f>
        <v>#N/A</v>
      </c>
      <c r="AA46" s="23" t="e">
        <f>EXP(-LN(2)/25)*AA45+(1-EXP(-LN(2)/25))/(LN(2)/25)*Calculateur!V46*Calculateur!X46*VLOOKUP('Données projet'!$B$9,Paramètres!$A$1:$I$89,3,0)*0.475*44/12</f>
        <v>#N/A</v>
      </c>
      <c r="AB46" s="23" t="e">
        <f>EXP(-LN(2)/2)*AB45+(1-EXP(-LN(2)/2))/(LN(2)/2)*V46*Y46*VLOOKUP('Données projet'!$B$9,Paramètres!$A$1:$I$89,3,0)*0.475*44/12</f>
        <v>#N/A</v>
      </c>
      <c r="AC46" s="24" t="e">
        <f t="shared" si="3"/>
        <v>#N/A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0">
        <f t="shared" si="5"/>
        <v>574.15179438724942</v>
      </c>
      <c r="AN46" s="60">
        <f ca="1">AVERAGE(OFFSET($AM$3,0,0,'Données projet'!$E$10+1,1))-AVERAGE(OFFSET($H$3,0,0,'Données projet'!$E$10+1,1))</f>
        <v>428.8489304403459</v>
      </c>
      <c r="AO46" s="60">
        <f t="shared" si="36"/>
        <v>247.01165577562966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18.714285714285715</v>
      </c>
      <c r="BD46" s="13">
        <f>IF('Données projet'!$A$88&gt;35,BD45+BC46-BL45,IF(A46&lt;'Données projet'!$A$88,$BA$205^A46,IF(A46='Données projet'!$A$88,'Données projet'!$B$88,BD45+BC46-BL45)))</f>
        <v>360.7142857142855</v>
      </c>
      <c r="BE46" s="14">
        <f>BD46*VLOOKUP('Données projet'!$B$11,Paramètres!$A$1:$I$89,3,0)*VLOOKUP('Données projet'!$B$11,Paramètres!$A$1:$I$89,5,0)</f>
        <v>201.63928571428559</v>
      </c>
      <c r="BF46" s="14">
        <f t="shared" si="37"/>
        <v>50.104261772905943</v>
      </c>
      <c r="BG46" s="22">
        <f t="shared" si="7"/>
        <v>438.45334520685856</v>
      </c>
      <c r="BH46" s="60">
        <f t="shared" si="8"/>
        <v>731.78667854019182</v>
      </c>
      <c r="BI46" s="60">
        <f ca="1">AVERAGE(OFFSET($BH$3,0,0,'Données projet'!$E$11+1,1))-AVERAGE(OFFSET($H$3,0,0,'Données projet'!$E$11+1,1))</f>
        <v>374.79806286316051</v>
      </c>
      <c r="BJ46" s="60">
        <f t="shared" si="38"/>
        <v>350.01856672839466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15.530067830596492</v>
      </c>
      <c r="BR46" s="23">
        <f>EXP(-LN(2)/2)*BR45+(1-EXP(-LN(2)/2))/(LN(2)/2)*BL46*BO46*VLOOKUP('Données projet'!$B$11,Paramètres!$A$1:$I$89,3,0)*0.475*44/12</f>
        <v>0.12161994719363077</v>
      </c>
      <c r="BS46" s="24">
        <f t="shared" si="9"/>
        <v>15.651687777790123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574.15179438724942</v>
      </c>
      <c r="CD46" s="60">
        <f ca="1">AVERAGE(OFFSET($CC$3,0,0,'Données projet'!$E$12+1,1))-AVERAGE(OFFSET($H$3,0,0,'Données projet'!$E$12+1,1))</f>
        <v>428.8489304403459</v>
      </c>
      <c r="CE46" s="60">
        <f t="shared" si="40"/>
        <v>247.01165577562966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5.6410256410256405</v>
      </c>
      <c r="CT46" s="13">
        <f>IF('Données projet'!$A$140&gt;35,CT45+CS46-DB45,IF(A46&lt;'Données projet'!$A$140,$CQ$205^A46,IF(A46='Données projet'!$A$140,'Données projet'!$B$140,CT45+CS46-DB45)))</f>
        <v>148.97435897435898</v>
      </c>
      <c r="CU46" s="18">
        <f>CT46*VLOOKUP('Données projet'!$B$13,Paramètres!$A$1:$I$89,3,0)*VLOOKUP('Données projet'!$B$13,Paramètres!$A$1:$I$89,5,0)</f>
        <v>141.76400000000001</v>
      </c>
      <c r="CV46" s="14">
        <f t="shared" si="41"/>
        <v>36.700818164211768</v>
      </c>
      <c r="CW46" s="22">
        <f t="shared" si="13"/>
        <v>310.8262249693355</v>
      </c>
      <c r="CX46" s="60">
        <f t="shared" si="14"/>
        <v>604.15955830266876</v>
      </c>
      <c r="CY46" s="60">
        <f ca="1">AVERAGE(OFFSET($CX$3,0,0,'Données projet'!$E$13+1,1))-AVERAGE(OFFSET($H$3,0,0,'Données projet'!$E$13+1,1))</f>
        <v>354.63118425028898</v>
      </c>
      <c r="CZ46" s="60">
        <f t="shared" si="42"/>
        <v>244.7141066773861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136.56864000000004</v>
      </c>
      <c r="DQ46" s="14">
        <f t="shared" si="43"/>
        <v>35.509797430964703</v>
      </c>
      <c r="DR46" s="22">
        <f t="shared" si="16"/>
        <v>299.70327852559694</v>
      </c>
      <c r="DS46" s="60">
        <f t="shared" si="17"/>
        <v>593.0366118589302</v>
      </c>
      <c r="DT46" s="60">
        <f ca="1">AVERAGE(OFFSET($DS$3,0,0,'Données projet'!$E$14+1,1))-AVERAGE(OFFSET($H$3,0,0,'Données projet'!$E$14+1,1))</f>
        <v>455.50822833641354</v>
      </c>
      <c r="DU46" s="60">
        <f t="shared" si="44"/>
        <v>261.14722581688039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13.234499999999969</v>
      </c>
      <c r="EJ46" s="13">
        <f>IF('Données projet'!$A$192&gt;35,EJ45+EI46-ER45,IF(A46&lt;'Données projet'!$A$192,$EG$205^A46,IF(A46='Données projet'!$A$192,'Données projet'!$B$192,EJ45+EI46-ER45)))</f>
        <v>324.55549999999999</v>
      </c>
      <c r="EK46" s="18">
        <f>EJ46*VLOOKUP('Données projet'!$B$15,Paramètres!$A$1:$I$89,3,0)*VLOOKUP('Données projet'!$B$15,Paramètres!$A$1:$I$89,5,0)</f>
        <v>194.08418900000004</v>
      </c>
      <c r="EL46" s="14">
        <f t="shared" si="45"/>
        <v>48.441788341086252</v>
      </c>
      <c r="EM46" s="22">
        <f t="shared" si="19"/>
        <v>422.39941053572528</v>
      </c>
      <c r="EN46" s="60">
        <f t="shared" si="20"/>
        <v>715.7327438690586</v>
      </c>
      <c r="EO46" s="60">
        <f ca="1">AVERAGE(OFFSET($EN$3,0,0,'Données projet'!$E$15+1,1))-AVERAGE(OFFSET($H$3,0,0,'Données projet'!$E$15+1,1))</f>
        <v>207.03241199974599</v>
      </c>
      <c r="EP46" s="60">
        <f t="shared" si="46"/>
        <v>314.188568589113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10.436454940111686</v>
      </c>
      <c r="EW46" s="23">
        <f>EXP(-LN(2)/25)*EW45+(1-EXP(-LN(2)/25))/(LN(2)/25)*Calculateur!ER46*Calculateur!ET46*VLOOKUP('Données projet'!$B$15,Paramètres!$A$1:$I$89,3,0)*0.475*44/12</f>
        <v>6.7989664565544468</v>
      </c>
      <c r="EX46" s="23">
        <f>EXP(-LN(2)/2)*EX45+(1-EXP(-LN(2)/2))/(LN(2)/2)*ER46*EU46*VLOOKUP('Données projet'!$B$15,Paramètres!$A$1:$I$89,3,0)*0.475*44/12</f>
        <v>3.2310666493387583E-2</v>
      </c>
      <c r="EY46" s="24">
        <f t="shared" si="21"/>
        <v>17.267732063159521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 t="e">
        <f>N47*VLOOKUP('Données projet'!$B$9,Paramètres!$A$1:$I$89,3,0)*VLOOKUP('Données projet'!$B$9,Paramètres!$A$1:$I$89,5,0)</f>
        <v>#N/A</v>
      </c>
      <c r="P47" s="14" t="e">
        <f t="shared" si="33"/>
        <v>#N/A</v>
      </c>
      <c r="Q47" s="22" t="e">
        <f t="shared" si="53"/>
        <v>#N/A</v>
      </c>
      <c r="R47" s="60" t="e">
        <f t="shared" si="0"/>
        <v>#N/A</v>
      </c>
      <c r="S47" s="60" t="e">
        <f ca="1">AVERAGE(OFFSET($R$3,0,0,'Données projet'!$E$9+1,1))-AVERAGE(OFFSET($H$3,0,0,'Données projet'!$E$9+1,1))</f>
        <v>#N/A</v>
      </c>
      <c r="T47" s="60" t="e">
        <f t="shared" si="34"/>
        <v>#N/A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 t="e">
        <f>EXP(-LN(2)/35)*Z46+(1-EXP(-LN(2)/35))/(LN(2)/35)*V47*W47*VLOOKUP('Données projet'!$B$9,Paramètres!$A$1:$I$89,3,0)*0.475*44/12</f>
        <v>#N/A</v>
      </c>
      <c r="AA47" s="23" t="e">
        <f>EXP(-LN(2)/25)*AA46+(1-EXP(-LN(2)/25))/(LN(2)/25)*Calculateur!V47*Calculateur!X47*VLOOKUP('Données projet'!$B$9,Paramètres!$A$1:$I$89,3,0)*0.475*44/12</f>
        <v>#N/A</v>
      </c>
      <c r="AB47" s="23" t="e">
        <f>EXP(-LN(2)/2)*AB46+(1-EXP(-LN(2)/2))/(LN(2)/2)*V47*Y47*VLOOKUP('Données projet'!$B$9,Paramètres!$A$1:$I$89,3,0)*0.475*44/12</f>
        <v>#N/A</v>
      </c>
      <c r="AC47" s="24" t="e">
        <f t="shared" si="3"/>
        <v>#N/A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0">
        <f t="shared" si="5"/>
        <v>590.44356897369653</v>
      </c>
      <c r="AN47" s="60">
        <f ca="1">AVERAGE(OFFSET($AM$3,0,0,'Données projet'!$E$10+1,1))-AVERAGE(OFFSET($H$3,0,0,'Données projet'!$E$10+1,1))</f>
        <v>428.8489304403459</v>
      </c>
      <c r="AO47" s="60">
        <f t="shared" si="36"/>
        <v>247.01165577562966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18.714285714285715</v>
      </c>
      <c r="BD47" s="13">
        <f>IF('Données projet'!$A$88&gt;35,BD46+BC47-BL46,IF(A47&lt;'Données projet'!$A$88,$BA$205^A47,IF(A47='Données projet'!$A$88,'Données projet'!$B$88,BD46+BC47-BL46)))</f>
        <v>379.42857142857122</v>
      </c>
      <c r="BE47" s="14">
        <f>BD47*VLOOKUP('Données projet'!$B$11,Paramètres!$A$1:$I$89,3,0)*VLOOKUP('Données projet'!$B$11,Paramètres!$A$1:$I$89,5,0)</f>
        <v>212.10057142857133</v>
      </c>
      <c r="BF47" s="14">
        <f t="shared" si="37"/>
        <v>52.394347167709434</v>
      </c>
      <c r="BG47" s="22">
        <f t="shared" si="7"/>
        <v>460.66198322185556</v>
      </c>
      <c r="BH47" s="60">
        <f t="shared" si="8"/>
        <v>753.99531655518888</v>
      </c>
      <c r="BI47" s="60">
        <f ca="1">AVERAGE(OFFSET($BH$3,0,0,'Données projet'!$E$11+1,1))-AVERAGE(OFFSET($H$3,0,0,'Données projet'!$E$11+1,1))</f>
        <v>374.79806286316051</v>
      </c>
      <c r="BJ47" s="60">
        <f t="shared" si="38"/>
        <v>350.01856672839466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15.105397309078057</v>
      </c>
      <c r="BR47" s="23">
        <f>EXP(-LN(2)/2)*BR46+(1-EXP(-LN(2)/2))/(LN(2)/2)*BL47*BO47*VLOOKUP('Données projet'!$B$11,Paramètres!$A$1:$I$89,3,0)*0.475*44/12</f>
        <v>8.5998289388166144E-2</v>
      </c>
      <c r="BS47" s="24">
        <f t="shared" si="9"/>
        <v>15.191395598466224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0">
        <f t="shared" si="11"/>
        <v>590.44356897369653</v>
      </c>
      <c r="CD47" s="60">
        <f ca="1">AVERAGE(OFFSET($CC$3,0,0,'Données projet'!$E$12+1,1))-AVERAGE(OFFSET($H$3,0,0,'Données projet'!$E$12+1,1))</f>
        <v>428.8489304403459</v>
      </c>
      <c r="CE47" s="60">
        <f t="shared" si="40"/>
        <v>247.01165577562966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5.6410256410256405</v>
      </c>
      <c r="CT47" s="13">
        <f>IF('Données projet'!$A$140&gt;35,CT46+CS47-DB46,IF(A47&lt;'Données projet'!$A$140,$CQ$205^A47,IF(A47='Données projet'!$A$140,'Données projet'!$B$140,CT46+CS47-DB46)))</f>
        <v>154.61538461538461</v>
      </c>
      <c r="CU47" s="18">
        <f>CT47*VLOOKUP('Données projet'!$B$13,Paramètres!$A$1:$I$89,3,0)*VLOOKUP('Données projet'!$B$13,Paramètres!$A$1:$I$89,5,0)</f>
        <v>147.13200000000001</v>
      </c>
      <c r="CV47" s="14">
        <f t="shared" si="41"/>
        <v>37.926091844382093</v>
      </c>
      <c r="CW47" s="22">
        <f t="shared" si="13"/>
        <v>322.30950996229876</v>
      </c>
      <c r="CX47" s="60">
        <f t="shared" si="14"/>
        <v>615.64284329563202</v>
      </c>
      <c r="CY47" s="60">
        <f ca="1">AVERAGE(OFFSET($CX$3,0,0,'Données projet'!$E$13+1,1))-AVERAGE(OFFSET($H$3,0,0,'Données projet'!$E$13+1,1))</f>
        <v>354.63118425028898</v>
      </c>
      <c r="CZ47" s="60">
        <f t="shared" si="42"/>
        <v>244.7141066773861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144.69312000000005</v>
      </c>
      <c r="DQ47" s="14">
        <f t="shared" si="43"/>
        <v>37.370061524802772</v>
      </c>
      <c r="DR47" s="22">
        <f t="shared" si="16"/>
        <v>317.09337448903153</v>
      </c>
      <c r="DS47" s="60">
        <f t="shared" si="17"/>
        <v>610.42670782236485</v>
      </c>
      <c r="DT47" s="60">
        <f ca="1">AVERAGE(OFFSET($DS$3,0,0,'Données projet'!$E$14+1,1))-AVERAGE(OFFSET($H$3,0,0,'Données projet'!$E$14+1,1))</f>
        <v>455.50822833641354</v>
      </c>
      <c r="DU47" s="60">
        <f t="shared" si="44"/>
        <v>261.14722581688039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337.78999999999996</v>
      </c>
      <c r="EH47" s="13">
        <f>VLOOKUP(A47,'Données projet'!$A$191:$I$211,9,0)</f>
        <v>13.234499999999969</v>
      </c>
      <c r="EI47" s="13">
        <f t="array" ref="EI47">INDEX(EH:EH,MIN(IF(ISNUMBER(EH47:EH243),ROW(EH47:EH243),"")))</f>
        <v>13.234499999999969</v>
      </c>
      <c r="EJ47" s="13">
        <f>IF('Données projet'!$A$192&gt;35,EJ46+EI47-ER46,IF(A47&lt;'Données projet'!$A$192,$EG$205^A47,IF(A47='Données projet'!$A$192,'Données projet'!$B$192,EJ46+EI47-ER46)))</f>
        <v>337.78999999999996</v>
      </c>
      <c r="EK47" s="18">
        <f>EJ47*VLOOKUP('Données projet'!$B$15,Paramètres!$A$1:$I$89,3,0)*VLOOKUP('Données projet'!$B$15,Paramètres!$A$1:$I$89,5,0)</f>
        <v>201.99842000000001</v>
      </c>
      <c r="EL47" s="14">
        <f t="shared" si="45"/>
        <v>50.183105491997878</v>
      </c>
      <c r="EM47" s="22">
        <f t="shared" si="19"/>
        <v>439.21615689856299</v>
      </c>
      <c r="EN47" s="60">
        <f t="shared" si="20"/>
        <v>732.54949023189624</v>
      </c>
      <c r="EO47" s="60">
        <f ca="1">AVERAGE(OFFSET($EN$3,0,0,'Données projet'!$E$15+1,1))-AVERAGE(OFFSET($H$3,0,0,'Données projet'!$E$15+1,1))</f>
        <v>207.03241199974599</v>
      </c>
      <c r="EP47" s="60">
        <f t="shared" si="46"/>
        <v>314.188568589113</v>
      </c>
      <c r="EQ47" s="16">
        <f>IF(ISNA(VLOOKUP(A47,'Données projet'!$A$191:$I$211,3,0)),0,VLOOKUP(A47,'Données projet'!$A$191:$I$211,3,0))</f>
        <v>5</v>
      </c>
      <c r="ER47" s="16">
        <f>IF(ISNA(VLOOKUP(A47,'Données projet'!$A$191:$I$211,4,0)),0,VLOOKUP(A47,'Données projet'!$A$191:$I$211,4,0))</f>
        <v>337.78999999999996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10.231802424345057</v>
      </c>
      <c r="EW47" s="23">
        <f>EXP(-LN(2)/25)*EW46+(1-EXP(-LN(2)/25))/(LN(2)/25)*Calculateur!ER47*Calculateur!ET47*VLOOKUP('Données projet'!$B$15,Paramètres!$A$1:$I$89,3,0)*0.475*44/12</f>
        <v>6.6130483612578583</v>
      </c>
      <c r="EX47" s="23">
        <f>EXP(-LN(2)/2)*EX46+(1-EXP(-LN(2)/2))/(LN(2)/2)*ER47*EU47*VLOOKUP('Données projet'!$B$15,Paramètres!$A$1:$I$89,3,0)*0.475*44/12</f>
        <v>2.2847091382131327E-2</v>
      </c>
      <c r="EY47" s="24">
        <f t="shared" si="21"/>
        <v>16.867697876985048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 t="e">
        <f>N48*VLOOKUP('Données projet'!$B$9,Paramètres!$A$1:$I$89,3,0)*VLOOKUP('Données projet'!$B$9,Paramètres!$A$1:$I$89,5,0)</f>
        <v>#N/A</v>
      </c>
      <c r="P48" s="14" t="e">
        <f t="shared" si="33"/>
        <v>#N/A</v>
      </c>
      <c r="Q48" s="22" t="e">
        <f t="shared" si="53"/>
        <v>#N/A</v>
      </c>
      <c r="R48" s="60" t="e">
        <f t="shared" si="0"/>
        <v>#N/A</v>
      </c>
      <c r="S48" s="60" t="e">
        <f ca="1">AVERAGE(OFFSET($R$3,0,0,'Données projet'!$E$9+1,1))-AVERAGE(OFFSET($H$3,0,0,'Données projet'!$E$9+1,1))</f>
        <v>#N/A</v>
      </c>
      <c r="T48" s="60" t="e">
        <f t="shared" si="34"/>
        <v>#N/A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 t="e">
        <f>EXP(-LN(2)/35)*Z47+(1-EXP(-LN(2)/35))/(LN(2)/35)*V48*W48*VLOOKUP('Données projet'!$B$9,Paramètres!$A$1:$I$89,3,0)*0.475*44/12</f>
        <v>#N/A</v>
      </c>
      <c r="AA48" s="23" t="e">
        <f>EXP(-LN(2)/25)*AA47+(1-EXP(-LN(2)/25))/(LN(2)/25)*Calculateur!V48*Calculateur!X48*VLOOKUP('Données projet'!$B$9,Paramètres!$A$1:$I$89,3,0)*0.475*44/12</f>
        <v>#N/A</v>
      </c>
      <c r="AB48" s="23" t="e">
        <f>EXP(-LN(2)/2)*AB47+(1-EXP(-LN(2)/2))/(LN(2)/2)*V48*Y48*VLOOKUP('Données projet'!$B$9,Paramètres!$A$1:$I$89,3,0)*0.475*44/12</f>
        <v>#N/A</v>
      </c>
      <c r="AC48" s="24" t="e">
        <f t="shared" si="3"/>
        <v>#N/A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0">
        <f t="shared" si="5"/>
        <v>606.71543359582972</v>
      </c>
      <c r="AN48" s="60">
        <f ca="1">AVERAGE(OFFSET($AM$3,0,0,'Données projet'!$E$10+1,1))-AVERAGE(OFFSET($H$3,0,0,'Données projet'!$E$10+1,1))</f>
        <v>428.8489304403459</v>
      </c>
      <c r="AO48" s="60">
        <f t="shared" si="36"/>
        <v>247.01165577562966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18.714285714285715</v>
      </c>
      <c r="BD48" s="13">
        <f>IF('Données projet'!$A$88&gt;35,BD47+BC48-BL47,IF(A48&lt;'Données projet'!$A$88,$BA$205^A48,IF(A48='Données projet'!$A$88,'Données projet'!$B$88,BD47+BC48-BL47)))</f>
        <v>398.14285714285694</v>
      </c>
      <c r="BE48" s="14">
        <f>BD48*VLOOKUP('Données projet'!$B$11,Paramètres!$A$1:$I$89,3,0)*VLOOKUP('Données projet'!$B$11,Paramètres!$A$1:$I$89,5,0)</f>
        <v>222.56185714285704</v>
      </c>
      <c r="BF48" s="14">
        <f t="shared" si="37"/>
        <v>54.671316974727738</v>
      </c>
      <c r="BG48" s="22">
        <f t="shared" si="7"/>
        <v>482.84777825479341</v>
      </c>
      <c r="BH48" s="60">
        <f t="shared" si="8"/>
        <v>776.18111158812667</v>
      </c>
      <c r="BI48" s="60">
        <f ca="1">AVERAGE(OFFSET($BH$3,0,0,'Données projet'!$E$11+1,1))-AVERAGE(OFFSET($H$3,0,0,'Données projet'!$E$11+1,1))</f>
        <v>374.79806286316051</v>
      </c>
      <c r="BJ48" s="60">
        <f t="shared" si="38"/>
        <v>350.01856672839466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14.692339425302997</v>
      </c>
      <c r="BR48" s="23">
        <f>EXP(-LN(2)/2)*BR47+(1-EXP(-LN(2)/2))/(LN(2)/2)*BL48*BO48*VLOOKUP('Données projet'!$B$11,Paramètres!$A$1:$I$89,3,0)*0.475*44/12</f>
        <v>6.0809973596815392E-2</v>
      </c>
      <c r="BS48" s="24">
        <f t="shared" si="9"/>
        <v>14.753149398899811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606.71543359582972</v>
      </c>
      <c r="CD48" s="60">
        <f ca="1">AVERAGE(OFFSET($CC$3,0,0,'Données projet'!$E$12+1,1))-AVERAGE(OFFSET($H$3,0,0,'Données projet'!$E$12+1,1))</f>
        <v>428.8489304403459</v>
      </c>
      <c r="CE48" s="60">
        <f t="shared" si="40"/>
        <v>247.01165577562966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160.25641025641025</v>
      </c>
      <c r="CR48" s="13">
        <f>VLOOKUP(A48,'Données projet'!$A$139:$I$159,9,0)</f>
        <v>5.6410256410256405</v>
      </c>
      <c r="CS48" s="13">
        <f t="array" ref="CS48">INDEX(CR:CR,MIN(IF(ISNUMBER(CR48:CR244),ROW(CR48:CR244),"")))</f>
        <v>5.6410256410256405</v>
      </c>
      <c r="CT48" s="13">
        <f>IF('Données projet'!$A$140&gt;35,CT47+CS48-DB47,IF(A48&lt;'Données projet'!$A$140,$CQ$205^A48,IF(A48='Données projet'!$A$140,'Données projet'!$B$140,CT47+CS48-DB47)))</f>
        <v>160.25641025641025</v>
      </c>
      <c r="CU48" s="18">
        <f>CT48*VLOOKUP('Données projet'!$B$13,Paramètres!$A$1:$I$89,3,0)*VLOOKUP('Données projet'!$B$13,Paramètres!$A$1:$I$89,5,0)</f>
        <v>152.5</v>
      </c>
      <c r="CV48" s="14">
        <f t="shared" si="41"/>
        <v>39.146171889962673</v>
      </c>
      <c r="CW48" s="22">
        <f t="shared" si="13"/>
        <v>333.78374937501832</v>
      </c>
      <c r="CX48" s="60">
        <f t="shared" si="14"/>
        <v>627.11708270835163</v>
      </c>
      <c r="CY48" s="60">
        <f ca="1">AVERAGE(OFFSET($CX$3,0,0,'Données projet'!$E$13+1,1))-AVERAGE(OFFSET($H$3,0,0,'Données projet'!$E$13+1,1))</f>
        <v>354.63118425028898</v>
      </c>
      <c r="CZ48" s="60">
        <f t="shared" si="42"/>
        <v>244.7141066773861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28.205128205128204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152.81760000000006</v>
      </c>
      <c r="DQ48" s="14">
        <f t="shared" si="43"/>
        <v>39.218200171484227</v>
      </c>
      <c r="DR48" s="22">
        <f t="shared" si="16"/>
        <v>334.46235196533513</v>
      </c>
      <c r="DS48" s="60">
        <f t="shared" si="17"/>
        <v>627.79568529866845</v>
      </c>
      <c r="DT48" s="60">
        <f ca="1">AVERAGE(OFFSET($DS$3,0,0,'Données projet'!$E$14+1,1))-AVERAGE(OFFSET($H$3,0,0,'Données projet'!$E$14+1,1))</f>
        <v>455.50822833641354</v>
      </c>
      <c r="DU48" s="60">
        <f t="shared" si="44"/>
        <v>261.14722581688039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>
        <f>EJ48*VLOOKUP('Données projet'!$B$15,Paramètres!$A$1:$I$89,3,0)*VLOOKUP('Données projet'!$B$15,Paramètres!$A$1:$I$89,5,0)</f>
        <v>0</v>
      </c>
      <c r="EL48" s="14" t="e">
        <f t="shared" si="45"/>
        <v>#NUM!</v>
      </c>
      <c r="EM48" s="22" t="e">
        <f t="shared" si="19"/>
        <v>#NUM!</v>
      </c>
      <c r="EN48" s="60" t="e">
        <f t="shared" si="20"/>
        <v>#NUM!</v>
      </c>
      <c r="EO48" s="60">
        <f ca="1">AVERAGE(OFFSET($EN$3,0,0,'Données projet'!$E$15+1,1))-AVERAGE(OFFSET($H$3,0,0,'Données projet'!$E$15+1,1))</f>
        <v>207.03241199974599</v>
      </c>
      <c r="EP48" s="60">
        <f t="shared" si="46"/>
        <v>314.188568589113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10.031163019586904</v>
      </c>
      <c r="EW48" s="23">
        <f>EXP(-LN(2)/25)*EW47+(1-EXP(-LN(2)/25))/(LN(2)/25)*Calculateur!ER48*Calculateur!ET48*VLOOKUP('Données projet'!$B$15,Paramètres!$A$1:$I$89,3,0)*0.475*44/12</f>
        <v>6.4322142060541632</v>
      </c>
      <c r="EX48" s="23">
        <f>EXP(-LN(2)/2)*EX47+(1-EXP(-LN(2)/2))/(LN(2)/2)*ER48*EU48*VLOOKUP('Données projet'!$B$15,Paramètres!$A$1:$I$89,3,0)*0.475*44/12</f>
        <v>1.6155333246693791E-2</v>
      </c>
      <c r="EY48" s="24">
        <f t="shared" si="21"/>
        <v>16.479532558887762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 t="e">
        <f>N49*VLOOKUP('Données projet'!$B$9,Paramètres!$A$1:$I$89,3,0)*VLOOKUP('Données projet'!$B$9,Paramètres!$A$1:$I$89,5,0)</f>
        <v>#N/A</v>
      </c>
      <c r="P49" s="14" t="e">
        <f t="shared" si="33"/>
        <v>#N/A</v>
      </c>
      <c r="Q49" s="22" t="e">
        <f t="shared" si="53"/>
        <v>#N/A</v>
      </c>
      <c r="R49" s="60" t="e">
        <f t="shared" si="0"/>
        <v>#N/A</v>
      </c>
      <c r="S49" s="60" t="e">
        <f ca="1">AVERAGE(OFFSET($R$3,0,0,'Données projet'!$E$9+1,1))-AVERAGE(OFFSET($H$3,0,0,'Données projet'!$E$9+1,1))</f>
        <v>#N/A</v>
      </c>
      <c r="T49" s="60" t="e">
        <f t="shared" si="34"/>
        <v>#N/A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 t="e">
        <f>EXP(-LN(2)/35)*Z48+(1-EXP(-LN(2)/35))/(LN(2)/35)*V49*W49*VLOOKUP('Données projet'!$B$9,Paramètres!$A$1:$I$89,3,0)*0.475*44/12</f>
        <v>#N/A</v>
      </c>
      <c r="AA49" s="23" t="e">
        <f>EXP(-LN(2)/25)*AA48+(1-EXP(-LN(2)/25))/(LN(2)/25)*Calculateur!V49*Calculateur!X49*VLOOKUP('Données projet'!$B$9,Paramètres!$A$1:$I$89,3,0)*0.475*44/12</f>
        <v>#N/A</v>
      </c>
      <c r="AB49" s="23" t="e">
        <f>EXP(-LN(2)/2)*AB48+(1-EXP(-LN(2)/2))/(LN(2)/2)*V49*Y49*VLOOKUP('Données projet'!$B$9,Paramètres!$A$1:$I$89,3,0)*0.475*44/12</f>
        <v>#N/A</v>
      </c>
      <c r="AC49" s="24" t="e">
        <f t="shared" si="3"/>
        <v>#N/A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0">
        <f t="shared" si="5"/>
        <v>622.58179746983251</v>
      </c>
      <c r="AN49" s="60">
        <f ca="1">AVERAGE(OFFSET($AM$3,0,0,'Données projet'!$E$10+1,1))-AVERAGE(OFFSET($H$3,0,0,'Données projet'!$E$10+1,1))</f>
        <v>428.8489304403459</v>
      </c>
      <c r="AO49" s="60">
        <f t="shared" si="36"/>
        <v>247.01165577562966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18.714285714285715</v>
      </c>
      <c r="BD49" s="13">
        <f>IF('Données projet'!$A$88&gt;35,BD48+BC49-BL48,IF(A49&lt;'Données projet'!$A$88,$BA$205^A49,IF(A49='Données projet'!$A$88,'Données projet'!$B$88,BD48+BC49-BL48)))</f>
        <v>416.85714285714266</v>
      </c>
      <c r="BE49" s="14">
        <f>BD49*VLOOKUP('Données projet'!$B$11,Paramètres!$A$1:$I$89,3,0)*VLOOKUP('Données projet'!$B$11,Paramètres!$A$1:$I$89,5,0)</f>
        <v>233.02314285714277</v>
      </c>
      <c r="BF49" s="14">
        <f t="shared" si="37"/>
        <v>56.935858075040223</v>
      </c>
      <c r="BG49" s="22">
        <f t="shared" si="7"/>
        <v>505.01192662355203</v>
      </c>
      <c r="BH49" s="60">
        <f t="shared" si="8"/>
        <v>798.34525995688534</v>
      </c>
      <c r="BI49" s="60">
        <f ca="1">AVERAGE(OFFSET($BH$3,0,0,'Données projet'!$E$11+1,1))-AVERAGE(OFFSET($H$3,0,0,'Données projet'!$E$11+1,1))</f>
        <v>374.79806286316051</v>
      </c>
      <c r="BJ49" s="60">
        <f t="shared" si="38"/>
        <v>350.01856672839466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14.290576631081535</v>
      </c>
      <c r="BR49" s="23">
        <f>EXP(-LN(2)/2)*BR48+(1-EXP(-LN(2)/2))/(LN(2)/2)*BL49*BO49*VLOOKUP('Données projet'!$B$11,Paramètres!$A$1:$I$89,3,0)*0.475*44/12</f>
        <v>4.2999144694083079E-2</v>
      </c>
      <c r="BS49" s="24">
        <f t="shared" si="9"/>
        <v>14.333575775775618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150.37776000000002</v>
      </c>
      <c r="CA49" s="14">
        <f t="shared" si="39"/>
        <v>38.664420365454049</v>
      </c>
      <c r="CB49" s="22">
        <f t="shared" si="10"/>
        <v>329.24846413649914</v>
      </c>
      <c r="CC49" s="60">
        <f t="shared" si="11"/>
        <v>622.58179746983251</v>
      </c>
      <c r="CD49" s="60">
        <f ca="1">AVERAGE(OFFSET($CC$3,0,0,'Données projet'!$E$12+1,1))-AVERAGE(OFFSET($H$3,0,0,'Données projet'!$E$12+1,1))</f>
        <v>428.8489304403459</v>
      </c>
      <c r="CE49" s="60">
        <f t="shared" si="40"/>
        <v>247.01165577562966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5.2564102564102537</v>
      </c>
      <c r="CT49" s="13">
        <f>IF('Données projet'!$A$140&gt;35,CT48+CS49-DB48,IF(A49&lt;'Données projet'!$A$140,$CQ$205^A49,IF(A49='Données projet'!$A$140,'Données projet'!$B$140,CT48+CS49-DB48)))</f>
        <v>137.30769230769229</v>
      </c>
      <c r="CU49" s="18">
        <f>CT49*VLOOKUP('Données projet'!$B$13,Paramètres!$A$1:$I$89,3,0)*VLOOKUP('Données projet'!$B$13,Paramètres!$A$1:$I$89,5,0)</f>
        <v>130.66199999999998</v>
      </c>
      <c r="CV49" s="14">
        <f t="shared" si="41"/>
        <v>34.149282845527253</v>
      </c>
      <c r="CW49" s="22">
        <f t="shared" si="13"/>
        <v>287.04631762262659</v>
      </c>
      <c r="CX49" s="60">
        <f t="shared" si="14"/>
        <v>580.37965095595996</v>
      </c>
      <c r="CY49" s="60">
        <f ca="1">AVERAGE(OFFSET($CX$3,0,0,'Données projet'!$E$13+1,1))-AVERAGE(OFFSET($H$3,0,0,'Données projet'!$E$13+1,1))</f>
        <v>354.63118425028898</v>
      </c>
      <c r="CZ49" s="60">
        <f t="shared" si="42"/>
        <v>244.7141066773861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160.74864000000005</v>
      </c>
      <c r="DQ49" s="14">
        <f t="shared" si="43"/>
        <v>41.011327345272264</v>
      </c>
      <c r="DR49" s="22">
        <f t="shared" si="16"/>
        <v>351.39860979301596</v>
      </c>
      <c r="DS49" s="60">
        <f t="shared" si="17"/>
        <v>644.73194312634928</v>
      </c>
      <c r="DT49" s="60">
        <f ca="1">AVERAGE(OFFSET($DS$3,0,0,'Données projet'!$E$14+1,1))-AVERAGE(OFFSET($H$3,0,0,'Données projet'!$E$14+1,1))</f>
        <v>455.50822833641354</v>
      </c>
      <c r="DU49" s="60">
        <f t="shared" si="44"/>
        <v>261.14722581688039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>
        <f>EJ49*VLOOKUP('Données projet'!$B$15,Paramètres!$A$1:$I$89,3,0)*VLOOKUP('Données projet'!$B$15,Paramètres!$A$1:$I$89,5,0)</f>
        <v>0</v>
      </c>
      <c r="EL49" s="14" t="e">
        <f t="shared" si="45"/>
        <v>#NUM!</v>
      </c>
      <c r="EM49" s="22" t="e">
        <f t="shared" si="19"/>
        <v>#NUM!</v>
      </c>
      <c r="EN49" s="60" t="e">
        <f t="shared" si="20"/>
        <v>#NUM!</v>
      </c>
      <c r="EO49" s="60">
        <f ca="1">AVERAGE(OFFSET($EN$3,0,0,'Données projet'!$E$15+1,1))-AVERAGE(OFFSET($H$3,0,0,'Données projet'!$E$15+1,1))</f>
        <v>207.03241199974599</v>
      </c>
      <c r="EP49" s="60">
        <f t="shared" si="46"/>
        <v>314.188568589113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9.8344580311781051</v>
      </c>
      <c r="EW49" s="23">
        <f>EXP(-LN(2)/25)*EW48+(1-EXP(-LN(2)/25))/(LN(2)/25)*Calculateur!ER49*Calculateur!ET49*VLOOKUP('Données projet'!$B$15,Paramètres!$A$1:$I$89,3,0)*0.475*44/12</f>
        <v>6.2563249703341679</v>
      </c>
      <c r="EX49" s="23">
        <f>EXP(-LN(2)/2)*EX48+(1-EXP(-LN(2)/2))/(LN(2)/2)*ER49*EU49*VLOOKUP('Données projet'!$B$15,Paramètres!$A$1:$I$89,3,0)*0.475*44/12</f>
        <v>1.1423545691065663E-2</v>
      </c>
      <c r="EY49" s="24">
        <f t="shared" si="21"/>
        <v>16.102206547203338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 t="e">
        <f>N50*VLOOKUP('Données projet'!$B$9,Paramètres!$A$1:$I$89,3,0)*VLOOKUP('Données projet'!$B$9,Paramètres!$A$1:$I$89,5,0)</f>
        <v>#N/A</v>
      </c>
      <c r="P50" s="14" t="e">
        <f t="shared" si="33"/>
        <v>#N/A</v>
      </c>
      <c r="Q50" s="22" t="e">
        <f t="shared" si="53"/>
        <v>#N/A</v>
      </c>
      <c r="R50" s="60" t="e">
        <f t="shared" si="0"/>
        <v>#N/A</v>
      </c>
      <c r="S50" s="60" t="e">
        <f ca="1">AVERAGE(OFFSET($R$3,0,0,'Données projet'!$E$9+1,1))-AVERAGE(OFFSET($H$3,0,0,'Données projet'!$E$9+1,1))</f>
        <v>#N/A</v>
      </c>
      <c r="T50" s="60" t="e">
        <f t="shared" si="34"/>
        <v>#N/A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 t="e">
        <f>EXP(-LN(2)/35)*Z49+(1-EXP(-LN(2)/35))/(LN(2)/35)*V50*W50*VLOOKUP('Données projet'!$B$9,Paramètres!$A$1:$I$89,3,0)*0.475*44/12</f>
        <v>#N/A</v>
      </c>
      <c r="AA50" s="23" t="e">
        <f>EXP(-LN(2)/25)*AA49+(1-EXP(-LN(2)/25))/(LN(2)/25)*Calculateur!V50*Calculateur!X50*VLOOKUP('Données projet'!$B$9,Paramètres!$A$1:$I$89,3,0)*0.475*44/12</f>
        <v>#N/A</v>
      </c>
      <c r="AB50" s="23" t="e">
        <f>EXP(-LN(2)/2)*AB49+(1-EXP(-LN(2)/2))/(LN(2)/2)*V50*Y50*VLOOKUP('Données projet'!$B$9,Paramètres!$A$1:$I$89,3,0)*0.475*44/12</f>
        <v>#N/A</v>
      </c>
      <c r="AC50" s="24" t="e">
        <f t="shared" si="3"/>
        <v>#N/A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0">
        <f t="shared" si="5"/>
        <v>638.43129351369294</v>
      </c>
      <c r="AN50" s="60">
        <f ca="1">AVERAGE(OFFSET($AM$3,0,0,'Données projet'!$E$10+1,1))-AVERAGE(OFFSET($H$3,0,0,'Données projet'!$E$10+1,1))</f>
        <v>428.8489304403459</v>
      </c>
      <c r="AO50" s="60">
        <f t="shared" si="36"/>
        <v>247.01165577562966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18.714285714285715</v>
      </c>
      <c r="BD50" s="13">
        <f>IF('Données projet'!$A$88&gt;35,BD49+BC50-BL49,IF(A50&lt;'Données projet'!$A$88,$BA$205^A50,IF(A50='Données projet'!$A$88,'Données projet'!$B$88,BD49+BC50-BL49)))</f>
        <v>435.57142857142838</v>
      </c>
      <c r="BE50" s="14">
        <f>BD50*VLOOKUP('Données projet'!$B$11,Paramètres!$A$1:$I$89,3,0)*VLOOKUP('Données projet'!$B$11,Paramètres!$A$1:$I$89,5,0)</f>
        <v>243.48442857142848</v>
      </c>
      <c r="BF50" s="14">
        <f t="shared" si="37"/>
        <v>59.188592189821975</v>
      </c>
      <c r="BG50" s="22">
        <f t="shared" si="7"/>
        <v>527.15551115917788</v>
      </c>
      <c r="BH50" s="60">
        <f t="shared" si="8"/>
        <v>820.48884449251113</v>
      </c>
      <c r="BI50" s="60">
        <f ca="1">AVERAGE(OFFSET($BH$3,0,0,'Données projet'!$E$11+1,1))-AVERAGE(OFFSET($H$3,0,0,'Données projet'!$E$11+1,1))</f>
        <v>374.79806286316051</v>
      </c>
      <c r="BJ50" s="60">
        <f t="shared" si="38"/>
        <v>350.01856672839466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13.899800061595847</v>
      </c>
      <c r="BR50" s="23">
        <f>EXP(-LN(2)/2)*BR49+(1-EXP(-LN(2)/2))/(LN(2)/2)*BL50*BO50*VLOOKUP('Données projet'!$B$11,Paramètres!$A$1:$I$89,3,0)*0.475*44/12</f>
        <v>3.0404986798407703E-2</v>
      </c>
      <c r="BS50" s="24">
        <f t="shared" si="9"/>
        <v>13.930205048394255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157.79712000000004</v>
      </c>
      <c r="CA50" s="14">
        <f t="shared" si="39"/>
        <v>40.345249481546155</v>
      </c>
      <c r="CB50" s="22">
        <f t="shared" si="10"/>
        <v>345.09796018035962</v>
      </c>
      <c r="CC50" s="60">
        <f t="shared" si="11"/>
        <v>638.43129351369294</v>
      </c>
      <c r="CD50" s="60">
        <f ca="1">AVERAGE(OFFSET($CC$3,0,0,'Données projet'!$E$12+1,1))-AVERAGE(OFFSET($H$3,0,0,'Données projet'!$E$12+1,1))</f>
        <v>428.8489304403459</v>
      </c>
      <c r="CE50" s="60">
        <f t="shared" si="40"/>
        <v>247.01165577562966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5.2564102564102537</v>
      </c>
      <c r="CT50" s="13">
        <f>IF('Données projet'!$A$140&gt;35,CT49+CS50-DB49,IF(A50&lt;'Données projet'!$A$140,$CQ$205^A50,IF(A50='Données projet'!$A$140,'Données projet'!$B$140,CT49+CS50-DB49)))</f>
        <v>142.56410256410254</v>
      </c>
      <c r="CU50" s="18">
        <f>CT50*VLOOKUP('Données projet'!$B$13,Paramètres!$A$1:$I$89,3,0)*VLOOKUP('Données projet'!$B$13,Paramètres!$A$1:$I$89,5,0)</f>
        <v>135.66399999999999</v>
      </c>
      <c r="CV50" s="14">
        <f t="shared" si="41"/>
        <v>35.301877311719494</v>
      </c>
      <c r="CW50" s="22">
        <f t="shared" si="13"/>
        <v>297.76556965124479</v>
      </c>
      <c r="CX50" s="60">
        <f t="shared" si="14"/>
        <v>591.0989029845781</v>
      </c>
      <c r="CY50" s="60">
        <f ca="1">AVERAGE(OFFSET($CX$3,0,0,'Données projet'!$E$13+1,1))-AVERAGE(OFFSET($H$3,0,0,'Données projet'!$E$13+1,1))</f>
        <v>354.63118425028898</v>
      </c>
      <c r="CZ50" s="60">
        <f t="shared" si="42"/>
        <v>244.7141066773861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168.67968000000002</v>
      </c>
      <c r="DQ50" s="14">
        <f t="shared" si="43"/>
        <v>42.794181774227013</v>
      </c>
      <c r="DR50" s="22">
        <f t="shared" si="16"/>
        <v>368.3169759234454</v>
      </c>
      <c r="DS50" s="60">
        <f t="shared" si="17"/>
        <v>661.65030925677866</v>
      </c>
      <c r="DT50" s="60">
        <f ca="1">AVERAGE(OFFSET($DS$3,0,0,'Données projet'!$E$14+1,1))-AVERAGE(OFFSET($H$3,0,0,'Données projet'!$E$14+1,1))</f>
        <v>455.50822833641354</v>
      </c>
      <c r="DU50" s="60">
        <f t="shared" si="44"/>
        <v>261.14722581688039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>
        <f>EJ50*VLOOKUP('Données projet'!$B$15,Paramètres!$A$1:$I$89,3,0)*VLOOKUP('Données projet'!$B$15,Paramètres!$A$1:$I$89,5,0)</f>
        <v>0</v>
      </c>
      <c r="EL50" s="14" t="e">
        <f t="shared" si="45"/>
        <v>#NUM!</v>
      </c>
      <c r="EM50" s="22" t="e">
        <f t="shared" si="19"/>
        <v>#NUM!</v>
      </c>
      <c r="EN50" s="60" t="e">
        <f t="shared" si="20"/>
        <v>#NUM!</v>
      </c>
      <c r="EO50" s="60">
        <f ca="1">AVERAGE(OFFSET($EN$3,0,0,'Données projet'!$E$15+1,1))-AVERAGE(OFFSET($H$3,0,0,'Données projet'!$E$15+1,1))</f>
        <v>207.03241199974599</v>
      </c>
      <c r="EP50" s="60">
        <f t="shared" si="46"/>
        <v>314.188568589113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9.6416103076138064</v>
      </c>
      <c r="EW50" s="23">
        <f>EXP(-LN(2)/25)*EW49+(1-EXP(-LN(2)/25))/(LN(2)/25)*Calculateur!ER50*Calculateur!ET50*VLOOKUP('Données projet'!$B$15,Paramètres!$A$1:$I$89,3,0)*0.475*44/12</f>
        <v>6.0852454350145493</v>
      </c>
      <c r="EX50" s="23">
        <f>EXP(-LN(2)/2)*EX49+(1-EXP(-LN(2)/2))/(LN(2)/2)*ER50*EU50*VLOOKUP('Données projet'!$B$15,Paramètres!$A$1:$I$89,3,0)*0.475*44/12</f>
        <v>8.0776666233468956E-3</v>
      </c>
      <c r="EY50" s="24">
        <f t="shared" si="21"/>
        <v>15.734933409251703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 t="e">
        <f>N51*VLOOKUP('Données projet'!$B$9,Paramètres!$A$1:$I$89,3,0)*VLOOKUP('Données projet'!$B$9,Paramètres!$A$1:$I$89,5,0)</f>
        <v>#N/A</v>
      </c>
      <c r="P51" s="14" t="e">
        <f t="shared" si="33"/>
        <v>#N/A</v>
      </c>
      <c r="Q51" s="22" t="e">
        <f t="shared" si="53"/>
        <v>#N/A</v>
      </c>
      <c r="R51" s="60" t="e">
        <f t="shared" si="0"/>
        <v>#N/A</v>
      </c>
      <c r="S51" s="60" t="e">
        <f ca="1">AVERAGE(OFFSET($R$3,0,0,'Données projet'!$E$9+1,1))-AVERAGE(OFFSET($H$3,0,0,'Données projet'!$E$9+1,1))</f>
        <v>#N/A</v>
      </c>
      <c r="T51" s="60" t="e">
        <f t="shared" si="34"/>
        <v>#N/A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 t="e">
        <f>EXP(-LN(2)/35)*Z50+(1-EXP(-LN(2)/35))/(LN(2)/35)*V51*W51*VLOOKUP('Données projet'!$B$9,Paramètres!$A$1:$I$89,3,0)*0.475*44/12</f>
        <v>#N/A</v>
      </c>
      <c r="AA51" s="23" t="e">
        <f>EXP(-LN(2)/25)*AA50+(1-EXP(-LN(2)/25))/(LN(2)/25)*Calculateur!V51*Calculateur!X51*VLOOKUP('Données projet'!$B$9,Paramètres!$A$1:$I$89,3,0)*0.475*44/12</f>
        <v>#N/A</v>
      </c>
      <c r="AB51" s="23" t="e">
        <f>EXP(-LN(2)/2)*AB50+(1-EXP(-LN(2)/2))/(LN(2)/2)*V51*Y51*VLOOKUP('Données projet'!$B$9,Paramètres!$A$1:$I$89,3,0)*0.475*44/12</f>
        <v>#N/A</v>
      </c>
      <c r="AC51" s="24" t="e">
        <f t="shared" si="3"/>
        <v>#N/A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0">
        <f t="shared" si="5"/>
        <v>654.26480538883823</v>
      </c>
      <c r="AN51" s="60">
        <f ca="1">AVERAGE(OFFSET($AM$3,0,0,'Données projet'!$E$10+1,1))-AVERAGE(OFFSET($H$3,0,0,'Données projet'!$E$10+1,1))</f>
        <v>428.8489304403459</v>
      </c>
      <c r="AO51" s="60">
        <f t="shared" si="36"/>
        <v>247.01165577562966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18.714285714285715</v>
      </c>
      <c r="BD51" s="13">
        <f>IF('Données projet'!$A$88&gt;35,BD50+BC51-BL50,IF(A51&lt;'Données projet'!$A$88,$BA$205^A51,IF(A51='Données projet'!$A$88,'Données projet'!$B$88,BD50+BC51-BL50)))</f>
        <v>454.28571428571411</v>
      </c>
      <c r="BE51" s="14">
        <f>BD51*VLOOKUP('Données projet'!$B$11,Paramètres!$A$1:$I$89,3,0)*VLOOKUP('Données projet'!$B$11,Paramètres!$A$1:$I$89,5,0)</f>
        <v>253.94571428571419</v>
      </c>
      <c r="BF51" s="14">
        <f t="shared" si="37"/>
        <v>61.430084594341928</v>
      </c>
      <c r="BG51" s="22">
        <f t="shared" si="7"/>
        <v>549.27951638276431</v>
      </c>
      <c r="BH51" s="60">
        <f t="shared" si="8"/>
        <v>842.61284971609757</v>
      </c>
      <c r="BI51" s="60">
        <f ca="1">AVERAGE(OFFSET($BH$3,0,0,'Données projet'!$E$11+1,1))-AVERAGE(OFFSET($H$3,0,0,'Données projet'!$E$11+1,1))</f>
        <v>374.79806286316051</v>
      </c>
      <c r="BJ51" s="60">
        <f t="shared" si="38"/>
        <v>350.01856672839466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13.519709297952792</v>
      </c>
      <c r="BR51" s="23">
        <f>EXP(-LN(2)/2)*BR50+(1-EXP(-LN(2)/2))/(LN(2)/2)*BL51*BO51*VLOOKUP('Données projet'!$B$11,Paramètres!$A$1:$I$89,3,0)*0.475*44/12</f>
        <v>2.1499572347041543E-2</v>
      </c>
      <c r="BS51" s="24">
        <f t="shared" si="9"/>
        <v>13.541208870299833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165.21648000000002</v>
      </c>
      <c r="CA51" s="14">
        <f t="shared" si="39"/>
        <v>42.016901084500397</v>
      </c>
      <c r="CB51" s="22">
        <f t="shared" si="10"/>
        <v>360.93147205550491</v>
      </c>
      <c r="CC51" s="60">
        <f t="shared" si="11"/>
        <v>654.26480538883823</v>
      </c>
      <c r="CD51" s="60">
        <f ca="1">AVERAGE(OFFSET($CC$3,0,0,'Données projet'!$E$12+1,1))-AVERAGE(OFFSET($H$3,0,0,'Données projet'!$E$12+1,1))</f>
        <v>428.8489304403459</v>
      </c>
      <c r="CE51" s="60">
        <f t="shared" si="40"/>
        <v>247.01165577562966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5.2564102564102537</v>
      </c>
      <c r="CT51" s="13">
        <f>IF('Données projet'!$A$140&gt;35,CT50+CS51-DB50,IF(A51&lt;'Données projet'!$A$140,$CQ$205^A51,IF(A51='Données projet'!$A$140,'Données projet'!$B$140,CT50+CS51-DB50)))</f>
        <v>147.82051282051279</v>
      </c>
      <c r="CU51" s="18">
        <f>CT51*VLOOKUP('Données projet'!$B$13,Paramètres!$A$1:$I$89,3,0)*VLOOKUP('Données projet'!$B$13,Paramètres!$A$1:$I$89,5,0)</f>
        <v>140.66599999999997</v>
      </c>
      <c r="CV51" s="14">
        <f t="shared" si="41"/>
        <v>36.449534575573686</v>
      </c>
      <c r="CW51" s="22">
        <f t="shared" si="13"/>
        <v>308.47622271912411</v>
      </c>
      <c r="CX51" s="60">
        <f t="shared" si="14"/>
        <v>601.80955605245742</v>
      </c>
      <c r="CY51" s="60">
        <f ca="1">AVERAGE(OFFSET($CX$3,0,0,'Données projet'!$E$13+1,1))-AVERAGE(OFFSET($H$3,0,0,'Données projet'!$E$13+1,1))</f>
        <v>354.63118425028898</v>
      </c>
      <c r="CZ51" s="60">
        <f t="shared" si="42"/>
        <v>244.7141066773861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176.61072000000004</v>
      </c>
      <c r="DQ51" s="14">
        <f t="shared" si="43"/>
        <v>44.56730162053563</v>
      </c>
      <c r="DR51" s="22">
        <f t="shared" si="16"/>
        <v>385.21838765576626</v>
      </c>
      <c r="DS51" s="60">
        <f t="shared" si="17"/>
        <v>678.55172098909952</v>
      </c>
      <c r="DT51" s="60">
        <f ca="1">AVERAGE(OFFSET($DS$3,0,0,'Données projet'!$E$14+1,1))-AVERAGE(OFFSET($H$3,0,0,'Données projet'!$E$14+1,1))</f>
        <v>455.50822833641354</v>
      </c>
      <c r="DU51" s="60">
        <f t="shared" si="44"/>
        <v>261.14722581688039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>
        <f>EJ51*VLOOKUP('Données projet'!$B$15,Paramètres!$A$1:$I$89,3,0)*VLOOKUP('Données projet'!$B$15,Paramètres!$A$1:$I$89,5,0)</f>
        <v>0</v>
      </c>
      <c r="EL51" s="14" t="e">
        <f t="shared" si="45"/>
        <v>#NUM!</v>
      </c>
      <c r="EM51" s="22" t="e">
        <f t="shared" si="19"/>
        <v>#NUM!</v>
      </c>
      <c r="EN51" s="60" t="e">
        <f t="shared" si="20"/>
        <v>#NUM!</v>
      </c>
      <c r="EO51" s="60">
        <f ca="1">AVERAGE(OFFSET($EN$3,0,0,'Données projet'!$E$15+1,1))-AVERAGE(OFFSET($H$3,0,0,'Données projet'!$E$15+1,1))</f>
        <v>207.03241199974599</v>
      </c>
      <c r="EP51" s="60">
        <f t="shared" si="46"/>
        <v>314.188568589113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9.4525442102831061</v>
      </c>
      <c r="EW51" s="23">
        <f>EXP(-LN(2)/25)*EW50+(1-EXP(-LN(2)/25))/(LN(2)/25)*Calculateur!ER51*Calculateur!ET51*VLOOKUP('Données projet'!$B$15,Paramètres!$A$1:$I$89,3,0)*0.475*44/12</f>
        <v>5.918844078584927</v>
      </c>
      <c r="EX51" s="23">
        <f>EXP(-LN(2)/2)*EX50+(1-EXP(-LN(2)/2))/(LN(2)/2)*ER51*EU51*VLOOKUP('Données projet'!$B$15,Paramètres!$A$1:$I$89,3,0)*0.475*44/12</f>
        <v>5.7117728455328316E-3</v>
      </c>
      <c r="EY51" s="24">
        <f t="shared" si="21"/>
        <v>15.377100061713566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 t="e">
        <f>N52*VLOOKUP('Données projet'!$B$9,Paramètres!$A$1:$I$89,3,0)*VLOOKUP('Données projet'!$B$9,Paramètres!$A$1:$I$89,5,0)</f>
        <v>#N/A</v>
      </c>
      <c r="P52" s="14" t="e">
        <f t="shared" si="33"/>
        <v>#N/A</v>
      </c>
      <c r="Q52" s="22" t="e">
        <f t="shared" si="53"/>
        <v>#N/A</v>
      </c>
      <c r="R52" s="60" t="e">
        <f t="shared" si="0"/>
        <v>#N/A</v>
      </c>
      <c r="S52" s="60" t="e">
        <f ca="1">AVERAGE(OFFSET($R$3,0,0,'Données projet'!$E$9+1,1))-AVERAGE(OFFSET($H$3,0,0,'Données projet'!$E$9+1,1))</f>
        <v>#N/A</v>
      </c>
      <c r="T52" s="60" t="e">
        <f t="shared" si="34"/>
        <v>#N/A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 t="e">
        <f>EXP(-LN(2)/35)*Z51+(1-EXP(-LN(2)/35))/(LN(2)/35)*V52*W52*VLOOKUP('Données projet'!$B$9,Paramètres!$A$1:$I$89,3,0)*0.475*44/12</f>
        <v>#N/A</v>
      </c>
      <c r="AA52" s="23" t="e">
        <f>EXP(-LN(2)/25)*AA51+(1-EXP(-LN(2)/25))/(LN(2)/25)*Calculateur!V52*Calculateur!X52*VLOOKUP('Données projet'!$B$9,Paramètres!$A$1:$I$89,3,0)*0.475*44/12</f>
        <v>#N/A</v>
      </c>
      <c r="AB52" s="23" t="e">
        <f>EXP(-LN(2)/2)*AB51+(1-EXP(-LN(2)/2))/(LN(2)/2)*V52*Y52*VLOOKUP('Données projet'!$B$9,Paramètres!$A$1:$I$89,3,0)*0.475*44/12</f>
        <v>#N/A</v>
      </c>
      <c r="AC52" s="24" t="e">
        <f t="shared" si="3"/>
        <v>#N/A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0">
        <f t="shared" si="5"/>
        <v>670.08313290501178</v>
      </c>
      <c r="AN52" s="60">
        <f ca="1">AVERAGE(OFFSET($AM$3,0,0,'Données projet'!$E$10+1,1))-AVERAGE(OFFSET($H$3,0,0,'Données projet'!$E$10+1,1))</f>
        <v>428.8489304403459</v>
      </c>
      <c r="AO52" s="60">
        <f t="shared" si="36"/>
        <v>247.01165577562966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473</v>
      </c>
      <c r="BB52" s="13">
        <f>VLOOKUP(A52,'Données projet'!$A$87:$I$107,9,0)</f>
        <v>18.714285714285715</v>
      </c>
      <c r="BC52" s="13">
        <f t="array" ref="BC52">INDEX(BB:BB,MIN(IF(ISNUMBER(BB52:BB248),ROW(BB52:BB248),"")))</f>
        <v>18.714285714285715</v>
      </c>
      <c r="BD52" s="13">
        <f>IF('Données projet'!$A$88&gt;35,BD51+BC52-BL51,IF(A52&lt;'Données projet'!$A$88,$BA$205^A52,IF(A52='Données projet'!$A$88,'Données projet'!$B$88,BD51+BC52-BL51)))</f>
        <v>472.99999999999983</v>
      </c>
      <c r="BE52" s="14">
        <f>BD52*VLOOKUP('Données projet'!$B$11,Paramètres!$A$1:$I$89,3,0)*VLOOKUP('Données projet'!$B$11,Paramètres!$A$1:$I$89,5,0)</f>
        <v>264.40699999999993</v>
      </c>
      <c r="BF52" s="14">
        <f t="shared" si="37"/>
        <v>63.660851355620842</v>
      </c>
      <c r="BG52" s="22">
        <f t="shared" si="7"/>
        <v>571.38484111103946</v>
      </c>
      <c r="BH52" s="60">
        <f t="shared" si="8"/>
        <v>864.71817444437283</v>
      </c>
      <c r="BI52" s="60">
        <f ca="1">AVERAGE(OFFSET($BH$3,0,0,'Données projet'!$E$11+1,1))-AVERAGE(OFFSET($H$3,0,0,'Données projet'!$E$11+1,1))</f>
        <v>374.79806286316051</v>
      </c>
      <c r="BJ52" s="60">
        <f t="shared" si="38"/>
        <v>350.01856672839466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80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13.150012136229661</v>
      </c>
      <c r="BR52" s="23">
        <f>EXP(-LN(2)/2)*BR51+(1-EXP(-LN(2)/2))/(LN(2)/2)*BL52*BO52*VLOOKUP('Données projet'!$B$11,Paramètres!$A$1:$I$89,3,0)*0.475*44/12</f>
        <v>1.5202493399203853E-2</v>
      </c>
      <c r="BS52" s="24">
        <f t="shared" si="9"/>
        <v>13.165214629628865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172.63584</v>
      </c>
      <c r="CA52" s="14">
        <f t="shared" si="39"/>
        <v>43.679834395222109</v>
      </c>
      <c r="CB52" s="22">
        <f t="shared" si="10"/>
        <v>376.74979957167847</v>
      </c>
      <c r="CC52" s="60">
        <f t="shared" si="11"/>
        <v>670.08313290501178</v>
      </c>
      <c r="CD52" s="60">
        <f ca="1">AVERAGE(OFFSET($CC$3,0,0,'Données projet'!$E$12+1,1))-AVERAGE(OFFSET($H$3,0,0,'Données projet'!$E$12+1,1))</f>
        <v>428.8489304403459</v>
      </c>
      <c r="CE52" s="60">
        <f t="shared" si="40"/>
        <v>247.01165577562966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5.2564102564102537</v>
      </c>
      <c r="CT52" s="13">
        <f>IF('Données projet'!$A$140&gt;35,CT51+CS52-DB51,IF(A52&lt;'Données projet'!$A$140,$CQ$205^A52,IF(A52='Données projet'!$A$140,'Données projet'!$B$140,CT51+CS52-DB51)))</f>
        <v>153.07692307692304</v>
      </c>
      <c r="CU52" s="18">
        <f>CT52*VLOOKUP('Données projet'!$B$13,Paramètres!$A$1:$I$89,3,0)*VLOOKUP('Données projet'!$B$13,Paramètres!$A$1:$I$89,5,0)</f>
        <v>145.66799999999995</v>
      </c>
      <c r="CV52" s="14">
        <f t="shared" si="41"/>
        <v>37.592450315522605</v>
      </c>
      <c r="CW52" s="22">
        <f t="shared" si="13"/>
        <v>319.17861763286845</v>
      </c>
      <c r="CX52" s="60">
        <f t="shared" si="14"/>
        <v>612.51195096620177</v>
      </c>
      <c r="CY52" s="60">
        <f ca="1">AVERAGE(OFFSET($CX$3,0,0,'Données projet'!$E$13+1,1))-AVERAGE(OFFSET($H$3,0,0,'Données projet'!$E$13+1,1))</f>
        <v>354.63118425028898</v>
      </c>
      <c r="CZ52" s="60">
        <f t="shared" si="42"/>
        <v>244.7141066773861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184.54176000000001</v>
      </c>
      <c r="DQ52" s="14">
        <f t="shared" si="43"/>
        <v>46.33117397953523</v>
      </c>
      <c r="DR52" s="22">
        <f t="shared" si="16"/>
        <v>402.10369334769052</v>
      </c>
      <c r="DS52" s="60">
        <f t="shared" si="17"/>
        <v>695.43702668102378</v>
      </c>
      <c r="DT52" s="60">
        <f ca="1">AVERAGE(OFFSET($DS$3,0,0,'Données projet'!$E$14+1,1))-AVERAGE(OFFSET($H$3,0,0,'Données projet'!$E$14+1,1))</f>
        <v>455.50822833641354</v>
      </c>
      <c r="DU52" s="60">
        <f t="shared" si="44"/>
        <v>261.14722581688039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>
        <f>EJ52*VLOOKUP('Données projet'!$B$15,Paramètres!$A$1:$I$89,3,0)*VLOOKUP('Données projet'!$B$15,Paramètres!$A$1:$I$89,5,0)</f>
        <v>0</v>
      </c>
      <c r="EL52" s="14" t="e">
        <f t="shared" si="45"/>
        <v>#NUM!</v>
      </c>
      <c r="EM52" s="22" t="e">
        <f t="shared" si="19"/>
        <v>#NUM!</v>
      </c>
      <c r="EN52" s="60" t="e">
        <f t="shared" si="20"/>
        <v>#NUM!</v>
      </c>
      <c r="EO52" s="60">
        <f ca="1">AVERAGE(OFFSET($EN$3,0,0,'Données projet'!$E$15+1,1))-AVERAGE(OFFSET($H$3,0,0,'Données projet'!$E$15+1,1))</f>
        <v>207.03241199974599</v>
      </c>
      <c r="EP52" s="60">
        <f t="shared" si="46"/>
        <v>314.188568589113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9.267185583802128</v>
      </c>
      <c r="EW52" s="23">
        <f>EXP(-LN(2)/25)*EW51+(1-EXP(-LN(2)/25))/(LN(2)/25)*Calculateur!ER52*Calculateur!ET52*VLOOKUP('Données projet'!$B$15,Paramètres!$A$1:$I$89,3,0)*0.475*44/12</f>
        <v>5.75699297599754</v>
      </c>
      <c r="EX52" s="23">
        <f>EXP(-LN(2)/2)*EX51+(1-EXP(-LN(2)/2))/(LN(2)/2)*ER52*EU52*VLOOKUP('Données projet'!$B$15,Paramètres!$A$1:$I$89,3,0)*0.475*44/12</f>
        <v>4.0388333116734478E-3</v>
      </c>
      <c r="EY52" s="24">
        <f t="shared" si="21"/>
        <v>15.028217393111342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 t="e">
        <f>N53*VLOOKUP('Données projet'!$B$9,Paramètres!$A$1:$I$89,3,0)*VLOOKUP('Données projet'!$B$9,Paramètres!$A$1:$I$89,5,0)</f>
        <v>#N/A</v>
      </c>
      <c r="P53" s="14" t="e">
        <f t="shared" si="33"/>
        <v>#N/A</v>
      </c>
      <c r="Q53" s="22" t="e">
        <f t="shared" si="53"/>
        <v>#N/A</v>
      </c>
      <c r="R53" s="60" t="e">
        <f t="shared" si="0"/>
        <v>#N/A</v>
      </c>
      <c r="S53" s="60" t="e">
        <f ca="1">AVERAGE(OFFSET($R$3,0,0,'Données projet'!$E$9+1,1))-AVERAGE(OFFSET($H$3,0,0,'Données projet'!$E$9+1,1))</f>
        <v>#N/A</v>
      </c>
      <c r="T53" s="60" t="e">
        <f t="shared" si="34"/>
        <v>#N/A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 t="e">
        <f>EXP(-LN(2)/35)*Z52+(1-EXP(-LN(2)/35))/(LN(2)/35)*V53*W53*VLOOKUP('Données projet'!$B$9,Paramètres!$A$1:$I$89,3,0)*0.475*44/12</f>
        <v>#N/A</v>
      </c>
      <c r="AA53" s="23" t="e">
        <f>EXP(-LN(2)/25)*AA52+(1-EXP(-LN(2)/25))/(LN(2)/25)*Calculateur!V53*Calculateur!X53*VLOOKUP('Données projet'!$B$9,Paramètres!$A$1:$I$89,3,0)*0.475*44/12</f>
        <v>#N/A</v>
      </c>
      <c r="AB53" s="23" t="e">
        <f>EXP(-LN(2)/2)*AB52+(1-EXP(-LN(2)/2))/(LN(2)/2)*V53*Y53*VLOOKUP('Données projet'!$B$9,Paramètres!$A$1:$I$89,3,0)*0.475*44/12</f>
        <v>#N/A</v>
      </c>
      <c r="AC53" s="24" t="e">
        <f t="shared" si="3"/>
        <v>#N/A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0">
        <f t="shared" si="5"/>
        <v>685.88700323711032</v>
      </c>
      <c r="AN53" s="60">
        <f ca="1">AVERAGE(OFFSET($AM$3,0,0,'Données projet'!$E$10+1,1))-AVERAGE(OFFSET($H$3,0,0,'Données projet'!$E$10+1,1))</f>
        <v>428.8489304403459</v>
      </c>
      <c r="AO53" s="60">
        <f t="shared" si="36"/>
        <v>247.01165577562966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17.285714285714285</v>
      </c>
      <c r="BD53" s="13">
        <f>IF('Données projet'!$A$88&gt;35,BD52+BC53-BL52,IF(A53&lt;'Données projet'!$A$88,$BA$205^A53,IF(A53='Données projet'!$A$88,'Données projet'!$B$88,BD52+BC53-BL52)))</f>
        <v>410.28571428571411</v>
      </c>
      <c r="BE53" s="14">
        <f>BD53*VLOOKUP('Données projet'!$B$11,Paramètres!$A$1:$I$89,3,0)*VLOOKUP('Données projet'!$B$11,Paramètres!$A$1:$I$89,5,0)</f>
        <v>229.34971428571419</v>
      </c>
      <c r="BF53" s="14">
        <f t="shared" si="37"/>
        <v>56.142051394693567</v>
      </c>
      <c r="BG53" s="22">
        <f t="shared" si="7"/>
        <v>497.23149189337681</v>
      </c>
      <c r="BH53" s="60">
        <f t="shared" si="8"/>
        <v>790.56482522671013</v>
      </c>
      <c r="BI53" s="60">
        <f ca="1">AVERAGE(OFFSET($BH$3,0,0,'Données projet'!$E$11+1,1))-AVERAGE(OFFSET($H$3,0,0,'Données projet'!$E$11+1,1))</f>
        <v>374.79806286316051</v>
      </c>
      <c r="BJ53" s="60">
        <f t="shared" si="38"/>
        <v>350.01856672839466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12.790424362835378</v>
      </c>
      <c r="BR53" s="23">
        <f>EXP(-LN(2)/2)*BR52+(1-EXP(-LN(2)/2))/(LN(2)/2)*BL53*BO53*VLOOKUP('Données projet'!$B$11,Paramètres!$A$1:$I$89,3,0)*0.475*44/12</f>
        <v>1.0749786173520773E-2</v>
      </c>
      <c r="BS53" s="24">
        <f t="shared" si="9"/>
        <v>12.801174149008899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180.05519999999999</v>
      </c>
      <c r="CA53" s="14">
        <f t="shared" si="39"/>
        <v>45.334466930398364</v>
      </c>
      <c r="CB53" s="22">
        <f t="shared" si="10"/>
        <v>392.55366990377706</v>
      </c>
      <c r="CC53" s="60">
        <f t="shared" si="11"/>
        <v>685.88700323711032</v>
      </c>
      <c r="CD53" s="60">
        <f ca="1">AVERAGE(OFFSET($CC$3,0,0,'Données projet'!$E$12+1,1))-AVERAGE(OFFSET($H$3,0,0,'Données projet'!$E$12+1,1))</f>
        <v>428.8489304403459</v>
      </c>
      <c r="CE53" s="60">
        <f t="shared" si="40"/>
        <v>247.01165577562966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158.33333333333331</v>
      </c>
      <c r="CR53" s="13">
        <f>VLOOKUP(A53,'Données projet'!$A$139:$I$159,9,0)</f>
        <v>5.2564102564102537</v>
      </c>
      <c r="CS53" s="13">
        <f t="array" ref="CS53">INDEX(CR:CR,MIN(IF(ISNUMBER(CR53:CR249),ROW(CR53:CR249),"")))</f>
        <v>5.2564102564102537</v>
      </c>
      <c r="CT53" s="13">
        <f>IF('Données projet'!$A$140&gt;35,CT52+CS53-DB52,IF(A53&lt;'Données projet'!$A$140,$CQ$205^A53,IF(A53='Données projet'!$A$140,'Données projet'!$B$140,CT52+CS53-DB52)))</f>
        <v>158.33333333333329</v>
      </c>
      <c r="CU53" s="18">
        <f>CT53*VLOOKUP('Données projet'!$B$13,Paramètres!$A$1:$I$89,3,0)*VLOOKUP('Données projet'!$B$13,Paramètres!$A$1:$I$89,5,0)</f>
        <v>150.66999999999996</v>
      </c>
      <c r="CV53" s="14">
        <f t="shared" si="41"/>
        <v>38.730806009209921</v>
      </c>
      <c r="CW53" s="22">
        <f t="shared" si="13"/>
        <v>329.87307046604047</v>
      </c>
      <c r="CX53" s="60">
        <f t="shared" si="14"/>
        <v>623.20640379937379</v>
      </c>
      <c r="CY53" s="60">
        <f ca="1">AVERAGE(OFFSET($CX$3,0,0,'Données projet'!$E$13+1,1))-AVERAGE(OFFSET($H$3,0,0,'Données projet'!$E$13+1,1))</f>
        <v>354.63118425028898</v>
      </c>
      <c r="CZ53" s="60">
        <f t="shared" si="42"/>
        <v>244.7141066773861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192.47280000000001</v>
      </c>
      <c r="DQ53" s="14">
        <f t="shared" si="43"/>
        <v>48.086241710923829</v>
      </c>
      <c r="DR53" s="22">
        <f t="shared" si="16"/>
        <v>418.97366431319239</v>
      </c>
      <c r="DS53" s="60">
        <f t="shared" si="17"/>
        <v>712.3069976465257</v>
      </c>
      <c r="DT53" s="60">
        <f ca="1">AVERAGE(OFFSET($DS$3,0,0,'Données projet'!$E$14+1,1))-AVERAGE(OFFSET($H$3,0,0,'Données projet'!$E$14+1,1))</f>
        <v>455.50822833641354</v>
      </c>
      <c r="DU53" s="60">
        <f t="shared" si="44"/>
        <v>261.14722581688039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>
        <f>EJ53*VLOOKUP('Données projet'!$B$15,Paramètres!$A$1:$I$89,3,0)*VLOOKUP('Données projet'!$B$15,Paramètres!$A$1:$I$89,5,0)</f>
        <v>0</v>
      </c>
      <c r="EL53" s="14" t="e">
        <f t="shared" si="45"/>
        <v>#NUM!</v>
      </c>
      <c r="EM53" s="22" t="e">
        <f t="shared" si="19"/>
        <v>#NUM!</v>
      </c>
      <c r="EN53" s="60" t="e">
        <f t="shared" si="20"/>
        <v>#NUM!</v>
      </c>
      <c r="EO53" s="60">
        <f ca="1">AVERAGE(OFFSET($EN$3,0,0,'Données projet'!$E$15+1,1))-AVERAGE(OFFSET($H$3,0,0,'Données projet'!$E$15+1,1))</f>
        <v>207.03241199974599</v>
      </c>
      <c r="EP53" s="60">
        <f t="shared" si="46"/>
        <v>314.188568589113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9.0854617269288429</v>
      </c>
      <c r="EW53" s="23">
        <f>EXP(-LN(2)/25)*EW52+(1-EXP(-LN(2)/25))/(LN(2)/25)*Calculateur!ER53*Calculateur!ET53*VLOOKUP('Données projet'!$B$15,Paramètres!$A$1:$I$89,3,0)*0.475*44/12</f>
        <v>5.5995677003217841</v>
      </c>
      <c r="EX53" s="23">
        <f>EXP(-LN(2)/2)*EX52+(1-EXP(-LN(2)/2))/(LN(2)/2)*ER53*EU53*VLOOKUP('Données projet'!$B$15,Paramètres!$A$1:$I$89,3,0)*0.475*44/12</f>
        <v>2.8558864227664158E-3</v>
      </c>
      <c r="EY53" s="24">
        <f t="shared" si="21"/>
        <v>14.687885313673393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 t="e">
        <f>N54*VLOOKUP('Données projet'!$B$9,Paramètres!$A$1:$I$89,3,0)*VLOOKUP('Données projet'!$B$9,Paramètres!$A$1:$I$89,5,0)</f>
        <v>#N/A</v>
      </c>
      <c r="P54" s="14" t="e">
        <f t="shared" si="33"/>
        <v>#N/A</v>
      </c>
      <c r="Q54" s="22" t="e">
        <f t="shared" si="53"/>
        <v>#N/A</v>
      </c>
      <c r="R54" s="60" t="e">
        <f t="shared" si="0"/>
        <v>#N/A</v>
      </c>
      <c r="S54" s="60" t="e">
        <f ca="1">AVERAGE(OFFSET($R$3,0,0,'Données projet'!$E$9+1,1))-AVERAGE(OFFSET($H$3,0,0,'Données projet'!$E$9+1,1))</f>
        <v>#N/A</v>
      </c>
      <c r="T54" s="60" t="e">
        <f t="shared" si="34"/>
        <v>#N/A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 t="e">
        <f>EXP(-LN(2)/35)*Z53+(1-EXP(-LN(2)/35))/(LN(2)/35)*V54*W54*VLOOKUP('Données projet'!$B$9,Paramètres!$A$1:$I$89,3,0)*0.475*44/12</f>
        <v>#N/A</v>
      </c>
      <c r="AA54" s="23" t="e">
        <f>EXP(-LN(2)/25)*AA53+(1-EXP(-LN(2)/25))/(LN(2)/25)*Calculateur!V54*Calculateur!X54*VLOOKUP('Données projet'!$B$9,Paramètres!$A$1:$I$89,3,0)*0.475*44/12</f>
        <v>#N/A</v>
      </c>
      <c r="AB54" s="23" t="e">
        <f>EXP(-LN(2)/2)*AB53+(1-EXP(-LN(2)/2))/(LN(2)/2)*V54*Y54*VLOOKUP('Données projet'!$B$9,Paramètres!$A$1:$I$89,3,0)*0.475*44/12</f>
        <v>#N/A</v>
      </c>
      <c r="AC54" s="24" t="e">
        <f t="shared" si="3"/>
        <v>#N/A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0">
        <f t="shared" si="5"/>
        <v>620.26096644164511</v>
      </c>
      <c r="AN54" s="60">
        <f ca="1">AVERAGE(OFFSET($AM$3,0,0,'Données projet'!$E$10+1,1))-AVERAGE(OFFSET($H$3,0,0,'Données projet'!$E$10+1,1))</f>
        <v>428.8489304403459</v>
      </c>
      <c r="AO54" s="60">
        <f t="shared" si="36"/>
        <v>247.01165577562966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17.285714285714285</v>
      </c>
      <c r="BD54" s="13">
        <f>IF('Données projet'!$A$88&gt;35,BD53+BC54-BL53,IF(A54&lt;'Données projet'!$A$88,$BA$205^A54,IF(A54='Données projet'!$A$88,'Données projet'!$B$88,BD53+BC54-BL53)))</f>
        <v>427.57142857142838</v>
      </c>
      <c r="BE54" s="14">
        <f>BD54*VLOOKUP('Données projet'!$B$11,Paramètres!$A$1:$I$89,3,0)*VLOOKUP('Données projet'!$B$11,Paramètres!$A$1:$I$89,5,0)</f>
        <v>239.01242857142847</v>
      </c>
      <c r="BF54" s="14">
        <f t="shared" si="37"/>
        <v>58.226998714225545</v>
      </c>
      <c r="BG54" s="22">
        <f t="shared" si="7"/>
        <v>517.69200252251403</v>
      </c>
      <c r="BH54" s="60">
        <f t="shared" si="8"/>
        <v>811.02533585584729</v>
      </c>
      <c r="BI54" s="60">
        <f ca="1">AVERAGE(OFFSET($BH$3,0,0,'Données projet'!$E$11+1,1))-AVERAGE(OFFSET($H$3,0,0,'Données projet'!$E$11+1,1))</f>
        <v>374.79806286316051</v>
      </c>
      <c r="BJ54" s="60">
        <f t="shared" si="38"/>
        <v>350.01856672839466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12.440669536014459</v>
      </c>
      <c r="BR54" s="23">
        <f>EXP(-LN(2)/2)*BR53+(1-EXP(-LN(2)/2))/(LN(2)/2)*BL54*BO54*VLOOKUP('Données projet'!$B$11,Paramètres!$A$1:$I$89,3,0)*0.475*44/12</f>
        <v>7.6012466996019275E-3</v>
      </c>
      <c r="BS54" s="24">
        <f t="shared" si="9"/>
        <v>12.448270782714062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0">
        <f t="shared" si="11"/>
        <v>620.26096644164511</v>
      </c>
      <c r="CD54" s="60">
        <f ca="1">AVERAGE(OFFSET($CC$3,0,0,'Données projet'!$E$12+1,1))-AVERAGE(OFFSET($H$3,0,0,'Données projet'!$E$12+1,1))</f>
        <v>428.8489304403459</v>
      </c>
      <c r="CE54" s="60">
        <f t="shared" si="40"/>
        <v>247.01165577562966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4.8717948717948731</v>
      </c>
      <c r="CT54" s="13">
        <f>IF('Données projet'!$A$140&gt;35,CT53+CS54-DB53,IF(A54&lt;'Données projet'!$A$140,$CQ$205^A54,IF(A54='Données projet'!$A$140,'Données projet'!$B$140,CT53+CS54-DB53)))</f>
        <v>163.20512820512815</v>
      </c>
      <c r="CU54" s="18">
        <f>CT54*VLOOKUP('Données projet'!$B$13,Paramètres!$A$1:$I$89,3,0)*VLOOKUP('Données projet'!$B$13,Paramètres!$A$1:$I$89,5,0)</f>
        <v>155.30599999999995</v>
      </c>
      <c r="CV54" s="14">
        <f t="shared" si="41"/>
        <v>39.781942810239308</v>
      </c>
      <c r="CW54" s="22">
        <f t="shared" si="13"/>
        <v>339.7781670611667</v>
      </c>
      <c r="CX54" s="60">
        <f t="shared" si="14"/>
        <v>633.11150039450001</v>
      </c>
      <c r="CY54" s="60">
        <f ca="1">AVERAGE(OFFSET($CX$3,0,0,'Données projet'!$E$13+1,1))-AVERAGE(OFFSET($H$3,0,0,'Données projet'!$E$13+1,1))</f>
        <v>354.63118425028898</v>
      </c>
      <c r="CZ54" s="60">
        <f t="shared" si="42"/>
        <v>244.7141066773861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159.58799999999999</v>
      </c>
      <c r="DQ54" s="14">
        <f t="shared" si="43"/>
        <v>40.74957371668588</v>
      </c>
      <c r="DR54" s="22">
        <f t="shared" si="16"/>
        <v>348.92127422322784</v>
      </c>
      <c r="DS54" s="60">
        <f t="shared" si="17"/>
        <v>642.25460755656115</v>
      </c>
      <c r="DT54" s="60">
        <f ca="1">AVERAGE(OFFSET($DS$3,0,0,'Données projet'!$E$14+1,1))-AVERAGE(OFFSET($H$3,0,0,'Données projet'!$E$14+1,1))</f>
        <v>455.50822833641354</v>
      </c>
      <c r="DU54" s="60">
        <f t="shared" si="44"/>
        <v>261.14722581688039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>
        <f>EJ54*VLOOKUP('Données projet'!$B$15,Paramètres!$A$1:$I$89,3,0)*VLOOKUP('Données projet'!$B$15,Paramètres!$A$1:$I$89,5,0)</f>
        <v>0</v>
      </c>
      <c r="EL54" s="14" t="e">
        <f t="shared" si="45"/>
        <v>#NUM!</v>
      </c>
      <c r="EM54" s="22" t="e">
        <f t="shared" si="19"/>
        <v>#NUM!</v>
      </c>
      <c r="EN54" s="60" t="e">
        <f t="shared" si="20"/>
        <v>#NUM!</v>
      </c>
      <c r="EO54" s="60">
        <f ca="1">AVERAGE(OFFSET($EN$3,0,0,'Données projet'!$E$15+1,1))-AVERAGE(OFFSET($H$3,0,0,'Données projet'!$E$15+1,1))</f>
        <v>207.03241199974599</v>
      </c>
      <c r="EP54" s="60">
        <f t="shared" si="46"/>
        <v>314.188568589113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8.9073013640482355</v>
      </c>
      <c r="EW54" s="23">
        <f>EXP(-LN(2)/25)*EW53+(1-EXP(-LN(2)/25))/(LN(2)/25)*Calculateur!ER54*Calculateur!ET54*VLOOKUP('Données projet'!$B$15,Paramètres!$A$1:$I$89,3,0)*0.475*44/12</f>
        <v>5.4464472270880178</v>
      </c>
      <c r="EX54" s="23">
        <f>EXP(-LN(2)/2)*EX53+(1-EXP(-LN(2)/2))/(LN(2)/2)*ER54*EU54*VLOOKUP('Données projet'!$B$15,Paramètres!$A$1:$I$89,3,0)*0.475*44/12</f>
        <v>2.0194166558367239E-3</v>
      </c>
      <c r="EY54" s="24">
        <f t="shared" si="21"/>
        <v>14.35576800779209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 t="e">
        <f>N55*VLOOKUP('Données projet'!$B$9,Paramètres!$A$1:$I$89,3,0)*VLOOKUP('Données projet'!$B$9,Paramètres!$A$1:$I$89,5,0)</f>
        <v>#N/A</v>
      </c>
      <c r="P55" s="14" t="e">
        <f t="shared" si="33"/>
        <v>#N/A</v>
      </c>
      <c r="Q55" s="22" t="e">
        <f t="shared" si="53"/>
        <v>#N/A</v>
      </c>
      <c r="R55" s="60" t="e">
        <f t="shared" si="0"/>
        <v>#N/A</v>
      </c>
      <c r="S55" s="60" t="e">
        <f ca="1">AVERAGE(OFFSET($R$3,0,0,'Données projet'!$E$9+1,1))-AVERAGE(OFFSET($H$3,0,0,'Données projet'!$E$9+1,1))</f>
        <v>#N/A</v>
      </c>
      <c r="T55" s="60" t="e">
        <f t="shared" si="34"/>
        <v>#N/A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 t="e">
        <f>EXP(-LN(2)/35)*Z54+(1-EXP(-LN(2)/35))/(LN(2)/35)*V55*W55*VLOOKUP('Données projet'!$B$9,Paramètres!$A$1:$I$89,3,0)*0.475*44/12</f>
        <v>#N/A</v>
      </c>
      <c r="AA55" s="23" t="e">
        <f>EXP(-LN(2)/25)*AA54+(1-EXP(-LN(2)/25))/(LN(2)/25)*Calculateur!V55*Calculateur!X55*VLOOKUP('Données projet'!$B$9,Paramètres!$A$1:$I$89,3,0)*0.475*44/12</f>
        <v>#N/A</v>
      </c>
      <c r="AB55" s="23" t="e">
        <f>EXP(-LN(2)/2)*AB54+(1-EXP(-LN(2)/2))/(LN(2)/2)*V55*Y55*VLOOKUP('Données projet'!$B$9,Paramètres!$A$1:$I$89,3,0)*0.475*44/12</f>
        <v>#N/A</v>
      </c>
      <c r="AC55" s="24" t="e">
        <f t="shared" si="3"/>
        <v>#N/A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0">
        <f t="shared" si="5"/>
        <v>635.72643681712532</v>
      </c>
      <c r="AN55" s="60">
        <f ca="1">AVERAGE(OFFSET($AM$3,0,0,'Données projet'!$E$10+1,1))-AVERAGE(OFFSET($H$3,0,0,'Données projet'!$E$10+1,1))</f>
        <v>428.8489304403459</v>
      </c>
      <c r="AO55" s="60">
        <f t="shared" si="36"/>
        <v>247.01165577562966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17.285714285714285</v>
      </c>
      <c r="BD55" s="13">
        <f>IF('Données projet'!$A$88&gt;35,BD54+BC55-BL54,IF(A55&lt;'Données projet'!$A$88,$BA$205^A55,IF(A55='Données projet'!$A$88,'Données projet'!$B$88,BD54+BC55-BL54)))</f>
        <v>444.85714285714266</v>
      </c>
      <c r="BE55" s="14">
        <f>BD55*VLOOKUP('Données projet'!$B$11,Paramètres!$A$1:$I$89,3,0)*VLOOKUP('Données projet'!$B$11,Paramètres!$A$1:$I$89,5,0)</f>
        <v>248.67514285714276</v>
      </c>
      <c r="BF55" s="14">
        <f t="shared" si="37"/>
        <v>60.30215496200401</v>
      </c>
      <c r="BG55" s="22">
        <f t="shared" si="7"/>
        <v>538.13546036834725</v>
      </c>
      <c r="BH55" s="60">
        <f t="shared" si="8"/>
        <v>831.46879370168062</v>
      </c>
      <c r="BI55" s="60">
        <f ca="1">AVERAGE(OFFSET($BH$3,0,0,'Données projet'!$E$11+1,1))-AVERAGE(OFFSET($H$3,0,0,'Données projet'!$E$11+1,1))</f>
        <v>374.79806286316051</v>
      </c>
      <c r="BJ55" s="60">
        <f t="shared" si="38"/>
        <v>350.01856672839466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12.100478773325767</v>
      </c>
      <c r="BR55" s="23">
        <f>EXP(-LN(2)/2)*BR54+(1-EXP(-LN(2)/2))/(LN(2)/2)*BL55*BO55*VLOOKUP('Données projet'!$B$11,Paramètres!$A$1:$I$89,3,0)*0.475*44/12</f>
        <v>5.3748930867603874E-3</v>
      </c>
      <c r="BS55" s="24">
        <f t="shared" si="9"/>
        <v>12.105853666412527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0">
        <f t="shared" si="11"/>
        <v>635.72643681712532</v>
      </c>
      <c r="CD55" s="60">
        <f ca="1">AVERAGE(OFFSET($CC$3,0,0,'Données projet'!$E$12+1,1))-AVERAGE(OFFSET($H$3,0,0,'Données projet'!$E$12+1,1))</f>
        <v>428.8489304403459</v>
      </c>
      <c r="CE55" s="60">
        <f t="shared" si="40"/>
        <v>247.01165577562966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4.8717948717948731</v>
      </c>
      <c r="CT55" s="13">
        <f>IF('Données projet'!$A$140&gt;35,CT54+CS55-DB54,IF(A55&lt;'Données projet'!$A$140,$CQ$205^A55,IF(A55='Données projet'!$A$140,'Données projet'!$B$140,CT54+CS55-DB54)))</f>
        <v>168.07692307692301</v>
      </c>
      <c r="CU55" s="18">
        <f>CT55*VLOOKUP('Données projet'!$B$13,Paramètres!$A$1:$I$89,3,0)*VLOOKUP('Données projet'!$B$13,Paramètres!$A$1:$I$89,5,0)</f>
        <v>159.94199999999995</v>
      </c>
      <c r="CV55" s="14">
        <f t="shared" si="41"/>
        <v>40.829433068762448</v>
      </c>
      <c r="CW55" s="22">
        <f t="shared" si="13"/>
        <v>349.67691259476118</v>
      </c>
      <c r="CX55" s="60">
        <f t="shared" si="14"/>
        <v>643.01024592809449</v>
      </c>
      <c r="CY55" s="60">
        <f ca="1">AVERAGE(OFFSET($CX$3,0,0,'Données projet'!$E$13+1,1))-AVERAGE(OFFSET($H$3,0,0,'Données projet'!$E$13+1,1))</f>
        <v>354.63118425028898</v>
      </c>
      <c r="CZ55" s="60">
        <f t="shared" si="42"/>
        <v>244.7141066773861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167.32560000000001</v>
      </c>
      <c r="DQ55" s="14">
        <f t="shared" si="43"/>
        <v>42.490495297127609</v>
      </c>
      <c r="DR55" s="22">
        <f t="shared" si="16"/>
        <v>365.42969930916388</v>
      </c>
      <c r="DS55" s="60">
        <f t="shared" si="17"/>
        <v>658.76303264249714</v>
      </c>
      <c r="DT55" s="60">
        <f ca="1">AVERAGE(OFFSET($DS$3,0,0,'Données projet'!$E$14+1,1))-AVERAGE(OFFSET($H$3,0,0,'Données projet'!$E$14+1,1))</f>
        <v>455.50822833641354</v>
      </c>
      <c r="DU55" s="60">
        <f t="shared" si="44"/>
        <v>261.14722581688039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>
        <f>EJ55*VLOOKUP('Données projet'!$B$15,Paramètres!$A$1:$I$89,3,0)*VLOOKUP('Données projet'!$B$15,Paramètres!$A$1:$I$89,5,0)</f>
        <v>0</v>
      </c>
      <c r="EL55" s="14" t="e">
        <f t="shared" si="45"/>
        <v>#NUM!</v>
      </c>
      <c r="EM55" s="22" t="e">
        <f t="shared" si="19"/>
        <v>#NUM!</v>
      </c>
      <c r="EN55" s="60" t="e">
        <f t="shared" si="20"/>
        <v>#NUM!</v>
      </c>
      <c r="EO55" s="60">
        <f ca="1">AVERAGE(OFFSET($EN$3,0,0,'Données projet'!$E$15+1,1))-AVERAGE(OFFSET($H$3,0,0,'Données projet'!$E$15+1,1))</f>
        <v>207.03241199974599</v>
      </c>
      <c r="EP55" s="60">
        <f t="shared" si="46"/>
        <v>314.188568589113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8.7326346172166254</v>
      </c>
      <c r="EW55" s="23">
        <f>EXP(-LN(2)/25)*EW54+(1-EXP(-LN(2)/25))/(LN(2)/25)*Calculateur!ER55*Calculateur!ET55*VLOOKUP('Données projet'!$B$15,Paramètres!$A$1:$I$89,3,0)*0.475*44/12</f>
        <v>5.2975138412470839</v>
      </c>
      <c r="EX55" s="23">
        <f>EXP(-LN(2)/2)*EX54+(1-EXP(-LN(2)/2))/(LN(2)/2)*ER55*EU55*VLOOKUP('Données projet'!$B$15,Paramètres!$A$1:$I$89,3,0)*0.475*44/12</f>
        <v>1.4279432113832079E-3</v>
      </c>
      <c r="EY55" s="24">
        <f t="shared" si="21"/>
        <v>14.031576401675093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 t="e">
        <f>N56*VLOOKUP('Données projet'!$B$9,Paramètres!$A$1:$I$89,3,0)*VLOOKUP('Données projet'!$B$9,Paramètres!$A$1:$I$89,5,0)</f>
        <v>#N/A</v>
      </c>
      <c r="P56" s="14" t="e">
        <f t="shared" si="33"/>
        <v>#N/A</v>
      </c>
      <c r="Q56" s="22" t="e">
        <f t="shared" si="53"/>
        <v>#N/A</v>
      </c>
      <c r="R56" s="60" t="e">
        <f t="shared" si="0"/>
        <v>#N/A</v>
      </c>
      <c r="S56" s="60" t="e">
        <f ca="1">AVERAGE(OFFSET($R$3,0,0,'Données projet'!$E$9+1,1))-AVERAGE(OFFSET($H$3,0,0,'Données projet'!$E$9+1,1))</f>
        <v>#N/A</v>
      </c>
      <c r="T56" s="60" t="e">
        <f t="shared" si="34"/>
        <v>#N/A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 t="e">
        <f>EXP(-LN(2)/35)*Z55+(1-EXP(-LN(2)/35))/(LN(2)/35)*V56*W56*VLOOKUP('Données projet'!$B$9,Paramètres!$A$1:$I$89,3,0)*0.475*44/12</f>
        <v>#N/A</v>
      </c>
      <c r="AA56" s="23" t="e">
        <f>EXP(-LN(2)/25)*AA55+(1-EXP(-LN(2)/25))/(LN(2)/25)*Calculateur!V56*Calculateur!X56*VLOOKUP('Données projet'!$B$9,Paramètres!$A$1:$I$89,3,0)*0.475*44/12</f>
        <v>#N/A</v>
      </c>
      <c r="AB56" s="23" t="e">
        <f>EXP(-LN(2)/2)*AB55+(1-EXP(-LN(2)/2))/(LN(2)/2)*V56*Y56*VLOOKUP('Données projet'!$B$9,Paramètres!$A$1:$I$89,3,0)*0.475*44/12</f>
        <v>#N/A</v>
      </c>
      <c r="AC56" s="24" t="e">
        <f t="shared" si="3"/>
        <v>#N/A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0">
        <f t="shared" si="5"/>
        <v>651.17655593527957</v>
      </c>
      <c r="AN56" s="60">
        <f ca="1">AVERAGE(OFFSET($AM$3,0,0,'Données projet'!$E$10+1,1))-AVERAGE(OFFSET($H$3,0,0,'Données projet'!$E$10+1,1))</f>
        <v>428.8489304403459</v>
      </c>
      <c r="AO56" s="60">
        <f t="shared" si="36"/>
        <v>247.01165577562966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17.285714285714285</v>
      </c>
      <c r="BD56" s="13">
        <f>IF('Données projet'!$A$88&gt;35,BD55+BC56-BL55,IF(A56&lt;'Données projet'!$A$88,$BA$205^A56,IF(A56='Données projet'!$A$88,'Données projet'!$B$88,BD55+BC56-BL55)))</f>
        <v>462.14285714285694</v>
      </c>
      <c r="BE56" s="14">
        <f>BD56*VLOOKUP('Données projet'!$B$11,Paramètres!$A$1:$I$89,3,0)*VLOOKUP('Données projet'!$B$11,Paramètres!$A$1:$I$89,5,0)</f>
        <v>258.33785714285705</v>
      </c>
      <c r="BF56" s="14">
        <f t="shared" si="37"/>
        <v>62.367944130057822</v>
      </c>
      <c r="BG56" s="22">
        <f t="shared" si="7"/>
        <v>558.56260388366002</v>
      </c>
      <c r="BH56" s="60">
        <f t="shared" si="8"/>
        <v>851.89593721699339</v>
      </c>
      <c r="BI56" s="60">
        <f ca="1">AVERAGE(OFFSET($BH$3,0,0,'Données projet'!$E$11+1,1))-AVERAGE(OFFSET($H$3,0,0,'Données projet'!$E$11+1,1))</f>
        <v>374.79806286316051</v>
      </c>
      <c r="BJ56" s="60">
        <f t="shared" si="38"/>
        <v>350.01856672839466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11.769590544932651</v>
      </c>
      <c r="BR56" s="23">
        <f>EXP(-LN(2)/2)*BR55+(1-EXP(-LN(2)/2))/(LN(2)/2)*BL56*BO56*VLOOKUP('Données projet'!$B$11,Paramètres!$A$1:$I$89,3,0)*0.475*44/12</f>
        <v>3.8006233498009646E-3</v>
      </c>
      <c r="BS56" s="24">
        <f t="shared" si="9"/>
        <v>11.773391168282451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0">
        <f t="shared" si="11"/>
        <v>651.17655593527957</v>
      </c>
      <c r="CD56" s="60">
        <f ca="1">AVERAGE(OFFSET($CC$3,0,0,'Données projet'!$E$12+1,1))-AVERAGE(OFFSET($H$3,0,0,'Données projet'!$E$12+1,1))</f>
        <v>428.8489304403459</v>
      </c>
      <c r="CE56" s="60">
        <f t="shared" si="40"/>
        <v>247.01165577562966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4.8717948717948731</v>
      </c>
      <c r="CT56" s="13">
        <f>IF('Données projet'!$A$140&gt;35,CT55+CS56-DB55,IF(A56&lt;'Données projet'!$A$140,$CQ$205^A56,IF(A56='Données projet'!$A$140,'Données projet'!$B$140,CT55+CS56-DB55)))</f>
        <v>172.94871794871787</v>
      </c>
      <c r="CU56" s="18">
        <f>CT56*VLOOKUP('Données projet'!$B$13,Paramètres!$A$1:$I$89,3,0)*VLOOKUP('Données projet'!$B$13,Paramètres!$A$1:$I$89,5,0)</f>
        <v>164.57799999999992</v>
      </c>
      <c r="CV56" s="14">
        <f t="shared" si="41"/>
        <v>41.873394619387192</v>
      </c>
      <c r="CW56" s="22">
        <f t="shared" si="13"/>
        <v>359.56951229543256</v>
      </c>
      <c r="CX56" s="60">
        <f t="shared" si="14"/>
        <v>652.90284562876582</v>
      </c>
      <c r="CY56" s="60">
        <f ca="1">AVERAGE(OFFSET($CX$3,0,0,'Données projet'!$E$13+1,1))-AVERAGE(OFFSET($H$3,0,0,'Données projet'!$E$13+1,1))</f>
        <v>354.63118425028898</v>
      </c>
      <c r="CZ56" s="60">
        <f t="shared" si="42"/>
        <v>244.7141066773861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175.06319999999999</v>
      </c>
      <c r="DQ56" s="14">
        <f t="shared" si="43"/>
        <v>44.22206774682472</v>
      </c>
      <c r="DR56" s="22">
        <f t="shared" si="16"/>
        <v>381.9218413257197</v>
      </c>
      <c r="DS56" s="60">
        <f t="shared" si="17"/>
        <v>675.25517465905295</v>
      </c>
      <c r="DT56" s="60">
        <f ca="1">AVERAGE(OFFSET($DS$3,0,0,'Données projet'!$E$14+1,1))-AVERAGE(OFFSET($H$3,0,0,'Données projet'!$E$14+1,1))</f>
        <v>455.50822833641354</v>
      </c>
      <c r="DU56" s="60">
        <f t="shared" si="44"/>
        <v>261.14722581688039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>
        <f>EJ56*VLOOKUP('Données projet'!$B$15,Paramètres!$A$1:$I$89,3,0)*VLOOKUP('Données projet'!$B$15,Paramètres!$A$1:$I$89,5,0)</f>
        <v>0</v>
      </c>
      <c r="EL56" s="14" t="e">
        <f t="shared" si="45"/>
        <v>#NUM!</v>
      </c>
      <c r="EM56" s="22" t="e">
        <f t="shared" si="19"/>
        <v>#NUM!</v>
      </c>
      <c r="EN56" s="60" t="e">
        <f t="shared" si="20"/>
        <v>#NUM!</v>
      </c>
      <c r="EO56" s="60">
        <f ca="1">AVERAGE(OFFSET($EN$3,0,0,'Données projet'!$E$15+1,1))-AVERAGE(OFFSET($H$3,0,0,'Données projet'!$E$15+1,1))</f>
        <v>207.03241199974599</v>
      </c>
      <c r="EP56" s="60">
        <f t="shared" si="46"/>
        <v>314.188568589113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8.5613929787541867</v>
      </c>
      <c r="EW56" s="23">
        <f>EXP(-LN(2)/25)*EW55+(1-EXP(-LN(2)/25))/(LN(2)/25)*Calculateur!ER56*Calculateur!ET56*VLOOKUP('Données projet'!$B$15,Paramètres!$A$1:$I$89,3,0)*0.475*44/12</f>
        <v>5.152653046674037</v>
      </c>
      <c r="EX56" s="23">
        <f>EXP(-LN(2)/2)*EX55+(1-EXP(-LN(2)/2))/(LN(2)/2)*ER56*EU56*VLOOKUP('Données projet'!$B$15,Paramètres!$A$1:$I$89,3,0)*0.475*44/12</f>
        <v>1.009708327918362E-3</v>
      </c>
      <c r="EY56" s="24">
        <f t="shared" si="21"/>
        <v>13.715055733756143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 t="e">
        <f>N57*VLOOKUP('Données projet'!$B$9,Paramètres!$A$1:$I$89,3,0)*VLOOKUP('Données projet'!$B$9,Paramètres!$A$1:$I$89,5,0)</f>
        <v>#N/A</v>
      </c>
      <c r="P57" s="14" t="e">
        <f t="shared" si="33"/>
        <v>#N/A</v>
      </c>
      <c r="Q57" s="22" t="e">
        <f t="shared" si="53"/>
        <v>#N/A</v>
      </c>
      <c r="R57" s="60" t="e">
        <f t="shared" si="0"/>
        <v>#N/A</v>
      </c>
      <c r="S57" s="60" t="e">
        <f ca="1">AVERAGE(OFFSET($R$3,0,0,'Données projet'!$E$9+1,1))-AVERAGE(OFFSET($H$3,0,0,'Données projet'!$E$9+1,1))</f>
        <v>#N/A</v>
      </c>
      <c r="T57" s="60" t="e">
        <f t="shared" si="34"/>
        <v>#N/A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 t="e">
        <f>EXP(-LN(2)/35)*Z56+(1-EXP(-LN(2)/35))/(LN(2)/35)*V57*W57*VLOOKUP('Données projet'!$B$9,Paramètres!$A$1:$I$89,3,0)*0.475*44/12</f>
        <v>#N/A</v>
      </c>
      <c r="AA57" s="23" t="e">
        <f>EXP(-LN(2)/25)*AA56+(1-EXP(-LN(2)/25))/(LN(2)/25)*Calculateur!V57*Calculateur!X57*VLOOKUP('Données projet'!$B$9,Paramètres!$A$1:$I$89,3,0)*0.475*44/12</f>
        <v>#N/A</v>
      </c>
      <c r="AB57" s="23" t="e">
        <f>EXP(-LN(2)/2)*AB56+(1-EXP(-LN(2)/2))/(LN(2)/2)*V57*Y57*VLOOKUP('Données projet'!$B$9,Paramètres!$A$1:$I$89,3,0)*0.475*44/12</f>
        <v>#N/A</v>
      </c>
      <c r="AC57" s="24" t="e">
        <f t="shared" si="3"/>
        <v>#N/A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0">
        <f t="shared" si="5"/>
        <v>666.61207984061377</v>
      </c>
      <c r="AN57" s="60">
        <f ca="1">AVERAGE(OFFSET($AM$3,0,0,'Données projet'!$E$10+1,1))-AVERAGE(OFFSET($H$3,0,0,'Données projet'!$E$10+1,1))</f>
        <v>428.8489304403459</v>
      </c>
      <c r="AO57" s="60">
        <f t="shared" si="36"/>
        <v>247.01165577562966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17.285714285714285</v>
      </c>
      <c r="BD57" s="13">
        <f>IF('Données projet'!$A$88&gt;35,BD56+BC57-BL56,IF(A57&lt;'Données projet'!$A$88,$BA$205^A57,IF(A57='Données projet'!$A$88,'Données projet'!$B$88,BD56+BC57-BL56)))</f>
        <v>479.42857142857122</v>
      </c>
      <c r="BE57" s="14">
        <f>BD57*VLOOKUP('Données projet'!$B$11,Paramètres!$A$1:$I$89,3,0)*VLOOKUP('Données projet'!$B$11,Paramètres!$A$1:$I$89,5,0)</f>
        <v>268.00057142857128</v>
      </c>
      <c r="BF57" s="14">
        <f t="shared" si="37"/>
        <v>64.42475669606354</v>
      </c>
      <c r="BG57" s="22">
        <f t="shared" si="7"/>
        <v>578.97411315040551</v>
      </c>
      <c r="BH57" s="60">
        <f t="shared" si="8"/>
        <v>872.30744648373889</v>
      </c>
      <c r="BI57" s="60">
        <f ca="1">AVERAGE(OFFSET($BH$3,0,0,'Données projet'!$E$11+1,1))-AVERAGE(OFFSET($H$3,0,0,'Données projet'!$E$11+1,1))</f>
        <v>374.79806286316051</v>
      </c>
      <c r="BJ57" s="60">
        <f t="shared" si="38"/>
        <v>350.01856672839466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11.4477504725456</v>
      </c>
      <c r="BR57" s="23">
        <f>EXP(-LN(2)/2)*BR56+(1-EXP(-LN(2)/2))/(LN(2)/2)*BL57*BO57*VLOOKUP('Données projet'!$B$11,Paramètres!$A$1:$I$89,3,0)*0.475*44/12</f>
        <v>2.6874465433801942E-3</v>
      </c>
      <c r="BS57" s="24">
        <f t="shared" si="9"/>
        <v>11.45043791908898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0">
        <f t="shared" si="11"/>
        <v>666.61207984061377</v>
      </c>
      <c r="CD57" s="60">
        <f ca="1">AVERAGE(OFFSET($CC$3,0,0,'Données projet'!$E$12+1,1))-AVERAGE(OFFSET($H$3,0,0,'Données projet'!$E$12+1,1))</f>
        <v>428.8489304403459</v>
      </c>
      <c r="CE57" s="60">
        <f t="shared" si="40"/>
        <v>247.01165577562966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4.8717948717948731</v>
      </c>
      <c r="CT57" s="13">
        <f>IF('Données projet'!$A$140&gt;35,CT56+CS57-DB56,IF(A57&lt;'Données projet'!$A$140,$CQ$205^A57,IF(A57='Données projet'!$A$140,'Données projet'!$B$140,CT56+CS57-DB56)))</f>
        <v>177.82051282051273</v>
      </c>
      <c r="CU57" s="18">
        <f>CT57*VLOOKUP('Données projet'!$B$13,Paramètres!$A$1:$I$89,3,0)*VLOOKUP('Données projet'!$B$13,Paramètres!$A$1:$I$89,5,0)</f>
        <v>169.21399999999991</v>
      </c>
      <c r="CV57" s="14">
        <f t="shared" si="41"/>
        <v>42.913938280485205</v>
      </c>
      <c r="CW57" s="22">
        <f t="shared" si="13"/>
        <v>369.45615917184494</v>
      </c>
      <c r="CX57" s="60">
        <f t="shared" si="14"/>
        <v>662.78949250517826</v>
      </c>
      <c r="CY57" s="60">
        <f ca="1">AVERAGE(OFFSET($CX$3,0,0,'Données projet'!$E$13+1,1))-AVERAGE(OFFSET($H$3,0,0,'Données projet'!$E$13+1,1))</f>
        <v>354.63118425028898</v>
      </c>
      <c r="CZ57" s="60">
        <f t="shared" si="42"/>
        <v>244.7141066773861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182.80079999999998</v>
      </c>
      <c r="DQ57" s="14">
        <f t="shared" si="43"/>
        <v>45.944751507471658</v>
      </c>
      <c r="DR57" s="22">
        <f t="shared" si="16"/>
        <v>398.39850220884642</v>
      </c>
      <c r="DS57" s="60">
        <f t="shared" si="17"/>
        <v>691.73183554217974</v>
      </c>
      <c r="DT57" s="60">
        <f ca="1">AVERAGE(OFFSET($DS$3,0,0,'Données projet'!$E$14+1,1))-AVERAGE(OFFSET($H$3,0,0,'Données projet'!$E$14+1,1))</f>
        <v>455.50822833641354</v>
      </c>
      <c r="DU57" s="60">
        <f t="shared" si="44"/>
        <v>261.14722581688039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>
        <f>EJ57*VLOOKUP('Données projet'!$B$15,Paramètres!$A$1:$I$89,3,0)*VLOOKUP('Données projet'!$B$15,Paramètres!$A$1:$I$89,5,0)</f>
        <v>0</v>
      </c>
      <c r="EL57" s="14" t="e">
        <f t="shared" si="45"/>
        <v>#NUM!</v>
      </c>
      <c r="EM57" s="22" t="e">
        <f t="shared" si="19"/>
        <v>#NUM!</v>
      </c>
      <c r="EN57" s="60" t="e">
        <f t="shared" si="20"/>
        <v>#NUM!</v>
      </c>
      <c r="EO57" s="60">
        <f ca="1">AVERAGE(OFFSET($EN$3,0,0,'Données projet'!$E$15+1,1))-AVERAGE(OFFSET($H$3,0,0,'Données projet'!$E$15+1,1))</f>
        <v>207.03241199974599</v>
      </c>
      <c r="EP57" s="60">
        <f t="shared" si="46"/>
        <v>314.188568589113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8.3935092843749111</v>
      </c>
      <c r="EW57" s="23">
        <f>EXP(-LN(2)/25)*EW56+(1-EXP(-LN(2)/25))/(LN(2)/25)*Calculateur!ER57*Calculateur!ET57*VLOOKUP('Données projet'!$B$15,Paramètres!$A$1:$I$89,3,0)*0.475*44/12</f>
        <v>5.0117534781464883</v>
      </c>
      <c r="EX57" s="23">
        <f>EXP(-LN(2)/2)*EX56+(1-EXP(-LN(2)/2))/(LN(2)/2)*ER57*EU57*VLOOKUP('Données projet'!$B$15,Paramètres!$A$1:$I$89,3,0)*0.475*44/12</f>
        <v>7.1397160569160395E-4</v>
      </c>
      <c r="EY57" s="24">
        <f t="shared" si="21"/>
        <v>13.405976734127091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 t="e">
        <f>N58*VLOOKUP('Données projet'!$B$9,Paramètres!$A$1:$I$89,3,0)*VLOOKUP('Données projet'!$B$9,Paramètres!$A$1:$I$89,5,0)</f>
        <v>#N/A</v>
      </c>
      <c r="P58" s="14" t="e">
        <f t="shared" si="33"/>
        <v>#N/A</v>
      </c>
      <c r="Q58" s="22" t="e">
        <f t="shared" si="53"/>
        <v>#N/A</v>
      </c>
      <c r="R58" s="60" t="e">
        <f t="shared" si="0"/>
        <v>#N/A</v>
      </c>
      <c r="S58" s="60" t="e">
        <f ca="1">AVERAGE(OFFSET($R$3,0,0,'Données projet'!$E$9+1,1))-AVERAGE(OFFSET($H$3,0,0,'Données projet'!$E$9+1,1))</f>
        <v>#N/A</v>
      </c>
      <c r="T58" s="60" t="e">
        <f t="shared" si="34"/>
        <v>#N/A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 t="e">
        <f>EXP(-LN(2)/35)*Z57+(1-EXP(-LN(2)/35))/(LN(2)/35)*V58*W58*VLOOKUP('Données projet'!$B$9,Paramètres!$A$1:$I$89,3,0)*0.475*44/12</f>
        <v>#N/A</v>
      </c>
      <c r="AA58" s="23" t="e">
        <f>EXP(-LN(2)/25)*AA57+(1-EXP(-LN(2)/25))/(LN(2)/25)*Calculateur!V58*Calculateur!X58*VLOOKUP('Données projet'!$B$9,Paramètres!$A$1:$I$89,3,0)*0.475*44/12</f>
        <v>#N/A</v>
      </c>
      <c r="AB58" s="23" t="e">
        <f>EXP(-LN(2)/2)*AB57+(1-EXP(-LN(2)/2))/(LN(2)/2)*V58*Y58*VLOOKUP('Données projet'!$B$9,Paramètres!$A$1:$I$89,3,0)*0.475*44/12</f>
        <v>#N/A</v>
      </c>
      <c r="AC58" s="24" t="e">
        <f t="shared" si="3"/>
        <v>#N/A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0">
        <f t="shared" si="5"/>
        <v>682.03369695342735</v>
      </c>
      <c r="AN58" s="60">
        <f ca="1">AVERAGE(OFFSET($AM$3,0,0,'Données projet'!$E$10+1,1))-AVERAGE(OFFSET($H$3,0,0,'Données projet'!$E$10+1,1))</f>
        <v>428.8489304403459</v>
      </c>
      <c r="AO58" s="60">
        <f t="shared" si="36"/>
        <v>247.01165577562966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17.285714285714285</v>
      </c>
      <c r="BD58" s="13">
        <f>IF('Données projet'!$A$88&gt;35,BD57+BC58-BL57,IF(A58&lt;'Données projet'!$A$88,$BA$205^A58,IF(A58='Données projet'!$A$88,'Données projet'!$B$88,BD57+BC58-BL57)))</f>
        <v>496.7142857142855</v>
      </c>
      <c r="BE58" s="14">
        <f>BD58*VLOOKUP('Données projet'!$B$11,Paramètres!$A$1:$I$89,3,0)*VLOOKUP('Données projet'!$B$11,Paramètres!$A$1:$I$89,5,0)</f>
        <v>277.66328571428562</v>
      </c>
      <c r="BF58" s="14">
        <f t="shared" si="37"/>
        <v>66.47295338451616</v>
      </c>
      <c r="BG58" s="22">
        <f t="shared" si="7"/>
        <v>599.37061643041295</v>
      </c>
      <c r="BH58" s="60">
        <f t="shared" si="8"/>
        <v>892.70394976374632</v>
      </c>
      <c r="BI58" s="60">
        <f ca="1">AVERAGE(OFFSET($BH$3,0,0,'Données projet'!$E$11+1,1))-AVERAGE(OFFSET($H$3,0,0,'Données projet'!$E$11+1,1))</f>
        <v>374.79806286316051</v>
      </c>
      <c r="BJ58" s="60">
        <f t="shared" si="38"/>
        <v>350.01856672839466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11.134711133862808</v>
      </c>
      <c r="BR58" s="23">
        <f>EXP(-LN(2)/2)*BR57+(1-EXP(-LN(2)/2))/(LN(2)/2)*BL58*BO58*VLOOKUP('Données projet'!$B$11,Paramètres!$A$1:$I$89,3,0)*0.475*44/12</f>
        <v>1.9003116749004825E-3</v>
      </c>
      <c r="BS58" s="24">
        <f t="shared" si="9"/>
        <v>11.136611445537708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0">
        <f t="shared" si="11"/>
        <v>682.03369695342735</v>
      </c>
      <c r="CD58" s="60">
        <f ca="1">AVERAGE(OFFSET($CC$3,0,0,'Données projet'!$E$12+1,1))-AVERAGE(OFFSET($H$3,0,0,'Données projet'!$E$12+1,1))</f>
        <v>428.8489304403459</v>
      </c>
      <c r="CE58" s="60">
        <f t="shared" si="40"/>
        <v>247.01165577562966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182.69230769230768</v>
      </c>
      <c r="CR58" s="13">
        <f>VLOOKUP(A58,'Données projet'!$A$139:$I$159,9,0)</f>
        <v>4.8717948717948731</v>
      </c>
      <c r="CS58" s="13">
        <f t="array" ref="CS58">INDEX(CR:CR,MIN(IF(ISNUMBER(CR58:CR254),ROW(CR58:CR254),"")))</f>
        <v>4.8717948717948731</v>
      </c>
      <c r="CT58" s="13">
        <f>IF('Données projet'!$A$140&gt;35,CT57+CS58-DB57,IF(A58&lt;'Données projet'!$A$140,$CQ$205^A58,IF(A58='Données projet'!$A$140,'Données projet'!$B$140,CT57+CS58-DB57)))</f>
        <v>182.69230769230759</v>
      </c>
      <c r="CU58" s="18">
        <f>CT58*VLOOKUP('Données projet'!$B$13,Paramètres!$A$1:$I$89,3,0)*VLOOKUP('Données projet'!$B$13,Paramètres!$A$1:$I$89,5,0)</f>
        <v>173.84999999999991</v>
      </c>
      <c r="CV58" s="14">
        <f t="shared" si="41"/>
        <v>43.951168452592761</v>
      </c>
      <c r="CW58" s="22">
        <f t="shared" si="13"/>
        <v>379.33703505493219</v>
      </c>
      <c r="CX58" s="60">
        <f t="shared" si="14"/>
        <v>672.6703683882655</v>
      </c>
      <c r="CY58" s="60">
        <f ca="1">AVERAGE(OFFSET($CX$3,0,0,'Données projet'!$E$13+1,1))-AVERAGE(OFFSET($H$3,0,0,'Données projet'!$E$13+1,1))</f>
        <v>354.63118425028898</v>
      </c>
      <c r="CZ58" s="60">
        <f t="shared" si="42"/>
        <v>244.7141066773861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28.205128205128204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190.5384</v>
      </c>
      <c r="DQ58" s="14">
        <f t="shared" si="43"/>
        <v>47.658965836673829</v>
      </c>
      <c r="DR58" s="22">
        <f t="shared" si="16"/>
        <v>414.86041216554025</v>
      </c>
      <c r="DS58" s="60">
        <f t="shared" si="17"/>
        <v>708.19374549887357</v>
      </c>
      <c r="DT58" s="60">
        <f ca="1">AVERAGE(OFFSET($DS$3,0,0,'Données projet'!$E$14+1,1))-AVERAGE(OFFSET($H$3,0,0,'Données projet'!$E$14+1,1))</f>
        <v>455.50822833641354</v>
      </c>
      <c r="DU58" s="60">
        <f t="shared" si="44"/>
        <v>261.14722581688039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>
        <f>EJ58*VLOOKUP('Données projet'!$B$15,Paramètres!$A$1:$I$89,3,0)*VLOOKUP('Données projet'!$B$15,Paramètres!$A$1:$I$89,5,0)</f>
        <v>0</v>
      </c>
      <c r="EL58" s="14" t="e">
        <f t="shared" si="45"/>
        <v>#NUM!</v>
      </c>
      <c r="EM58" s="22" t="e">
        <f t="shared" si="19"/>
        <v>#NUM!</v>
      </c>
      <c r="EN58" s="60" t="e">
        <f t="shared" si="20"/>
        <v>#NUM!</v>
      </c>
      <c r="EO58" s="60">
        <f ca="1">AVERAGE(OFFSET($EN$3,0,0,'Données projet'!$E$15+1,1))-AVERAGE(OFFSET($H$3,0,0,'Données projet'!$E$15+1,1))</f>
        <v>207.03241199974599</v>
      </c>
      <c r="EP58" s="60">
        <f t="shared" si="46"/>
        <v>314.188568589113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8.2289176868434701</v>
      </c>
      <c r="EW58" s="23">
        <f>EXP(-LN(2)/25)*EW57+(1-EXP(-LN(2)/25))/(LN(2)/25)*Calculateur!ER58*Calculateur!ET58*VLOOKUP('Données projet'!$B$15,Paramètres!$A$1:$I$89,3,0)*0.475*44/12</f>
        <v>4.8747068157299118</v>
      </c>
      <c r="EX58" s="23">
        <f>EXP(-LN(2)/2)*EX57+(1-EXP(-LN(2)/2))/(LN(2)/2)*ER58*EU58*VLOOKUP('Données projet'!$B$15,Paramètres!$A$1:$I$89,3,0)*0.475*44/12</f>
        <v>5.0485416395918098E-4</v>
      </c>
      <c r="EY58" s="24">
        <f t="shared" si="21"/>
        <v>13.10412935673734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 t="e">
        <f>N59*VLOOKUP('Données projet'!$B$9,Paramètres!$A$1:$I$89,3,0)*VLOOKUP('Données projet'!$B$9,Paramètres!$A$1:$I$89,5,0)</f>
        <v>#N/A</v>
      </c>
      <c r="P59" s="14" t="e">
        <f t="shared" si="33"/>
        <v>#N/A</v>
      </c>
      <c r="Q59" s="22" t="e">
        <f t="shared" si="53"/>
        <v>#N/A</v>
      </c>
      <c r="R59" s="60" t="e">
        <f t="shared" si="0"/>
        <v>#N/A</v>
      </c>
      <c r="S59" s="60" t="e">
        <f ca="1">AVERAGE(OFFSET($R$3,0,0,'Données projet'!$E$9+1,1))-AVERAGE(OFFSET($H$3,0,0,'Données projet'!$E$9+1,1))</f>
        <v>#N/A</v>
      </c>
      <c r="T59" s="60" t="e">
        <f t="shared" si="34"/>
        <v>#N/A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 t="e">
        <f>EXP(-LN(2)/35)*Z58+(1-EXP(-LN(2)/35))/(LN(2)/35)*V59*W59*VLOOKUP('Données projet'!$B$9,Paramètres!$A$1:$I$89,3,0)*0.475*44/12</f>
        <v>#N/A</v>
      </c>
      <c r="AA59" s="23" t="e">
        <f>EXP(-LN(2)/25)*AA58+(1-EXP(-LN(2)/25))/(LN(2)/25)*Calculateur!V59*Calculateur!X59*VLOOKUP('Données projet'!$B$9,Paramètres!$A$1:$I$89,3,0)*0.475*44/12</f>
        <v>#N/A</v>
      </c>
      <c r="AB59" s="23" t="e">
        <f>EXP(-LN(2)/2)*AB58+(1-EXP(-LN(2)/2))/(LN(2)/2)*V59*Y59*VLOOKUP('Données projet'!$B$9,Paramètres!$A$1:$I$89,3,0)*0.475*44/12</f>
        <v>#N/A</v>
      </c>
      <c r="AC59" s="24" t="e">
        <f t="shared" si="3"/>
        <v>#N/A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0">
        <f t="shared" si="5"/>
        <v>696.67192586439194</v>
      </c>
      <c r="AN59" s="60">
        <f ca="1">AVERAGE(OFFSET($AM$3,0,0,'Données projet'!$E$10+1,1))-AVERAGE(OFFSET($H$3,0,0,'Données projet'!$E$10+1,1))</f>
        <v>428.8489304403459</v>
      </c>
      <c r="AO59" s="60">
        <f t="shared" si="36"/>
        <v>247.01165577562966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514</v>
      </c>
      <c r="BB59" s="13">
        <f>VLOOKUP(A59,'Données projet'!$A$87:$I$107,9,0)</f>
        <v>17.285714285714285</v>
      </c>
      <c r="BC59" s="13">
        <f t="array" ref="BC59">INDEX(BB:BB,MIN(IF(ISNUMBER(BB59:BB255),ROW(BB59:BB255),"")))</f>
        <v>17.285714285714285</v>
      </c>
      <c r="BD59" s="13">
        <f>IF('Données projet'!$A$88&gt;35,BD58+BC59-BL58,IF(A59&lt;'Données projet'!$A$88,$BA$205^A59,IF(A59='Données projet'!$A$88,'Données projet'!$B$88,BD58+BC59-BL58)))</f>
        <v>513.99999999999977</v>
      </c>
      <c r="BE59" s="14">
        <f>BD59*VLOOKUP('Données projet'!$B$11,Paramètres!$A$1:$I$89,3,0)*VLOOKUP('Données projet'!$B$11,Paramètres!$A$1:$I$89,5,0)</f>
        <v>287.32599999999985</v>
      </c>
      <c r="BF59" s="14">
        <f t="shared" si="37"/>
        <v>68.512868389632061</v>
      </c>
      <c r="BG59" s="22">
        <f t="shared" si="7"/>
        <v>619.75269577860888</v>
      </c>
      <c r="BH59" s="60">
        <f t="shared" si="8"/>
        <v>913.08602911194225</v>
      </c>
      <c r="BI59" s="60">
        <f ca="1">AVERAGE(OFFSET($BH$3,0,0,'Données projet'!$E$11+1,1))-AVERAGE(OFFSET($H$3,0,0,'Données projet'!$E$11+1,1))</f>
        <v>374.79806286316051</v>
      </c>
      <c r="BJ59" s="60">
        <f t="shared" si="38"/>
        <v>350.01856672839466</v>
      </c>
      <c r="BK59" s="16">
        <f>IF(ISNA(VLOOKUP(A59,'Données projet'!$A$87:$I$107,3,0)),0,VLOOKUP(A59,'Données projet'!$A$87:$I$107,3,0))</f>
        <v>6</v>
      </c>
      <c r="BL59" s="16">
        <f>IF(ISNA(VLOOKUP(A59,'Données projet'!$A$87:$I$107,4,0)),0,VLOOKUP(A59,'Données projet'!$A$87:$I$107,4,0))</f>
        <v>85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10.83023187235832</v>
      </c>
      <c r="BR59" s="23">
        <f>EXP(-LN(2)/2)*BR58+(1-EXP(-LN(2)/2))/(LN(2)/2)*BL59*BO59*VLOOKUP('Données projet'!$B$11,Paramètres!$A$1:$I$89,3,0)*0.475*44/12</f>
        <v>1.3437232716900973E-3</v>
      </c>
      <c r="BS59" s="24">
        <f t="shared" si="9"/>
        <v>10.83157559563001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185.12207999999998</v>
      </c>
      <c r="CA59" s="14">
        <f t="shared" si="39"/>
        <v>46.459887003478677</v>
      </c>
      <c r="CB59" s="22">
        <f t="shared" si="10"/>
        <v>403.33859253105862</v>
      </c>
      <c r="CC59" s="60">
        <f t="shared" si="11"/>
        <v>696.67192586439194</v>
      </c>
      <c r="CD59" s="60">
        <f ca="1">AVERAGE(OFFSET($CC$3,0,0,'Données projet'!$E$12+1,1))-AVERAGE(OFFSET($H$3,0,0,'Données projet'!$E$12+1,1))</f>
        <v>428.8489304403459</v>
      </c>
      <c r="CE59" s="60">
        <f t="shared" si="40"/>
        <v>247.01165577562966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4.7435897435897463</v>
      </c>
      <c r="CT59" s="13">
        <f>IF('Données projet'!$A$140&gt;35,CT58+CS59-DB58,IF(A59&lt;'Données projet'!$A$140,$CQ$205^A59,IF(A59='Données projet'!$A$140,'Données projet'!$B$140,CT58+CS59-DB58)))</f>
        <v>159.23076923076914</v>
      </c>
      <c r="CU59" s="18">
        <f>CT59*VLOOKUP('Données projet'!$B$13,Paramètres!$A$1:$I$89,3,0)*VLOOKUP('Données projet'!$B$13,Paramètres!$A$1:$I$89,5,0)</f>
        <v>151.52399999999992</v>
      </c>
      <c r="CV59" s="14">
        <f t="shared" si="41"/>
        <v>38.924716067948651</v>
      </c>
      <c r="CW59" s="22">
        <f t="shared" si="13"/>
        <v>331.69818048501043</v>
      </c>
      <c r="CX59" s="60">
        <f t="shared" si="14"/>
        <v>625.03151381834368</v>
      </c>
      <c r="CY59" s="60">
        <f ca="1">AVERAGE(OFFSET($CX$3,0,0,'Données projet'!$E$13+1,1))-AVERAGE(OFFSET($H$3,0,0,'Données projet'!$E$13+1,1))</f>
        <v>354.63118425028898</v>
      </c>
      <c r="CZ59" s="60">
        <f t="shared" si="42"/>
        <v>244.7141066773861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197.88911999999999</v>
      </c>
      <c r="DQ59" s="14">
        <f t="shared" si="43"/>
        <v>49.279974103179534</v>
      </c>
      <c r="DR59" s="22">
        <f t="shared" si="16"/>
        <v>430.48617222970438</v>
      </c>
      <c r="DS59" s="60">
        <f t="shared" si="17"/>
        <v>723.81950556303764</v>
      </c>
      <c r="DT59" s="60">
        <f ca="1">AVERAGE(OFFSET($DS$3,0,0,'Données projet'!$E$14+1,1))-AVERAGE(OFFSET($H$3,0,0,'Données projet'!$E$14+1,1))</f>
        <v>455.50822833641354</v>
      </c>
      <c r="DU59" s="60">
        <f t="shared" si="44"/>
        <v>261.14722581688039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>
        <f>EJ59*VLOOKUP('Données projet'!$B$15,Paramètres!$A$1:$I$89,3,0)*VLOOKUP('Données projet'!$B$15,Paramètres!$A$1:$I$89,5,0)</f>
        <v>0</v>
      </c>
      <c r="EL59" s="14" t="e">
        <f t="shared" si="45"/>
        <v>#NUM!</v>
      </c>
      <c r="EM59" s="22" t="e">
        <f t="shared" si="19"/>
        <v>#NUM!</v>
      </c>
      <c r="EN59" s="60" t="e">
        <f t="shared" si="20"/>
        <v>#NUM!</v>
      </c>
      <c r="EO59" s="60">
        <f ca="1">AVERAGE(OFFSET($EN$3,0,0,'Données projet'!$E$15+1,1))-AVERAGE(OFFSET($H$3,0,0,'Données projet'!$E$15+1,1))</f>
        <v>207.03241199974599</v>
      </c>
      <c r="EP59" s="60">
        <f t="shared" si="46"/>
        <v>314.188568589113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8.0675536301486588</v>
      </c>
      <c r="EW59" s="23">
        <f>EXP(-LN(2)/25)*EW58+(1-EXP(-LN(2)/25))/(LN(2)/25)*Calculateur!ER59*Calculateur!ET59*VLOOKUP('Données projet'!$B$15,Paramètres!$A$1:$I$89,3,0)*0.475*44/12</f>
        <v>4.7414077015040874</v>
      </c>
      <c r="EX59" s="23">
        <f>EXP(-LN(2)/2)*EX58+(1-EXP(-LN(2)/2))/(LN(2)/2)*ER59*EU59*VLOOKUP('Données projet'!$B$15,Paramètres!$A$1:$I$89,3,0)*0.475*44/12</f>
        <v>3.5698580284580198E-4</v>
      </c>
      <c r="EY59" s="24">
        <f t="shared" si="21"/>
        <v>12.809318317455592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 t="e">
        <f>N60*VLOOKUP('Données projet'!$B$9,Paramètres!$A$1:$I$89,3,0)*VLOOKUP('Données projet'!$B$9,Paramètres!$A$1:$I$89,5,0)</f>
        <v>#N/A</v>
      </c>
      <c r="P60" s="14" t="e">
        <f t="shared" si="33"/>
        <v>#N/A</v>
      </c>
      <c r="Q60" s="22" t="e">
        <f t="shared" si="53"/>
        <v>#N/A</v>
      </c>
      <c r="R60" s="60" t="e">
        <f t="shared" si="0"/>
        <v>#N/A</v>
      </c>
      <c r="S60" s="60" t="e">
        <f ca="1">AVERAGE(OFFSET($R$3,0,0,'Données projet'!$E$9+1,1))-AVERAGE(OFFSET($H$3,0,0,'Données projet'!$E$9+1,1))</f>
        <v>#N/A</v>
      </c>
      <c r="T60" s="60" t="e">
        <f t="shared" si="34"/>
        <v>#N/A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 t="e">
        <f>EXP(-LN(2)/35)*Z59+(1-EXP(-LN(2)/35))/(LN(2)/35)*V60*W60*VLOOKUP('Données projet'!$B$9,Paramètres!$A$1:$I$89,3,0)*0.475*44/12</f>
        <v>#N/A</v>
      </c>
      <c r="AA60" s="23" t="e">
        <f>EXP(-LN(2)/25)*AA59+(1-EXP(-LN(2)/25))/(LN(2)/25)*Calculateur!V60*Calculateur!X60*VLOOKUP('Données projet'!$B$9,Paramètres!$A$1:$I$89,3,0)*0.475*44/12</f>
        <v>#N/A</v>
      </c>
      <c r="AB60" s="23" t="e">
        <f>EXP(-LN(2)/2)*AB59+(1-EXP(-LN(2)/2))/(LN(2)/2)*V60*Y60*VLOOKUP('Données projet'!$B$9,Paramètres!$A$1:$I$89,3,0)*0.475*44/12</f>
        <v>#N/A</v>
      </c>
      <c r="AC60" s="24" t="e">
        <f t="shared" si="3"/>
        <v>#N/A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0">
        <f t="shared" si="5"/>
        <v>711.29866832489597</v>
      </c>
      <c r="AN60" s="60">
        <f ca="1">AVERAGE(OFFSET($AM$3,0,0,'Données projet'!$E$10+1,1))-AVERAGE(OFFSET($H$3,0,0,'Données projet'!$E$10+1,1))</f>
        <v>428.8489304403459</v>
      </c>
      <c r="AO60" s="60">
        <f t="shared" si="36"/>
        <v>247.01165577562966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15.571428571428571</v>
      </c>
      <c r="BD60" s="13">
        <f>IF('Données projet'!$A$88&gt;35,BD59+BC60-BL59,IF(A60&lt;'Données projet'!$A$88,$BA$205^A60,IF(A60='Données projet'!$A$88,'Données projet'!$B$88,BD59+BC60-BL59)))</f>
        <v>444.57142857142833</v>
      </c>
      <c r="BE60" s="14">
        <f>BD60*VLOOKUP('Données projet'!$B$11,Paramètres!$A$1:$I$89,3,0)*VLOOKUP('Données projet'!$B$11,Paramètres!$A$1:$I$89,5,0)</f>
        <v>248.51542857142846</v>
      </c>
      <c r="BF60" s="14">
        <f t="shared" si="37"/>
        <v>60.267932112745214</v>
      </c>
      <c r="BG60" s="22">
        <f t="shared" si="7"/>
        <v>537.79768652493578</v>
      </c>
      <c r="BH60" s="60">
        <f t="shared" si="8"/>
        <v>831.13101985826916</v>
      </c>
      <c r="BI60" s="60">
        <f ca="1">AVERAGE(OFFSET($BH$3,0,0,'Données projet'!$E$11+1,1))-AVERAGE(OFFSET($H$3,0,0,'Données projet'!$E$11+1,1))</f>
        <v>374.79806286316051</v>
      </c>
      <c r="BJ60" s="60">
        <f t="shared" si="38"/>
        <v>350.01856672839466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10.534078612271541</v>
      </c>
      <c r="BR60" s="23">
        <f>EXP(-LN(2)/2)*BR59+(1-EXP(-LN(2)/2))/(LN(2)/2)*BL60*BO60*VLOOKUP('Données projet'!$B$11,Paramètres!$A$1:$I$89,3,0)*0.475*44/12</f>
        <v>9.5015583745024148E-4</v>
      </c>
      <c r="BS60" s="24">
        <f t="shared" si="9"/>
        <v>10.535028768108992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191.99855999999997</v>
      </c>
      <c r="CA60" s="14">
        <f t="shared" si="39"/>
        <v>47.981536645873334</v>
      </c>
      <c r="CB60" s="22">
        <f t="shared" si="10"/>
        <v>417.96533499156266</v>
      </c>
      <c r="CC60" s="60">
        <f t="shared" si="11"/>
        <v>711.29866832489597</v>
      </c>
      <c r="CD60" s="60">
        <f ca="1">AVERAGE(OFFSET($CC$3,0,0,'Données projet'!$E$12+1,1))-AVERAGE(OFFSET($H$3,0,0,'Données projet'!$E$12+1,1))</f>
        <v>428.8489304403459</v>
      </c>
      <c r="CE60" s="60">
        <f t="shared" si="40"/>
        <v>247.01165577562966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4.7435897435897463</v>
      </c>
      <c r="CT60" s="13">
        <f>IF('Données projet'!$A$140&gt;35,CT59+CS60-DB59,IF(A60&lt;'Données projet'!$A$140,$CQ$205^A60,IF(A60='Données projet'!$A$140,'Données projet'!$B$140,CT59+CS60-DB59)))</f>
        <v>163.97435897435889</v>
      </c>
      <c r="CU60" s="18">
        <f>CT60*VLOOKUP('Données projet'!$B$13,Paramètres!$A$1:$I$89,3,0)*VLOOKUP('Données projet'!$B$13,Paramètres!$A$1:$I$89,5,0)</f>
        <v>156.03799999999993</v>
      </c>
      <c r="CV60" s="14">
        <f t="shared" si="41"/>
        <v>39.94757532752773</v>
      </c>
      <c r="CW60" s="22">
        <f t="shared" si="13"/>
        <v>341.34154369544399</v>
      </c>
      <c r="CX60" s="60">
        <f t="shared" si="14"/>
        <v>634.67487702877725</v>
      </c>
      <c r="CY60" s="60">
        <f ca="1">AVERAGE(OFFSET($CX$3,0,0,'Données projet'!$E$13+1,1))-AVERAGE(OFFSET($H$3,0,0,'Données projet'!$E$13+1,1))</f>
        <v>354.63118425028898</v>
      </c>
      <c r="CZ60" s="60">
        <f t="shared" si="42"/>
        <v>244.7141066773861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205.23983999999999</v>
      </c>
      <c r="DQ60" s="14">
        <f t="shared" si="43"/>
        <v>50.893986960458122</v>
      </c>
      <c r="DR60" s="22">
        <f t="shared" si="16"/>
        <v>446.0997486227979</v>
      </c>
      <c r="DS60" s="60">
        <f t="shared" si="17"/>
        <v>739.43308195613122</v>
      </c>
      <c r="DT60" s="60">
        <f ca="1">AVERAGE(OFFSET($DS$3,0,0,'Données projet'!$E$14+1,1))-AVERAGE(OFFSET($H$3,0,0,'Données projet'!$E$14+1,1))</f>
        <v>455.50822833641354</v>
      </c>
      <c r="DU60" s="60">
        <f t="shared" si="44"/>
        <v>261.14722581688039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>
        <f>EJ60*VLOOKUP('Données projet'!$B$15,Paramètres!$A$1:$I$89,3,0)*VLOOKUP('Données projet'!$B$15,Paramètres!$A$1:$I$89,5,0)</f>
        <v>0</v>
      </c>
      <c r="EL60" s="14" t="e">
        <f t="shared" si="45"/>
        <v>#NUM!</v>
      </c>
      <c r="EM60" s="22" t="e">
        <f t="shared" si="19"/>
        <v>#NUM!</v>
      </c>
      <c r="EN60" s="60" t="e">
        <f t="shared" si="20"/>
        <v>#NUM!</v>
      </c>
      <c r="EO60" s="60">
        <f ca="1">AVERAGE(OFFSET($EN$3,0,0,'Données projet'!$E$15+1,1))-AVERAGE(OFFSET($H$3,0,0,'Données projet'!$E$15+1,1))</f>
        <v>207.03241199974599</v>
      </c>
      <c r="EP60" s="60">
        <f t="shared" si="46"/>
        <v>314.188568589113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7.9093538241832775</v>
      </c>
      <c r="EW60" s="23">
        <f>EXP(-LN(2)/25)*EW59+(1-EXP(-LN(2)/25))/(LN(2)/25)*Calculateur!ER60*Calculateur!ET60*VLOOKUP('Données projet'!$B$15,Paramètres!$A$1:$I$89,3,0)*0.475*44/12</f>
        <v>4.6117536585666636</v>
      </c>
      <c r="EX60" s="23">
        <f>EXP(-LN(2)/2)*EX59+(1-EXP(-LN(2)/2))/(LN(2)/2)*ER60*EU60*VLOOKUP('Données projet'!$B$15,Paramètres!$A$1:$I$89,3,0)*0.475*44/12</f>
        <v>2.5242708197959049E-4</v>
      </c>
      <c r="EY60" s="24">
        <f t="shared" si="21"/>
        <v>12.52135990983192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 t="e">
        <f>N61*VLOOKUP('Données projet'!$B$9,Paramètres!$A$1:$I$89,3,0)*VLOOKUP('Données projet'!$B$9,Paramètres!$A$1:$I$89,5,0)</f>
        <v>#N/A</v>
      </c>
      <c r="P61" s="14" t="e">
        <f t="shared" si="33"/>
        <v>#N/A</v>
      </c>
      <c r="Q61" s="22" t="e">
        <f t="shared" si="53"/>
        <v>#N/A</v>
      </c>
      <c r="R61" s="60" t="e">
        <f t="shared" si="0"/>
        <v>#N/A</v>
      </c>
      <c r="S61" s="60" t="e">
        <f ca="1">AVERAGE(OFFSET($R$3,0,0,'Données projet'!$E$9+1,1))-AVERAGE(OFFSET($H$3,0,0,'Données projet'!$E$9+1,1))</f>
        <v>#N/A</v>
      </c>
      <c r="T61" s="60" t="e">
        <f t="shared" si="34"/>
        <v>#N/A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 t="e">
        <f>EXP(-LN(2)/35)*Z60+(1-EXP(-LN(2)/35))/(LN(2)/35)*V61*W61*VLOOKUP('Données projet'!$B$9,Paramètres!$A$1:$I$89,3,0)*0.475*44/12</f>
        <v>#N/A</v>
      </c>
      <c r="AA61" s="23" t="e">
        <f>EXP(-LN(2)/25)*AA60+(1-EXP(-LN(2)/25))/(LN(2)/25)*Calculateur!V61*Calculateur!X61*VLOOKUP('Données projet'!$B$9,Paramètres!$A$1:$I$89,3,0)*0.475*44/12</f>
        <v>#N/A</v>
      </c>
      <c r="AB61" s="23" t="e">
        <f>EXP(-LN(2)/2)*AB60+(1-EXP(-LN(2)/2))/(LN(2)/2)*V61*Y61*VLOOKUP('Données projet'!$B$9,Paramètres!$A$1:$I$89,3,0)*0.475*44/12</f>
        <v>#N/A</v>
      </c>
      <c r="AC61" s="24" t="e">
        <f t="shared" si="3"/>
        <v>#N/A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0">
        <f t="shared" si="5"/>
        <v>725.91438285442098</v>
      </c>
      <c r="AN61" s="60">
        <f ca="1">AVERAGE(OFFSET($AM$3,0,0,'Données projet'!$E$10+1,1))-AVERAGE(OFFSET($H$3,0,0,'Données projet'!$E$10+1,1))</f>
        <v>428.8489304403459</v>
      </c>
      <c r="AO61" s="60">
        <f t="shared" si="36"/>
        <v>247.01165577562966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15.571428571428571</v>
      </c>
      <c r="BD61" s="13">
        <f>IF('Données projet'!$A$88&gt;35,BD60+BC61-BL60,IF(A61&lt;'Données projet'!$A$88,$BA$205^A61,IF(A61='Données projet'!$A$88,'Données projet'!$B$88,BD60+BC61-BL60)))</f>
        <v>460.14285714285688</v>
      </c>
      <c r="BE61" s="14">
        <f>BD61*VLOOKUP('Données projet'!$B$11,Paramètres!$A$1:$I$89,3,0)*VLOOKUP('Données projet'!$B$11,Paramètres!$A$1:$I$89,5,0)</f>
        <v>257.21985714285699</v>
      </c>
      <c r="BF61" s="14">
        <f t="shared" si="37"/>
        <v>62.129393573116417</v>
      </c>
      <c r="BG61" s="22">
        <f t="shared" si="7"/>
        <v>556.19994499698703</v>
      </c>
      <c r="BH61" s="60">
        <f t="shared" si="8"/>
        <v>849.5332783303204</v>
      </c>
      <c r="BI61" s="60">
        <f ca="1">AVERAGE(OFFSET($BH$3,0,0,'Données projet'!$E$11+1,1))-AVERAGE(OFFSET($H$3,0,0,'Données projet'!$E$11+1,1))</f>
        <v>374.79806286316051</v>
      </c>
      <c r="BJ61" s="60">
        <f t="shared" si="38"/>
        <v>350.01856672839466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10.246023678655858</v>
      </c>
      <c r="BR61" s="23">
        <f>EXP(-LN(2)/2)*BR60+(1-EXP(-LN(2)/2))/(LN(2)/2)*BL61*BO61*VLOOKUP('Données projet'!$B$11,Paramètres!$A$1:$I$89,3,0)*0.475*44/12</f>
        <v>6.7186163584504876E-4</v>
      </c>
      <c r="BS61" s="24">
        <f t="shared" si="9"/>
        <v>10.246695540291704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198.87503999999998</v>
      </c>
      <c r="CA61" s="14">
        <f t="shared" si="39"/>
        <v>49.496854461868558</v>
      </c>
      <c r="CB61" s="22">
        <f t="shared" si="10"/>
        <v>432.58104952108766</v>
      </c>
      <c r="CC61" s="60">
        <f t="shared" si="11"/>
        <v>725.91438285442098</v>
      </c>
      <c r="CD61" s="60">
        <f ca="1">AVERAGE(OFFSET($CC$3,0,0,'Données projet'!$E$12+1,1))-AVERAGE(OFFSET($H$3,0,0,'Données projet'!$E$12+1,1))</f>
        <v>428.8489304403459</v>
      </c>
      <c r="CE61" s="60">
        <f t="shared" si="40"/>
        <v>247.01165577562966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4.7435897435897463</v>
      </c>
      <c r="CT61" s="13">
        <f>IF('Données projet'!$A$140&gt;35,CT60+CS61-DB60,IF(A61&lt;'Données projet'!$A$140,$CQ$205^A61,IF(A61='Données projet'!$A$140,'Données projet'!$B$140,CT60+CS61-DB60)))</f>
        <v>168.71794871794864</v>
      </c>
      <c r="CU61" s="18">
        <f>CT61*VLOOKUP('Données projet'!$B$13,Paramètres!$A$1:$I$89,3,0)*VLOOKUP('Données projet'!$B$13,Paramètres!$A$1:$I$89,5,0)</f>
        <v>160.55199999999994</v>
      </c>
      <c r="CV61" s="14">
        <f t="shared" si="41"/>
        <v>40.966995580161921</v>
      </c>
      <c r="CW61" s="22">
        <f t="shared" si="13"/>
        <v>350.97891730211518</v>
      </c>
      <c r="CX61" s="60">
        <f t="shared" si="14"/>
        <v>644.31225063544844</v>
      </c>
      <c r="CY61" s="60">
        <f ca="1">AVERAGE(OFFSET($CX$3,0,0,'Données projet'!$E$13+1,1))-AVERAGE(OFFSET($H$3,0,0,'Données projet'!$E$13+1,1))</f>
        <v>354.63118425028898</v>
      </c>
      <c r="CZ61" s="60">
        <f t="shared" si="42"/>
        <v>244.7141066773861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212.59055999999998</v>
      </c>
      <c r="DQ61" s="14">
        <f t="shared" si="43"/>
        <v>52.501283653296404</v>
      </c>
      <c r="DR61" s="22">
        <f t="shared" si="16"/>
        <v>461.70162769615786</v>
      </c>
      <c r="DS61" s="60">
        <f t="shared" si="17"/>
        <v>755.03496102949111</v>
      </c>
      <c r="DT61" s="60">
        <f ca="1">AVERAGE(OFFSET($DS$3,0,0,'Données projet'!$E$14+1,1))-AVERAGE(OFFSET($H$3,0,0,'Données projet'!$E$14+1,1))</f>
        <v>455.50822833641354</v>
      </c>
      <c r="DU61" s="60">
        <f t="shared" si="44"/>
        <v>261.14722581688039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>
        <f>EJ61*VLOOKUP('Données projet'!$B$15,Paramètres!$A$1:$I$89,3,0)*VLOOKUP('Données projet'!$B$15,Paramètres!$A$1:$I$89,5,0)</f>
        <v>0</v>
      </c>
      <c r="EL61" s="14" t="e">
        <f t="shared" si="45"/>
        <v>#NUM!</v>
      </c>
      <c r="EM61" s="22" t="e">
        <f t="shared" si="19"/>
        <v>#NUM!</v>
      </c>
      <c r="EN61" s="60" t="e">
        <f t="shared" si="20"/>
        <v>#NUM!</v>
      </c>
      <c r="EO61" s="60">
        <f ca="1">AVERAGE(OFFSET($EN$3,0,0,'Données projet'!$E$15+1,1))-AVERAGE(OFFSET($H$3,0,0,'Données projet'!$E$15+1,1))</f>
        <v>207.03241199974599</v>
      </c>
      <c r="EP61" s="60">
        <f t="shared" si="46"/>
        <v>314.188568589113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7.7542562199205234</v>
      </c>
      <c r="EW61" s="23">
        <f>EXP(-LN(2)/25)*EW60+(1-EXP(-LN(2)/25))/(LN(2)/25)*Calculateur!ER61*Calculateur!ET61*VLOOKUP('Données projet'!$B$15,Paramètres!$A$1:$I$89,3,0)*0.475*44/12</f>
        <v>4.4856450122515739</v>
      </c>
      <c r="EX61" s="23">
        <f>EXP(-LN(2)/2)*EX60+(1-EXP(-LN(2)/2))/(LN(2)/2)*ER61*EU61*VLOOKUP('Données projet'!$B$15,Paramètres!$A$1:$I$89,3,0)*0.475*44/12</f>
        <v>1.7849290142290099E-4</v>
      </c>
      <c r="EY61" s="24">
        <f t="shared" si="21"/>
        <v>12.240079725073521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 t="e">
        <f>N62*VLOOKUP('Données projet'!$B$9,Paramètres!$A$1:$I$89,3,0)*VLOOKUP('Données projet'!$B$9,Paramètres!$A$1:$I$89,5,0)</f>
        <v>#N/A</v>
      </c>
      <c r="P62" s="14" t="e">
        <f t="shared" si="33"/>
        <v>#N/A</v>
      </c>
      <c r="Q62" s="22" t="e">
        <f t="shared" si="53"/>
        <v>#N/A</v>
      </c>
      <c r="R62" s="60" t="e">
        <f t="shared" si="0"/>
        <v>#N/A</v>
      </c>
      <c r="S62" s="60" t="e">
        <f ca="1">AVERAGE(OFFSET($R$3,0,0,'Données projet'!$E$9+1,1))-AVERAGE(OFFSET($H$3,0,0,'Données projet'!$E$9+1,1))</f>
        <v>#N/A</v>
      </c>
      <c r="T62" s="60" t="e">
        <f t="shared" si="34"/>
        <v>#N/A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 t="e">
        <f>EXP(-LN(2)/35)*Z61+(1-EXP(-LN(2)/35))/(LN(2)/35)*V62*W62*VLOOKUP('Données projet'!$B$9,Paramètres!$A$1:$I$89,3,0)*0.475*44/12</f>
        <v>#N/A</v>
      </c>
      <c r="AA62" s="23" t="e">
        <f>EXP(-LN(2)/25)*AA61+(1-EXP(-LN(2)/25))/(LN(2)/25)*Calculateur!V62*Calculateur!X62*VLOOKUP('Données projet'!$B$9,Paramètres!$A$1:$I$89,3,0)*0.475*44/12</f>
        <v>#N/A</v>
      </c>
      <c r="AB62" s="23" t="e">
        <f>EXP(-LN(2)/2)*AB61+(1-EXP(-LN(2)/2))/(LN(2)/2)*V62*Y62*VLOOKUP('Données projet'!$B$9,Paramètres!$A$1:$I$89,3,0)*0.475*44/12</f>
        <v>#N/A</v>
      </c>
      <c r="AC62" s="24" t="e">
        <f t="shared" si="3"/>
        <v>#N/A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0">
        <f t="shared" si="5"/>
        <v>740.51949446577237</v>
      </c>
      <c r="AN62" s="60">
        <f ca="1">AVERAGE(OFFSET($AM$3,0,0,'Données projet'!$E$10+1,1))-AVERAGE(OFFSET($H$3,0,0,'Données projet'!$E$10+1,1))</f>
        <v>428.8489304403459</v>
      </c>
      <c r="AO62" s="60">
        <f t="shared" si="36"/>
        <v>247.01165577562966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15.571428571428571</v>
      </c>
      <c r="BD62" s="13">
        <f>IF('Données projet'!$A$88&gt;35,BD61+BC62-BL61,IF(A62&lt;'Données projet'!$A$88,$BA$205^A62,IF(A62='Données projet'!$A$88,'Données projet'!$B$88,BD61+BC62-BL61)))</f>
        <v>475.71428571428544</v>
      </c>
      <c r="BE62" s="14">
        <f>BD62*VLOOKUP('Données projet'!$B$11,Paramètres!$A$1:$I$89,3,0)*VLOOKUP('Données projet'!$B$11,Paramètres!$A$1:$I$89,5,0)</f>
        <v>265.92428571428559</v>
      </c>
      <c r="BF62" s="14">
        <f t="shared" si="37"/>
        <v>63.983535636381461</v>
      </c>
      <c r="BG62" s="22">
        <f t="shared" si="7"/>
        <v>574.58945551907846</v>
      </c>
      <c r="BH62" s="60">
        <f t="shared" si="8"/>
        <v>867.92278885241171</v>
      </c>
      <c r="BI62" s="60">
        <f ca="1">AVERAGE(OFFSET($BH$3,0,0,'Données projet'!$E$11+1,1))-AVERAGE(OFFSET($H$3,0,0,'Données projet'!$E$11+1,1))</f>
        <v>374.79806286316051</v>
      </c>
      <c r="BJ62" s="60">
        <f t="shared" si="38"/>
        <v>350.01856672839466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9.9658456223480449</v>
      </c>
      <c r="BR62" s="23">
        <f>EXP(-LN(2)/2)*BR61+(1-EXP(-LN(2)/2))/(LN(2)/2)*BL62*BO62*VLOOKUP('Données projet'!$B$11,Paramètres!$A$1:$I$89,3,0)*0.475*44/12</f>
        <v>4.7507791872512079E-4</v>
      </c>
      <c r="BS62" s="24">
        <f t="shared" si="9"/>
        <v>9.9663207002667704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205.75151999999994</v>
      </c>
      <c r="CA62" s="14">
        <f t="shared" si="39"/>
        <v>51.006084477955554</v>
      </c>
      <c r="CB62" s="22">
        <f t="shared" si="10"/>
        <v>447.18616113243911</v>
      </c>
      <c r="CC62" s="60">
        <f t="shared" si="11"/>
        <v>740.51949446577237</v>
      </c>
      <c r="CD62" s="60">
        <f ca="1">AVERAGE(OFFSET($CC$3,0,0,'Données projet'!$E$12+1,1))-AVERAGE(OFFSET($H$3,0,0,'Données projet'!$E$12+1,1))</f>
        <v>428.8489304403459</v>
      </c>
      <c r="CE62" s="60">
        <f t="shared" si="40"/>
        <v>247.01165577562966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4.7435897435897463</v>
      </c>
      <c r="CT62" s="13">
        <f>IF('Données projet'!$A$140&gt;35,CT61+CS62-DB61,IF(A62&lt;'Données projet'!$A$140,$CQ$205^A62,IF(A62='Données projet'!$A$140,'Données projet'!$B$140,CT61+CS62-DB61)))</f>
        <v>173.4615384615384</v>
      </c>
      <c r="CU62" s="18">
        <f>CT62*VLOOKUP('Données projet'!$B$13,Paramètres!$A$1:$I$89,3,0)*VLOOKUP('Données projet'!$B$13,Paramètres!$A$1:$I$89,5,0)</f>
        <v>165.06599999999995</v>
      </c>
      <c r="CV62" s="14">
        <f t="shared" si="41"/>
        <v>41.983084622237634</v>
      </c>
      <c r="CW62" s="22">
        <f t="shared" si="13"/>
        <v>360.61048905039712</v>
      </c>
      <c r="CX62" s="60">
        <f t="shared" si="14"/>
        <v>653.94382238373043</v>
      </c>
      <c r="CY62" s="60">
        <f ca="1">AVERAGE(OFFSET($CX$3,0,0,'Données projet'!$E$13+1,1))-AVERAGE(OFFSET($H$3,0,0,'Données projet'!$E$13+1,1))</f>
        <v>354.63118425028898</v>
      </c>
      <c r="CZ62" s="60">
        <f t="shared" si="42"/>
        <v>244.7141066773861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219.94127999999995</v>
      </c>
      <c r="DQ62" s="14">
        <f t="shared" si="43"/>
        <v>54.102123020446285</v>
      </c>
      <c r="DR62" s="22">
        <f t="shared" si="16"/>
        <v>477.29226026061059</v>
      </c>
      <c r="DS62" s="60">
        <f t="shared" si="17"/>
        <v>770.6255935939439</v>
      </c>
      <c r="DT62" s="60">
        <f ca="1">AVERAGE(OFFSET($DS$3,0,0,'Données projet'!$E$14+1,1))-AVERAGE(OFFSET($H$3,0,0,'Données projet'!$E$14+1,1))</f>
        <v>455.50822833641354</v>
      </c>
      <c r="DU62" s="60">
        <f t="shared" si="44"/>
        <v>261.14722581688039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>
        <f>EJ62*VLOOKUP('Données projet'!$B$15,Paramètres!$A$1:$I$89,3,0)*VLOOKUP('Données projet'!$B$15,Paramètres!$A$1:$I$89,5,0)</f>
        <v>0</v>
      </c>
      <c r="EL62" s="14" t="e">
        <f t="shared" si="45"/>
        <v>#NUM!</v>
      </c>
      <c r="EM62" s="22" t="e">
        <f t="shared" si="19"/>
        <v>#NUM!</v>
      </c>
      <c r="EN62" s="60" t="e">
        <f t="shared" si="20"/>
        <v>#NUM!</v>
      </c>
      <c r="EO62" s="60">
        <f ca="1">AVERAGE(OFFSET($EN$3,0,0,'Données projet'!$E$15+1,1))-AVERAGE(OFFSET($H$3,0,0,'Données projet'!$E$15+1,1))</f>
        <v>207.03241199974599</v>
      </c>
      <c r="EP62" s="60">
        <f t="shared" si="46"/>
        <v>314.188568589113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7.6021999850771635</v>
      </c>
      <c r="EW62" s="23">
        <f>EXP(-LN(2)/25)*EW61+(1-EXP(-LN(2)/25))/(LN(2)/25)*Calculateur!ER62*Calculateur!ET62*VLOOKUP('Données projet'!$B$15,Paramètres!$A$1:$I$89,3,0)*0.475*44/12</f>
        <v>4.3629848135017353</v>
      </c>
      <c r="EX62" s="23">
        <f>EXP(-LN(2)/2)*EX61+(1-EXP(-LN(2)/2))/(LN(2)/2)*ER62*EU62*VLOOKUP('Données projet'!$B$15,Paramètres!$A$1:$I$89,3,0)*0.475*44/12</f>
        <v>1.2621354098979524E-4</v>
      </c>
      <c r="EY62" s="24">
        <f t="shared" si="21"/>
        <v>11.965311012119889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 t="e">
        <f>N63*VLOOKUP('Données projet'!$B$9,Paramètres!$A$1:$I$89,3,0)*VLOOKUP('Données projet'!$B$9,Paramètres!$A$1:$I$89,5,0)</f>
        <v>#N/A</v>
      </c>
      <c r="P63" s="14" t="e">
        <f t="shared" si="33"/>
        <v>#N/A</v>
      </c>
      <c r="Q63" s="22" t="e">
        <f t="shared" si="53"/>
        <v>#N/A</v>
      </c>
      <c r="R63" s="60" t="e">
        <f t="shared" si="0"/>
        <v>#N/A</v>
      </c>
      <c r="S63" s="60" t="e">
        <f ca="1">AVERAGE(OFFSET($R$3,0,0,'Données projet'!$E$9+1,1))-AVERAGE(OFFSET($H$3,0,0,'Données projet'!$E$9+1,1))</f>
        <v>#N/A</v>
      </c>
      <c r="T63" s="60" t="e">
        <f t="shared" si="34"/>
        <v>#N/A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 t="e">
        <f>EXP(-LN(2)/35)*Z62+(1-EXP(-LN(2)/35))/(LN(2)/35)*V63*W63*VLOOKUP('Données projet'!$B$9,Paramètres!$A$1:$I$89,3,0)*0.475*44/12</f>
        <v>#N/A</v>
      </c>
      <c r="AA63" s="23" t="e">
        <f>EXP(-LN(2)/25)*AA62+(1-EXP(-LN(2)/25))/(LN(2)/25)*Calculateur!V63*Calculateur!X63*VLOOKUP('Données projet'!$B$9,Paramètres!$A$1:$I$89,3,0)*0.475*44/12</f>
        <v>#N/A</v>
      </c>
      <c r="AB63" s="23" t="e">
        <f>EXP(-LN(2)/2)*AB62+(1-EXP(-LN(2)/2))/(LN(2)/2)*V63*Y63*VLOOKUP('Données projet'!$B$9,Paramètres!$A$1:$I$89,3,0)*0.475*44/12</f>
        <v>#N/A</v>
      </c>
      <c r="AC63" s="24" t="e">
        <f t="shared" si="3"/>
        <v>#N/A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0">
        <f t="shared" si="5"/>
        <v>755.11439815081053</v>
      </c>
      <c r="AN63" s="60">
        <f ca="1">AVERAGE(OFFSET($AM$3,0,0,'Données projet'!$E$10+1,1))-AVERAGE(OFFSET($H$3,0,0,'Données projet'!$E$10+1,1))</f>
        <v>428.8489304403459</v>
      </c>
      <c r="AO63" s="60">
        <f t="shared" si="36"/>
        <v>247.01165577562966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15.571428571428571</v>
      </c>
      <c r="BD63" s="13">
        <f>IF('Données projet'!$A$88&gt;35,BD62+BC63-BL62,IF(A63&lt;'Données projet'!$A$88,$BA$205^A63,IF(A63='Données projet'!$A$88,'Données projet'!$B$88,BD62+BC63-BL62)))</f>
        <v>491.28571428571399</v>
      </c>
      <c r="BE63" s="14">
        <f>BD63*VLOOKUP('Données projet'!$B$11,Paramètres!$A$1:$I$89,3,0)*VLOOKUP('Données projet'!$B$11,Paramètres!$A$1:$I$89,5,0)</f>
        <v>274.62871428571412</v>
      </c>
      <c r="BF63" s="14">
        <f t="shared" si="37"/>
        <v>65.830625361909483</v>
      </c>
      <c r="BG63" s="22">
        <f t="shared" si="7"/>
        <v>592.96668321961113</v>
      </c>
      <c r="BH63" s="60">
        <f t="shared" si="8"/>
        <v>886.3000165529445</v>
      </c>
      <c r="BI63" s="60">
        <f ca="1">AVERAGE(OFFSET($BH$3,0,0,'Données projet'!$E$11+1,1))-AVERAGE(OFFSET($H$3,0,0,'Données projet'!$E$11+1,1))</f>
        <v>374.79806286316051</v>
      </c>
      <c r="BJ63" s="60">
        <f t="shared" si="38"/>
        <v>350.01856672839466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9.6933290497238929</v>
      </c>
      <c r="BR63" s="23">
        <f>EXP(-LN(2)/2)*BR62+(1-EXP(-LN(2)/2))/(LN(2)/2)*BL63*BO63*VLOOKUP('Données projet'!$B$11,Paramètres!$A$1:$I$89,3,0)*0.475*44/12</f>
        <v>3.3593081792252443E-4</v>
      </c>
      <c r="BS63" s="24">
        <f t="shared" si="9"/>
        <v>9.6936649805418149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212.62799999999999</v>
      </c>
      <c r="CA63" s="14">
        <f t="shared" si="39"/>
        <v>52.509453483719035</v>
      </c>
      <c r="CB63" s="22">
        <f t="shared" si="10"/>
        <v>461.78106481747727</v>
      </c>
      <c r="CC63" s="60">
        <f t="shared" si="11"/>
        <v>755.11439815081053</v>
      </c>
      <c r="CD63" s="60">
        <f ca="1">AVERAGE(OFFSET($CC$3,0,0,'Données projet'!$E$12+1,1))-AVERAGE(OFFSET($H$3,0,0,'Données projet'!$E$12+1,1))</f>
        <v>428.8489304403459</v>
      </c>
      <c r="CE63" s="60">
        <f t="shared" si="40"/>
        <v>247.01165577562966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178.2051282051282</v>
      </c>
      <c r="CR63" s="13">
        <f>VLOOKUP(A63,'Données projet'!$A$139:$I$159,9,0)</f>
        <v>4.7435897435897463</v>
      </c>
      <c r="CS63" s="13">
        <f t="array" ref="CS63">INDEX(CR:CR,MIN(IF(ISNUMBER(CR63:CR259),ROW(CR63:CR259),"")))</f>
        <v>4.7435897435897463</v>
      </c>
      <c r="CT63" s="13">
        <f>IF('Données projet'!$A$140&gt;35,CT62+CS63-DB62,IF(A63&lt;'Données projet'!$A$140,$CQ$205^A63,IF(A63='Données projet'!$A$140,'Données projet'!$B$140,CT62+CS63-DB62)))</f>
        <v>178.20512820512815</v>
      </c>
      <c r="CU63" s="18">
        <f>CT63*VLOOKUP('Données projet'!$B$13,Paramètres!$A$1:$I$89,3,0)*VLOOKUP('Données projet'!$B$13,Paramètres!$A$1:$I$89,5,0)</f>
        <v>169.57999999999993</v>
      </c>
      <c r="CV63" s="14">
        <f t="shared" si="41"/>
        <v>42.995944018844156</v>
      </c>
      <c r="CW63" s="22">
        <f t="shared" si="13"/>
        <v>370.23643583282006</v>
      </c>
      <c r="CX63" s="60">
        <f t="shared" si="14"/>
        <v>663.56976916615338</v>
      </c>
      <c r="CY63" s="60">
        <f ca="1">AVERAGE(OFFSET($CX$3,0,0,'Données projet'!$E$13+1,1))-AVERAGE(OFFSET($H$3,0,0,'Données projet'!$E$13+1,1))</f>
        <v>354.63118425028898</v>
      </c>
      <c r="CZ63" s="60">
        <f t="shared" si="42"/>
        <v>244.7141066773861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227.292</v>
      </c>
      <c r="DQ63" s="14">
        <f t="shared" si="43"/>
        <v>55.6967456174837</v>
      </c>
      <c r="DR63" s="22">
        <f t="shared" si="16"/>
        <v>492.87206528378402</v>
      </c>
      <c r="DS63" s="60">
        <f t="shared" si="17"/>
        <v>786.20539861711734</v>
      </c>
      <c r="DT63" s="60">
        <f ca="1">AVERAGE(OFFSET($DS$3,0,0,'Données projet'!$E$14+1,1))-AVERAGE(OFFSET($H$3,0,0,'Données projet'!$E$14+1,1))</f>
        <v>455.50822833641354</v>
      </c>
      <c r="DU63" s="60">
        <f t="shared" si="44"/>
        <v>261.14722581688039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>
        <f>EJ63*VLOOKUP('Données projet'!$B$15,Paramètres!$A$1:$I$89,3,0)*VLOOKUP('Données projet'!$B$15,Paramètres!$A$1:$I$89,5,0)</f>
        <v>0</v>
      </c>
      <c r="EL63" s="14" t="e">
        <f t="shared" si="45"/>
        <v>#NUM!</v>
      </c>
      <c r="EM63" s="22" t="e">
        <f t="shared" si="19"/>
        <v>#NUM!</v>
      </c>
      <c r="EN63" s="60" t="e">
        <f t="shared" si="20"/>
        <v>#NUM!</v>
      </c>
      <c r="EO63" s="60">
        <f ca="1">AVERAGE(OFFSET($EN$3,0,0,'Données projet'!$E$15+1,1))-AVERAGE(OFFSET($H$3,0,0,'Données projet'!$E$15+1,1))</f>
        <v>207.03241199974599</v>
      </c>
      <c r="EP63" s="60">
        <f t="shared" si="46"/>
        <v>314.188568589113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7.4531254802539371</v>
      </c>
      <c r="EW63" s="23">
        <f>EXP(-LN(2)/25)*EW62+(1-EXP(-LN(2)/25))/(LN(2)/25)*Calculateur!ER63*Calculateur!ET63*VLOOKUP('Données projet'!$B$15,Paramètres!$A$1:$I$89,3,0)*0.475*44/12</f>
        <v>4.2436787643371305</v>
      </c>
      <c r="EX63" s="23">
        <f>EXP(-LN(2)/2)*EX62+(1-EXP(-LN(2)/2))/(LN(2)/2)*ER63*EU63*VLOOKUP('Données projet'!$B$15,Paramètres!$A$1:$I$89,3,0)*0.475*44/12</f>
        <v>8.9246450711450494E-5</v>
      </c>
      <c r="EY63" s="24">
        <f t="shared" si="21"/>
        <v>11.696893491041779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 t="e">
        <f>N64*VLOOKUP('Données projet'!$B$9,Paramètres!$A$1:$I$89,3,0)*VLOOKUP('Données projet'!$B$9,Paramètres!$A$1:$I$89,5,0)</f>
        <v>#N/A</v>
      </c>
      <c r="P64" s="14" t="e">
        <f t="shared" si="33"/>
        <v>#N/A</v>
      </c>
      <c r="Q64" s="22" t="e">
        <f t="shared" si="53"/>
        <v>#N/A</v>
      </c>
      <c r="R64" s="60" t="e">
        <f t="shared" si="0"/>
        <v>#N/A</v>
      </c>
      <c r="S64" s="60" t="e">
        <f ca="1">AVERAGE(OFFSET($R$3,0,0,'Données projet'!$E$9+1,1))-AVERAGE(OFFSET($H$3,0,0,'Données projet'!$E$9+1,1))</f>
        <v>#N/A</v>
      </c>
      <c r="T64" s="60" t="e">
        <f t="shared" si="34"/>
        <v>#N/A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 t="e">
        <f>EXP(-LN(2)/35)*Z63+(1-EXP(-LN(2)/35))/(LN(2)/35)*V64*W64*VLOOKUP('Données projet'!$B$9,Paramètres!$A$1:$I$89,3,0)*0.475*44/12</f>
        <v>#N/A</v>
      </c>
      <c r="AA64" s="23" t="e">
        <f>EXP(-LN(2)/25)*AA63+(1-EXP(-LN(2)/25))/(LN(2)/25)*Calculateur!V64*Calculateur!X64*VLOOKUP('Données projet'!$B$9,Paramètres!$A$1:$I$89,3,0)*0.475*44/12</f>
        <v>#N/A</v>
      </c>
      <c r="AB64" s="23" t="e">
        <f>EXP(-LN(2)/2)*AB63+(1-EXP(-LN(2)/2))/(LN(2)/2)*V64*Y64*VLOOKUP('Données projet'!$B$9,Paramètres!$A$1:$I$89,3,0)*0.475*44/12</f>
        <v>#N/A</v>
      </c>
      <c r="AC64" s="24" t="e">
        <f t="shared" si="3"/>
        <v>#N/A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0">
        <f t="shared" si="5"/>
        <v>688.19859268339724</v>
      </c>
      <c r="AN64" s="60">
        <f ca="1">AVERAGE(OFFSET($AM$3,0,0,'Données projet'!$E$10+1,1))-AVERAGE(OFFSET($H$3,0,0,'Données projet'!$E$10+1,1))</f>
        <v>428.8489304403459</v>
      </c>
      <c r="AO64" s="60">
        <f t="shared" si="36"/>
        <v>247.01165577562966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15.571428571428571</v>
      </c>
      <c r="BD64" s="13">
        <f>IF('Données projet'!$A$88&gt;35,BD63+BC64-BL63,IF(A64&lt;'Données projet'!$A$88,$BA$205^A64,IF(A64='Données projet'!$A$88,'Données projet'!$B$88,BD63+BC64-BL63)))</f>
        <v>506.85714285714255</v>
      </c>
      <c r="BE64" s="14">
        <f>BD64*VLOOKUP('Données projet'!$B$11,Paramètres!$A$1:$I$89,3,0)*VLOOKUP('Données projet'!$B$11,Paramètres!$A$1:$I$89,5,0)</f>
        <v>283.33314285714266</v>
      </c>
      <c r="BF64" s="14">
        <f t="shared" si="37"/>
        <v>67.670911918680105</v>
      </c>
      <c r="BG64" s="22">
        <f t="shared" si="7"/>
        <v>611.33206206789123</v>
      </c>
      <c r="BH64" s="60">
        <f t="shared" si="8"/>
        <v>904.66539540122449</v>
      </c>
      <c r="BI64" s="60">
        <f ca="1">AVERAGE(OFFSET($BH$3,0,0,'Données projet'!$E$11+1,1))-AVERAGE(OFFSET($H$3,0,0,'Données projet'!$E$11+1,1))</f>
        <v>374.79806286316051</v>
      </c>
      <c r="BJ64" s="60">
        <f t="shared" si="38"/>
        <v>350.01856672839466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9.4282644571091723</v>
      </c>
      <c r="BR64" s="23">
        <f>EXP(-LN(2)/2)*BR63+(1-EXP(-LN(2)/2))/(LN(2)/2)*BL64*BO64*VLOOKUP('Données projet'!$B$11,Paramètres!$A$1:$I$89,3,0)*0.475*44/12</f>
        <v>2.3753895936256045E-4</v>
      </c>
      <c r="BS64" s="24">
        <f t="shared" si="9"/>
        <v>9.428501996068535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0">
        <f t="shared" si="11"/>
        <v>688.19859268339724</v>
      </c>
      <c r="CD64" s="60">
        <f ca="1">AVERAGE(OFFSET($CC$3,0,0,'Données projet'!$E$12+1,1))-AVERAGE(OFFSET($H$3,0,0,'Données projet'!$E$12+1,1))</f>
        <v>428.8489304403459</v>
      </c>
      <c r="CE64" s="60">
        <f t="shared" si="40"/>
        <v>247.01165577562966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4.4871794871794863</v>
      </c>
      <c r="CT64" s="13">
        <f>IF('Données projet'!$A$140&gt;35,CT63+CS64-DB63,IF(A64&lt;'Données projet'!$A$140,$CQ$205^A64,IF(A64='Données projet'!$A$140,'Données projet'!$B$140,CT63+CS64-DB63)))</f>
        <v>182.69230769230762</v>
      </c>
      <c r="CU64" s="18">
        <f>CT64*VLOOKUP('Données projet'!$B$13,Paramètres!$A$1:$I$89,3,0)*VLOOKUP('Données projet'!$B$13,Paramètres!$A$1:$I$89,5,0)</f>
        <v>173.84999999999994</v>
      </c>
      <c r="CV64" s="14">
        <f t="shared" si="41"/>
        <v>43.951168452592761</v>
      </c>
      <c r="CW64" s="22">
        <f t="shared" si="13"/>
        <v>379.3370350549323</v>
      </c>
      <c r="CX64" s="60">
        <f t="shared" si="14"/>
        <v>672.67036838826562</v>
      </c>
      <c r="CY64" s="60">
        <f ca="1">AVERAGE(OFFSET($CX$3,0,0,'Données projet'!$E$13+1,1))-AVERAGE(OFFSET($H$3,0,0,'Données projet'!$E$13+1,1))</f>
        <v>354.63118425028898</v>
      </c>
      <c r="CZ64" s="60">
        <f t="shared" si="42"/>
        <v>244.7141066773861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193.63343999999998</v>
      </c>
      <c r="DQ64" s="14">
        <f t="shared" si="43"/>
        <v>48.342367086681229</v>
      </c>
      <c r="DR64" s="22">
        <f t="shared" si="16"/>
        <v>421.44119734263637</v>
      </c>
      <c r="DS64" s="60">
        <f t="shared" si="17"/>
        <v>714.77453067596969</v>
      </c>
      <c r="DT64" s="60">
        <f ca="1">AVERAGE(OFFSET($DS$3,0,0,'Données projet'!$E$14+1,1))-AVERAGE(OFFSET($H$3,0,0,'Données projet'!$E$14+1,1))</f>
        <v>455.50822833641354</v>
      </c>
      <c r="DU64" s="60">
        <f t="shared" si="44"/>
        <v>261.14722581688039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>
        <f>EJ64*VLOOKUP('Données projet'!$B$15,Paramètres!$A$1:$I$89,3,0)*VLOOKUP('Données projet'!$B$15,Paramètres!$A$1:$I$89,5,0)</f>
        <v>0</v>
      </c>
      <c r="EL64" s="14" t="e">
        <f t="shared" si="45"/>
        <v>#NUM!</v>
      </c>
      <c r="EM64" s="22" t="e">
        <f t="shared" si="19"/>
        <v>#NUM!</v>
      </c>
      <c r="EN64" s="60" t="e">
        <f t="shared" si="20"/>
        <v>#NUM!</v>
      </c>
      <c r="EO64" s="60">
        <f ca="1">AVERAGE(OFFSET($EN$3,0,0,'Données projet'!$E$15+1,1))-AVERAGE(OFFSET($H$3,0,0,'Données projet'!$E$15+1,1))</f>
        <v>207.03241199974599</v>
      </c>
      <c r="EP64" s="60">
        <f t="shared" si="46"/>
        <v>314.188568589113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7.3069742355438239</v>
      </c>
      <c r="EW64" s="23">
        <f>EXP(-LN(2)/25)*EW63+(1-EXP(-LN(2)/25))/(LN(2)/25)*Calculateur!ER64*Calculateur!ET64*VLOOKUP('Données projet'!$B$15,Paramètres!$A$1:$I$89,3,0)*0.475*44/12</f>
        <v>4.1276351453609648</v>
      </c>
      <c r="EX64" s="23">
        <f>EXP(-LN(2)/2)*EX63+(1-EXP(-LN(2)/2))/(LN(2)/2)*ER64*EU64*VLOOKUP('Données projet'!$B$15,Paramètres!$A$1:$I$89,3,0)*0.475*44/12</f>
        <v>6.3106770494897622E-5</v>
      </c>
      <c r="EY64" s="24">
        <f t="shared" si="21"/>
        <v>11.434672487675284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 t="e">
        <f>N65*VLOOKUP('Données projet'!$B$9,Paramètres!$A$1:$I$89,3,0)*VLOOKUP('Données projet'!$B$9,Paramètres!$A$1:$I$89,5,0)</f>
        <v>#N/A</v>
      </c>
      <c r="P65" s="14" t="e">
        <f t="shared" si="33"/>
        <v>#N/A</v>
      </c>
      <c r="Q65" s="22" t="e">
        <f t="shared" si="53"/>
        <v>#N/A</v>
      </c>
      <c r="R65" s="60" t="e">
        <f t="shared" si="0"/>
        <v>#N/A</v>
      </c>
      <c r="S65" s="60" t="e">
        <f ca="1">AVERAGE(OFFSET($R$3,0,0,'Données projet'!$E$9+1,1))-AVERAGE(OFFSET($H$3,0,0,'Données projet'!$E$9+1,1))</f>
        <v>#N/A</v>
      </c>
      <c r="T65" s="60" t="e">
        <f t="shared" si="34"/>
        <v>#N/A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 t="e">
        <f>EXP(-LN(2)/35)*Z64+(1-EXP(-LN(2)/35))/(LN(2)/35)*V65*W65*VLOOKUP('Données projet'!$B$9,Paramètres!$A$1:$I$89,3,0)*0.475*44/12</f>
        <v>#N/A</v>
      </c>
      <c r="AA65" s="23" t="e">
        <f>EXP(-LN(2)/25)*AA64+(1-EXP(-LN(2)/25))/(LN(2)/25)*Calculateur!V65*Calculateur!X65*VLOOKUP('Données projet'!$B$9,Paramètres!$A$1:$I$89,3,0)*0.475*44/12</f>
        <v>#N/A</v>
      </c>
      <c r="AB65" s="23" t="e">
        <f>EXP(-LN(2)/2)*AB64+(1-EXP(-LN(2)/2))/(LN(2)/2)*V65*Y65*VLOOKUP('Données projet'!$B$9,Paramètres!$A$1:$I$89,3,0)*0.475*44/12</f>
        <v>#N/A</v>
      </c>
      <c r="AC65" s="24" t="e">
        <f t="shared" si="3"/>
        <v>#N/A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0">
        <f t="shared" si="5"/>
        <v>702.06203699024263</v>
      </c>
      <c r="AN65" s="60">
        <f ca="1">AVERAGE(OFFSET($AM$3,0,0,'Données projet'!$E$10+1,1))-AVERAGE(OFFSET($H$3,0,0,'Données projet'!$E$10+1,1))</f>
        <v>428.8489304403459</v>
      </c>
      <c r="AO65" s="60">
        <f t="shared" si="36"/>
        <v>247.01165577562966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15.571428571428571</v>
      </c>
      <c r="BD65" s="13">
        <f>IF('Données projet'!$A$88&gt;35,BD64+BC65-BL64,IF(A65&lt;'Données projet'!$A$88,$BA$205^A65,IF(A65='Données projet'!$A$88,'Données projet'!$B$88,BD64+BC65-BL64)))</f>
        <v>522.4285714285711</v>
      </c>
      <c r="BE65" s="14">
        <f>BD65*VLOOKUP('Données projet'!$B$11,Paramètres!$A$1:$I$89,3,0)*VLOOKUP('Données projet'!$B$11,Paramètres!$A$1:$I$89,5,0)</f>
        <v>292.03757142857125</v>
      </c>
      <c r="BF65" s="14">
        <f t="shared" si="37"/>
        <v>69.504628296156</v>
      </c>
      <c r="BG65" s="22">
        <f t="shared" si="7"/>
        <v>629.68599785389995</v>
      </c>
      <c r="BH65" s="60">
        <f t="shared" si="8"/>
        <v>923.01933118723332</v>
      </c>
      <c r="BI65" s="60">
        <f ca="1">AVERAGE(OFFSET($BH$3,0,0,'Données projet'!$E$11+1,1))-AVERAGE(OFFSET($H$3,0,0,'Données projet'!$E$11+1,1))</f>
        <v>374.79806286316051</v>
      </c>
      <c r="BJ65" s="60">
        <f t="shared" si="38"/>
        <v>350.01856672839466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9.1704480697186419</v>
      </c>
      <c r="BR65" s="23">
        <f>EXP(-LN(2)/2)*BR64+(1-EXP(-LN(2)/2))/(LN(2)/2)*BL65*BO65*VLOOKUP('Données projet'!$B$11,Paramètres!$A$1:$I$89,3,0)*0.475*44/12</f>
        <v>1.6796540896126224E-4</v>
      </c>
      <c r="BS65" s="24">
        <f t="shared" si="9"/>
        <v>9.1706160351276029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0">
        <f t="shared" si="11"/>
        <v>702.06203699024263</v>
      </c>
      <c r="CD65" s="60">
        <f ca="1">AVERAGE(OFFSET($CC$3,0,0,'Données projet'!$E$12+1,1))-AVERAGE(OFFSET($H$3,0,0,'Données projet'!$E$12+1,1))</f>
        <v>428.8489304403459</v>
      </c>
      <c r="CE65" s="60">
        <f t="shared" si="40"/>
        <v>247.01165577562966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4.4871794871794863</v>
      </c>
      <c r="CT65" s="13">
        <f>IF('Données projet'!$A$140&gt;35,CT64+CS65-DB64,IF(A65&lt;'Données projet'!$A$140,$CQ$205^A65,IF(A65='Données projet'!$A$140,'Données projet'!$B$140,CT64+CS65-DB64)))</f>
        <v>187.1794871794871</v>
      </c>
      <c r="CU65" s="18">
        <f>CT65*VLOOKUP('Données projet'!$B$13,Paramètres!$A$1:$I$89,3,0)*VLOOKUP('Données projet'!$B$13,Paramètres!$A$1:$I$89,5,0)</f>
        <v>178.11999999999992</v>
      </c>
      <c r="CV65" s="14">
        <f t="shared" si="41"/>
        <v>44.90366556024162</v>
      </c>
      <c r="CW65" s="22">
        <f t="shared" si="13"/>
        <v>388.4328841840873</v>
      </c>
      <c r="CX65" s="60">
        <f t="shared" si="14"/>
        <v>681.76621751742061</v>
      </c>
      <c r="CY65" s="60">
        <f ca="1">AVERAGE(OFFSET($CX$3,0,0,'Données projet'!$E$13+1,1))-AVERAGE(OFFSET($H$3,0,0,'Données projet'!$E$13+1,1))</f>
        <v>354.63118425028898</v>
      </c>
      <c r="CZ65" s="60">
        <f t="shared" si="42"/>
        <v>244.7141066773861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200.59727999999996</v>
      </c>
      <c r="DQ65" s="14">
        <f t="shared" si="43"/>
        <v>49.875409002022977</v>
      </c>
      <c r="DR65" s="22">
        <f t="shared" si="16"/>
        <v>436.23993334518991</v>
      </c>
      <c r="DS65" s="60">
        <f t="shared" si="17"/>
        <v>729.57326667852317</v>
      </c>
      <c r="DT65" s="60">
        <f ca="1">AVERAGE(OFFSET($DS$3,0,0,'Données projet'!$E$14+1,1))-AVERAGE(OFFSET($H$3,0,0,'Données projet'!$E$14+1,1))</f>
        <v>455.50822833641354</v>
      </c>
      <c r="DU65" s="60">
        <f t="shared" si="44"/>
        <v>261.14722581688039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>
        <f>EJ65*VLOOKUP('Données projet'!$B$15,Paramètres!$A$1:$I$89,3,0)*VLOOKUP('Données projet'!$B$15,Paramètres!$A$1:$I$89,5,0)</f>
        <v>0</v>
      </c>
      <c r="EL65" s="14" t="e">
        <f t="shared" si="45"/>
        <v>#NUM!</v>
      </c>
      <c r="EM65" s="22" t="e">
        <f t="shared" si="19"/>
        <v>#NUM!</v>
      </c>
      <c r="EN65" s="60" t="e">
        <f t="shared" si="20"/>
        <v>#NUM!</v>
      </c>
      <c r="EO65" s="60">
        <f ca="1">AVERAGE(OFFSET($EN$3,0,0,'Données projet'!$E$15+1,1))-AVERAGE(OFFSET($H$3,0,0,'Données projet'!$E$15+1,1))</f>
        <v>207.03241199974599</v>
      </c>
      <c r="EP65" s="60">
        <f t="shared" si="46"/>
        <v>314.188568589113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7.1636889275990194</v>
      </c>
      <c r="EW65" s="23">
        <f>EXP(-LN(2)/25)*EW64+(1-EXP(-LN(2)/25))/(LN(2)/25)*Calculateur!ER65*Calculateur!ET65*VLOOKUP('Données projet'!$B$15,Paramètres!$A$1:$I$89,3,0)*0.475*44/12</f>
        <v>4.0147647452481703</v>
      </c>
      <c r="EX65" s="23">
        <f>EXP(-LN(2)/2)*EX64+(1-EXP(-LN(2)/2))/(LN(2)/2)*ER65*EU65*VLOOKUP('Données projet'!$B$15,Paramètres!$A$1:$I$89,3,0)*0.475*44/12</f>
        <v>4.4623225355725247E-5</v>
      </c>
      <c r="EY65" s="24">
        <f t="shared" si="21"/>
        <v>11.178498296072547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 t="e">
        <f>N66*VLOOKUP('Données projet'!$B$9,Paramètres!$A$1:$I$89,3,0)*VLOOKUP('Données projet'!$B$9,Paramètres!$A$1:$I$89,5,0)</f>
        <v>#N/A</v>
      </c>
      <c r="P66" s="14" t="e">
        <f t="shared" si="33"/>
        <v>#N/A</v>
      </c>
      <c r="Q66" s="22" t="e">
        <f t="shared" si="53"/>
        <v>#N/A</v>
      </c>
      <c r="R66" s="60" t="e">
        <f t="shared" si="0"/>
        <v>#N/A</v>
      </c>
      <c r="S66" s="60" t="e">
        <f ca="1">AVERAGE(OFFSET($R$3,0,0,'Données projet'!$E$9+1,1))-AVERAGE(OFFSET($H$3,0,0,'Données projet'!$E$9+1,1))</f>
        <v>#N/A</v>
      </c>
      <c r="T66" s="60" t="e">
        <f t="shared" si="34"/>
        <v>#N/A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 t="e">
        <f>EXP(-LN(2)/35)*Z65+(1-EXP(-LN(2)/35))/(LN(2)/35)*V66*W66*VLOOKUP('Données projet'!$B$9,Paramètres!$A$1:$I$89,3,0)*0.475*44/12</f>
        <v>#N/A</v>
      </c>
      <c r="AA66" s="23" t="e">
        <f>EXP(-LN(2)/25)*AA65+(1-EXP(-LN(2)/25))/(LN(2)/25)*Calculateur!V66*Calculateur!X66*VLOOKUP('Données projet'!$B$9,Paramètres!$A$1:$I$89,3,0)*0.475*44/12</f>
        <v>#N/A</v>
      </c>
      <c r="AB66" s="23" t="e">
        <f>EXP(-LN(2)/2)*AB65+(1-EXP(-LN(2)/2))/(LN(2)/2)*V66*Y66*VLOOKUP('Données projet'!$B$9,Paramètres!$A$1:$I$89,3,0)*0.475*44/12</f>
        <v>#N/A</v>
      </c>
      <c r="AC66" s="24" t="e">
        <f t="shared" si="3"/>
        <v>#N/A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0">
        <f t="shared" si="5"/>
        <v>715.91532773426115</v>
      </c>
      <c r="AN66" s="60">
        <f ca="1">AVERAGE(OFFSET($AM$3,0,0,'Données projet'!$E$10+1,1))-AVERAGE(OFFSET($H$3,0,0,'Données projet'!$E$10+1,1))</f>
        <v>428.8489304403459</v>
      </c>
      <c r="AO66" s="60">
        <f t="shared" si="36"/>
        <v>247.01165577562966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538</v>
      </c>
      <c r="BB66" s="13">
        <f>VLOOKUP(A66,'Données projet'!$A$87:$I$107,9,0)</f>
        <v>15.571428571428571</v>
      </c>
      <c r="BC66" s="13">
        <f t="array" ref="BC66">INDEX(BB:BB,MIN(IF(ISNUMBER(BB66:BB262),ROW(BB66:BB262),"")))</f>
        <v>15.571428571428571</v>
      </c>
      <c r="BD66" s="13">
        <f>IF('Données projet'!$A$88&gt;35,BD65+BC66-BL65,IF(A66&lt;'Données projet'!$A$88,$BA$205^A66,IF(A66='Données projet'!$A$88,'Données projet'!$B$88,BD65+BC66-BL65)))</f>
        <v>537.99999999999966</v>
      </c>
      <c r="BE66" s="14">
        <f>BD66*VLOOKUP('Données projet'!$B$11,Paramètres!$A$1:$I$89,3,0)*VLOOKUP('Données projet'!$B$11,Paramètres!$A$1:$I$89,5,0)</f>
        <v>300.74199999999985</v>
      </c>
      <c r="BF66" s="14">
        <f t="shared" si="37"/>
        <v>71.331992805448763</v>
      </c>
      <c r="BG66" s="22">
        <f t="shared" si="7"/>
        <v>648.02887080282289</v>
      </c>
      <c r="BH66" s="60">
        <f t="shared" si="8"/>
        <v>941.36220413615615</v>
      </c>
      <c r="BI66" s="60">
        <f ca="1">AVERAGE(OFFSET($BH$3,0,0,'Données projet'!$E$11+1,1))-AVERAGE(OFFSET($H$3,0,0,'Données projet'!$E$11+1,1))</f>
        <v>374.79806286316051</v>
      </c>
      <c r="BJ66" s="60">
        <f t="shared" si="38"/>
        <v>350.01856672839466</v>
      </c>
      <c r="BK66" s="16">
        <f>IF(ISNA(VLOOKUP(A66,'Données projet'!$A$87:$I$107,3,0)),0,VLOOKUP(A66,'Données projet'!$A$87:$I$107,3,0))</f>
        <v>7</v>
      </c>
      <c r="BL66" s="16">
        <f>IF(ISNA(VLOOKUP(A66,'Données projet'!$A$87:$I$107,4,0)),0,VLOOKUP(A66,'Données projet'!$A$87:$I$107,4,0))</f>
        <v>84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8.919681684999281</v>
      </c>
      <c r="BR66" s="23">
        <f>EXP(-LN(2)/2)*BR65+(1-EXP(-LN(2)/2))/(LN(2)/2)*BL66*BO66*VLOOKUP('Données projet'!$B$11,Paramètres!$A$1:$I$89,3,0)*0.475*44/12</f>
        <v>1.1876947968128024E-4</v>
      </c>
      <c r="BS66" s="24">
        <f t="shared" si="9"/>
        <v>8.9198004544789615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0">
        <f t="shared" si="11"/>
        <v>715.91532773426115</v>
      </c>
      <c r="CD66" s="60">
        <f ca="1">AVERAGE(OFFSET($CC$3,0,0,'Données projet'!$E$12+1,1))-AVERAGE(OFFSET($H$3,0,0,'Données projet'!$E$12+1,1))</f>
        <v>428.8489304403459</v>
      </c>
      <c r="CE66" s="60">
        <f t="shared" si="40"/>
        <v>247.01165577562966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4.4871794871794863</v>
      </c>
      <c r="CT66" s="13">
        <f>IF('Données projet'!$A$140&gt;35,CT65+CS66-DB65,IF(A66&lt;'Données projet'!$A$140,$CQ$205^A66,IF(A66='Données projet'!$A$140,'Données projet'!$B$140,CT65+CS66-DB65)))</f>
        <v>191.66666666666657</v>
      </c>
      <c r="CU66" s="18">
        <f>CT66*VLOOKUP('Données projet'!$B$13,Paramètres!$A$1:$I$89,3,0)*VLOOKUP('Données projet'!$B$13,Paramètres!$A$1:$I$89,5,0)</f>
        <v>182.3899999999999</v>
      </c>
      <c r="CV66" s="14">
        <f t="shared" si="41"/>
        <v>45.853508245632462</v>
      </c>
      <c r="CW66" s="22">
        <f t="shared" si="13"/>
        <v>397.52411019447635</v>
      </c>
      <c r="CX66" s="60">
        <f t="shared" si="14"/>
        <v>690.85744352780966</v>
      </c>
      <c r="CY66" s="60">
        <f ca="1">AVERAGE(OFFSET($CX$3,0,0,'Données projet'!$E$13+1,1))-AVERAGE(OFFSET($H$3,0,0,'Données projet'!$E$13+1,1))</f>
        <v>354.63118425028898</v>
      </c>
      <c r="CZ66" s="60">
        <f t="shared" si="42"/>
        <v>244.7141066773861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207.56111999999996</v>
      </c>
      <c r="DQ66" s="14">
        <f t="shared" si="43"/>
        <v>51.40226725537714</v>
      </c>
      <c r="DR66" s="22">
        <f t="shared" si="16"/>
        <v>451.02789946978169</v>
      </c>
      <c r="DS66" s="60">
        <f t="shared" si="17"/>
        <v>744.36123280311494</v>
      </c>
      <c r="DT66" s="60">
        <f ca="1">AVERAGE(OFFSET($DS$3,0,0,'Données projet'!$E$14+1,1))-AVERAGE(OFFSET($H$3,0,0,'Données projet'!$E$14+1,1))</f>
        <v>455.50822833641354</v>
      </c>
      <c r="DU66" s="60">
        <f t="shared" si="44"/>
        <v>261.14722581688039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>
        <f>EJ66*VLOOKUP('Données projet'!$B$15,Paramètres!$A$1:$I$89,3,0)*VLOOKUP('Données projet'!$B$15,Paramètres!$A$1:$I$89,5,0)</f>
        <v>0</v>
      </c>
      <c r="EL66" s="14" t="e">
        <f t="shared" si="45"/>
        <v>#NUM!</v>
      </c>
      <c r="EM66" s="22" t="e">
        <f t="shared" si="19"/>
        <v>#NUM!</v>
      </c>
      <c r="EN66" s="60" t="e">
        <f t="shared" si="20"/>
        <v>#NUM!</v>
      </c>
      <c r="EO66" s="60">
        <f ca="1">AVERAGE(OFFSET($EN$3,0,0,'Données projet'!$E$15+1,1))-AVERAGE(OFFSET($H$3,0,0,'Données projet'!$E$15+1,1))</f>
        <v>207.03241199974599</v>
      </c>
      <c r="EP66" s="60">
        <f t="shared" si="46"/>
        <v>314.188568589113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7.0232133571476041</v>
      </c>
      <c r="EW66" s="23">
        <f>EXP(-LN(2)/25)*EW65+(1-EXP(-LN(2)/25))/(LN(2)/25)*Calculateur!ER66*Calculateur!ET66*VLOOKUP('Données projet'!$B$15,Paramètres!$A$1:$I$89,3,0)*0.475*44/12</f>
        <v>3.904980792162057</v>
      </c>
      <c r="EX66" s="23">
        <f>EXP(-LN(2)/2)*EX65+(1-EXP(-LN(2)/2))/(LN(2)/2)*ER66*EU66*VLOOKUP('Données projet'!$B$15,Paramètres!$A$1:$I$89,3,0)*0.475*44/12</f>
        <v>3.1553385247448811E-5</v>
      </c>
      <c r="EY66" s="24">
        <f t="shared" si="21"/>
        <v>10.928225702694908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 t="e">
        <f>N67*VLOOKUP('Données projet'!$B$9,Paramètres!$A$1:$I$89,3,0)*VLOOKUP('Données projet'!$B$9,Paramètres!$A$1:$I$89,5,0)</f>
        <v>#N/A</v>
      </c>
      <c r="P67" s="14" t="e">
        <f t="shared" si="33"/>
        <v>#N/A</v>
      </c>
      <c r="Q67" s="22" t="e">
        <f t="shared" ref="Q67:Q98" si="54">(O67+P67)*0.475*44/12</f>
        <v>#N/A</v>
      </c>
      <c r="R67" s="60" t="e">
        <f t="shared" ref="R67:R130" si="55">Q67+(I67+J67)*44/12</f>
        <v>#N/A</v>
      </c>
      <c r="S67" s="60" t="e">
        <f ca="1">AVERAGE(OFFSET($R$3,0,0,'Données projet'!$E$9+1,1))-AVERAGE(OFFSET($H$3,0,0,'Données projet'!$E$9+1,1))</f>
        <v>#N/A</v>
      </c>
      <c r="T67" s="60" t="e">
        <f t="shared" si="34"/>
        <v>#N/A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 t="e">
        <f>EXP(-LN(2)/35)*Z66+(1-EXP(-LN(2)/35))/(LN(2)/35)*V67*W67*VLOOKUP('Données projet'!$B$9,Paramètres!$A$1:$I$89,3,0)*0.475*44/12</f>
        <v>#N/A</v>
      </c>
      <c r="AA67" s="23" t="e">
        <f>EXP(-LN(2)/25)*AA66+(1-EXP(-LN(2)/25))/(LN(2)/25)*Calculateur!V67*Calculateur!X67*VLOOKUP('Données projet'!$B$9,Paramètres!$A$1:$I$89,3,0)*0.475*44/12</f>
        <v>#N/A</v>
      </c>
      <c r="AB67" s="23" t="e">
        <f>EXP(-LN(2)/2)*AB66+(1-EXP(-LN(2)/2))/(LN(2)/2)*V67*Y67*VLOOKUP('Données projet'!$B$9,Paramètres!$A$1:$I$89,3,0)*0.475*44/12</f>
        <v>#N/A</v>
      </c>
      <c r="AC67" s="24" t="e">
        <f t="shared" si="3"/>
        <v>#N/A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0">
        <f t="shared" si="5"/>
        <v>729.75884463141938</v>
      </c>
      <c r="AN67" s="60">
        <f ca="1">AVERAGE(OFFSET($AM$3,0,0,'Données projet'!$E$10+1,1))-AVERAGE(OFFSET($H$3,0,0,'Données projet'!$E$10+1,1))</f>
        <v>428.8489304403459</v>
      </c>
      <c r="AO67" s="60">
        <f t="shared" si="36"/>
        <v>247.01165577562966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13.857142857142858</v>
      </c>
      <c r="BD67" s="13">
        <f>IF('Données projet'!$A$88&gt;35,BD66+BC67-BL66,IF(A67&lt;'Données projet'!$A$88,$BA$205^A67,IF(A67='Données projet'!$A$88,'Données projet'!$B$88,BD66+BC67-BL66)))</f>
        <v>467.85714285714255</v>
      </c>
      <c r="BE67" s="14">
        <f>BD67*VLOOKUP('Données projet'!$B$11,Paramètres!$A$1:$I$89,3,0)*VLOOKUP('Données projet'!$B$11,Paramètres!$A$1:$I$89,5,0)</f>
        <v>261.53214285714273</v>
      </c>
      <c r="BF67" s="14">
        <f t="shared" si="37"/>
        <v>63.048857133846255</v>
      </c>
      <c r="BG67" s="22">
        <f t="shared" si="7"/>
        <v>565.31190831763899</v>
      </c>
      <c r="BH67" s="60">
        <f t="shared" si="8"/>
        <v>858.64524165097237</v>
      </c>
      <c r="BI67" s="60">
        <f ca="1">AVERAGE(OFFSET($BH$3,0,0,'Données projet'!$E$11+1,1))-AVERAGE(OFFSET($H$3,0,0,'Données projet'!$E$11+1,1))</f>
        <v>374.79806286316051</v>
      </c>
      <c r="BJ67" s="60">
        <f t="shared" si="38"/>
        <v>350.01856672839466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8.6757725202573024</v>
      </c>
      <c r="BR67" s="23">
        <f>EXP(-LN(2)/2)*BR66+(1-EXP(-LN(2)/2))/(LN(2)/2)*BL67*BO67*VLOOKUP('Données projet'!$B$11,Paramètres!$A$1:$I$89,3,0)*0.475*44/12</f>
        <v>8.3982704480631135E-5</v>
      </c>
      <c r="BS67" s="24">
        <f t="shared" si="9"/>
        <v>8.6758565029617838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0">
        <f t="shared" si="11"/>
        <v>729.75884463141938</v>
      </c>
      <c r="CD67" s="60">
        <f ca="1">AVERAGE(OFFSET($CC$3,0,0,'Données projet'!$E$12+1,1))-AVERAGE(OFFSET($H$3,0,0,'Données projet'!$E$12+1,1))</f>
        <v>428.8489304403459</v>
      </c>
      <c r="CE67" s="60">
        <f t="shared" si="40"/>
        <v>247.01165577562966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4.4871794871794863</v>
      </c>
      <c r="CT67" s="13">
        <f>IF('Données projet'!$A$140&gt;35,CT66+CS67-DB66,IF(A67&lt;'Données projet'!$A$140,$CQ$205^A67,IF(A67='Données projet'!$A$140,'Données projet'!$B$140,CT66+CS67-DB66)))</f>
        <v>196.15384615384605</v>
      </c>
      <c r="CU67" s="18">
        <f>CT67*VLOOKUP('Données projet'!$B$13,Paramètres!$A$1:$I$89,3,0)*VLOOKUP('Données projet'!$B$13,Paramètres!$A$1:$I$89,5,0)</f>
        <v>186.65999999999991</v>
      </c>
      <c r="CV67" s="14">
        <f t="shared" si="41"/>
        <v>46.800765804305463</v>
      </c>
      <c r="CW67" s="22">
        <f t="shared" si="13"/>
        <v>406.61083377583185</v>
      </c>
      <c r="CX67" s="60">
        <f t="shared" si="14"/>
        <v>699.94416710916516</v>
      </c>
      <c r="CY67" s="60">
        <f ca="1">AVERAGE(OFFSET($CX$3,0,0,'Données projet'!$E$13+1,1))-AVERAGE(OFFSET($H$3,0,0,'Données projet'!$E$13+1,1))</f>
        <v>354.63118425028898</v>
      </c>
      <c r="CZ67" s="60">
        <f t="shared" si="42"/>
        <v>244.7141066773861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214.52495999999994</v>
      </c>
      <c r="DQ67" s="14">
        <f t="shared" si="43"/>
        <v>52.923173099085716</v>
      </c>
      <c r="DR67" s="22">
        <f t="shared" si="16"/>
        <v>465.80549848090754</v>
      </c>
      <c r="DS67" s="60">
        <f t="shared" si="17"/>
        <v>759.1388318142408</v>
      </c>
      <c r="DT67" s="60">
        <f ca="1">AVERAGE(OFFSET($DS$3,0,0,'Données projet'!$E$14+1,1))-AVERAGE(OFFSET($H$3,0,0,'Données projet'!$E$14+1,1))</f>
        <v>455.50822833641354</v>
      </c>
      <c r="DU67" s="60">
        <f t="shared" si="44"/>
        <v>261.14722581688039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>
        <f>EJ67*VLOOKUP('Données projet'!$B$15,Paramètres!$A$1:$I$89,3,0)*VLOOKUP('Données projet'!$B$15,Paramètres!$A$1:$I$89,5,0)</f>
        <v>0</v>
      </c>
      <c r="EL67" s="14" t="e">
        <f t="shared" si="45"/>
        <v>#NUM!</v>
      </c>
      <c r="EM67" s="22" t="e">
        <f t="shared" si="19"/>
        <v>#NUM!</v>
      </c>
      <c r="EN67" s="60" t="e">
        <f t="shared" si="20"/>
        <v>#NUM!</v>
      </c>
      <c r="EO67" s="60">
        <f ca="1">AVERAGE(OFFSET($EN$3,0,0,'Données projet'!$E$15+1,1))-AVERAGE(OFFSET($H$3,0,0,'Données projet'!$E$15+1,1))</f>
        <v>207.03241199974599</v>
      </c>
      <c r="EP67" s="60">
        <f t="shared" si="46"/>
        <v>314.188568589113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6.8854924269511031</v>
      </c>
      <c r="EW67" s="23">
        <f>EXP(-LN(2)/25)*EW66+(1-EXP(-LN(2)/25))/(LN(2)/25)*Calculateur!ER67*Calculateur!ET67*VLOOKUP('Données projet'!$B$15,Paramètres!$A$1:$I$89,3,0)*0.475*44/12</f>
        <v>3.7981988870463708</v>
      </c>
      <c r="EX67" s="23">
        <f>EXP(-LN(2)/2)*EX66+(1-EXP(-LN(2)/2))/(LN(2)/2)*ER67*EU67*VLOOKUP('Données projet'!$B$15,Paramètres!$A$1:$I$89,3,0)*0.475*44/12</f>
        <v>2.2311612677862624E-5</v>
      </c>
      <c r="EY67" s="24">
        <f t="shared" si="21"/>
        <v>10.683713625610153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 t="e">
        <f>N68*VLOOKUP('Données projet'!$B$9,Paramètres!$A$1:$I$89,3,0)*VLOOKUP('Données projet'!$B$9,Paramètres!$A$1:$I$89,5,0)</f>
        <v>#N/A</v>
      </c>
      <c r="P68" s="14" t="e">
        <f t="shared" si="33"/>
        <v>#N/A</v>
      </c>
      <c r="Q68" s="22" t="e">
        <f t="shared" si="54"/>
        <v>#N/A</v>
      </c>
      <c r="R68" s="60" t="e">
        <f t="shared" si="55"/>
        <v>#N/A</v>
      </c>
      <c r="S68" s="60" t="e">
        <f ca="1">AVERAGE(OFFSET($R$3,0,0,'Données projet'!$E$9+1,1))-AVERAGE(OFFSET($H$3,0,0,'Données projet'!$E$9+1,1))</f>
        <v>#N/A</v>
      </c>
      <c r="T68" s="60" t="e">
        <f t="shared" si="34"/>
        <v>#N/A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 t="e">
        <f>EXP(-LN(2)/35)*Z67+(1-EXP(-LN(2)/35))/(LN(2)/35)*V68*W68*VLOOKUP('Données projet'!$B$9,Paramètres!$A$1:$I$89,3,0)*0.475*44/12</f>
        <v>#N/A</v>
      </c>
      <c r="AA68" s="23" t="e">
        <f>EXP(-LN(2)/25)*AA67+(1-EXP(-LN(2)/25))/(LN(2)/25)*Calculateur!V68*Calculateur!X68*VLOOKUP('Données projet'!$B$9,Paramètres!$A$1:$I$89,3,0)*0.475*44/12</f>
        <v>#N/A</v>
      </c>
      <c r="AB68" s="23" t="e">
        <f>EXP(-LN(2)/2)*AB67+(1-EXP(-LN(2)/2))/(LN(2)/2)*V68*Y68*VLOOKUP('Données projet'!$B$9,Paramètres!$A$1:$I$89,3,0)*0.475*44/12</f>
        <v>#N/A</v>
      </c>
      <c r="AC68" s="24" t="e">
        <f t="shared" ref="AC68:AC131" si="57">SUM(Z68:AB68)</f>
        <v>#N/A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0">
        <f t="shared" ref="AM68:AM131" si="59">AL68+(AD68+AE68)*44/12</f>
        <v>743.59294134580057</v>
      </c>
      <c r="AN68" s="60">
        <f ca="1">AVERAGE(OFFSET($AM$3,0,0,'Données projet'!$E$10+1,1))-AVERAGE(OFFSET($H$3,0,0,'Données projet'!$E$10+1,1))</f>
        <v>428.8489304403459</v>
      </c>
      <c r="AO68" s="60">
        <f t="shared" si="36"/>
        <v>247.01165577562966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13.857142857142858</v>
      </c>
      <c r="BD68" s="13">
        <f>IF('Données projet'!$A$88&gt;35,BD67+BC68-BL67,IF(A68&lt;'Données projet'!$A$88,$BA$205^A68,IF(A68='Données projet'!$A$88,'Données projet'!$B$88,BD67+BC68-BL67)))</f>
        <v>481.71428571428538</v>
      </c>
      <c r="BE68" s="14">
        <f>BD68*VLOOKUP('Données projet'!$B$11,Paramètres!$A$1:$I$89,3,0)*VLOOKUP('Données projet'!$B$11,Paramètres!$A$1:$I$89,5,0)</f>
        <v>269.27828571428557</v>
      </c>
      <c r="BF68" s="14">
        <f t="shared" si="37"/>
        <v>64.696079449868591</v>
      </c>
      <c r="BG68" s="22">
        <f t="shared" ref="BG68:BG131" si="61">(BE68+BF68)*0.475*44/12</f>
        <v>581.67201932756836</v>
      </c>
      <c r="BH68" s="60">
        <f t="shared" ref="BH68:BH131" si="62">BG68+(AY68+AZ68)*44/12</f>
        <v>875.00535266090174</v>
      </c>
      <c r="BI68" s="60">
        <f ca="1">AVERAGE(OFFSET($BH$3,0,0,'Données projet'!$E$11+1,1))-AVERAGE(OFFSET($H$3,0,0,'Données projet'!$E$11+1,1))</f>
        <v>374.79806286316051</v>
      </c>
      <c r="BJ68" s="60">
        <f t="shared" si="38"/>
        <v>350.01856672839466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8.4385330644518177</v>
      </c>
      <c r="BR68" s="23">
        <f>EXP(-LN(2)/2)*BR67+(1-EXP(-LN(2)/2))/(LN(2)/2)*BL68*BO68*VLOOKUP('Données projet'!$B$11,Paramètres!$A$1:$I$89,3,0)*0.475*44/12</f>
        <v>5.9384739840640126E-5</v>
      </c>
      <c r="BS68" s="24">
        <f t="shared" ref="BS68:BS131" si="63">SUM(BP68:BR68)</f>
        <v>8.438592449191658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0">
        <f t="shared" ref="CC68:CC131" si="65">CB68+(BT68+BU68)*44/12</f>
        <v>743.59294134580057</v>
      </c>
      <c r="CD68" s="60">
        <f ca="1">AVERAGE(OFFSET($CC$3,0,0,'Données projet'!$E$12+1,1))-AVERAGE(OFFSET($H$3,0,0,'Données projet'!$E$12+1,1))</f>
        <v>428.8489304403459</v>
      </c>
      <c r="CE68" s="60">
        <f t="shared" si="40"/>
        <v>247.01165577562966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200.64102564102564</v>
      </c>
      <c r="CR68" s="13">
        <f>VLOOKUP(A68,'Données projet'!$A$139:$I$159,9,0)</f>
        <v>4.4871794871794863</v>
      </c>
      <c r="CS68" s="13">
        <f t="array" ref="CS68">INDEX(CR:CR,MIN(IF(ISNUMBER(CR68:CR264),ROW(CR68:CR264),"")))</f>
        <v>4.4871794871794863</v>
      </c>
      <c r="CT68" s="13">
        <f>IF('Données projet'!$A$140&gt;35,CT67+CS68-DB67,IF(A68&lt;'Données projet'!$A$140,$CQ$205^A68,IF(A68='Données projet'!$A$140,'Données projet'!$B$140,CT67+CS68-DB67)))</f>
        <v>200.64102564102552</v>
      </c>
      <c r="CU68" s="18">
        <f>CT68*VLOOKUP('Données projet'!$B$13,Paramètres!$A$1:$I$89,3,0)*VLOOKUP('Données projet'!$B$13,Paramètres!$A$1:$I$89,5,0)</f>
        <v>190.92999999999989</v>
      </c>
      <c r="CV68" s="14">
        <f t="shared" si="41"/>
        <v>47.745504180483643</v>
      </c>
      <c r="CW68" s="22">
        <f t="shared" ref="CW68:CW131" si="67">(CU68+CV68)*0.475*44/12</f>
        <v>415.69316978100875</v>
      </c>
      <c r="CX68" s="60">
        <f t="shared" ref="CX68:CX131" si="68">CW68+(CO68+CP68)*44/12</f>
        <v>709.02650311434206</v>
      </c>
      <c r="CY68" s="60">
        <f ca="1">AVERAGE(OFFSET($CX$3,0,0,'Données projet'!$E$13+1,1))-AVERAGE(OFFSET($H$3,0,0,'Données projet'!$E$13+1,1))</f>
        <v>354.63118425028898</v>
      </c>
      <c r="CZ68" s="60">
        <f t="shared" si="42"/>
        <v>244.7141066773861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28.205128205128204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221.48879999999991</v>
      </c>
      <c r="DQ68" s="14">
        <f t="shared" si="43"/>
        <v>54.43834191952984</v>
      </c>
      <c r="DR68" s="22">
        <f t="shared" ref="DR68:DR131" si="70">(DP68+DQ68)*0.475*44/12</f>
        <v>480.57310550984766</v>
      </c>
      <c r="DS68" s="60">
        <f t="shared" ref="DS68:DS131" si="71">DR68+(DJ68+DK68)*44/12</f>
        <v>773.90643884318092</v>
      </c>
      <c r="DT68" s="60">
        <f ca="1">AVERAGE(OFFSET($DS$3,0,0,'Données projet'!$E$14+1,1))-AVERAGE(OFFSET($H$3,0,0,'Données projet'!$E$14+1,1))</f>
        <v>455.50822833641354</v>
      </c>
      <c r="DU68" s="60">
        <f t="shared" si="44"/>
        <v>261.14722581688039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>
        <f>EJ68*VLOOKUP('Données projet'!$B$15,Paramètres!$A$1:$I$89,3,0)*VLOOKUP('Données projet'!$B$15,Paramètres!$A$1:$I$89,5,0)</f>
        <v>0</v>
      </c>
      <c r="EL68" s="14" t="e">
        <f t="shared" si="45"/>
        <v>#NUM!</v>
      </c>
      <c r="EM68" s="22" t="e">
        <f t="shared" ref="EM68:EM131" si="73">(EK68+EL68)*0.475*44/12</f>
        <v>#NUM!</v>
      </c>
      <c r="EN68" s="60" t="e">
        <f t="shared" ref="EN68:EN131" si="74">EM68+(EE68+EF68)*44/12</f>
        <v>#NUM!</v>
      </c>
      <c r="EO68" s="60">
        <f ca="1">AVERAGE(OFFSET($EN$3,0,0,'Données projet'!$E$15+1,1))-AVERAGE(OFFSET($H$3,0,0,'Données projet'!$E$15+1,1))</f>
        <v>207.03241199974599</v>
      </c>
      <c r="EP68" s="60">
        <f t="shared" si="46"/>
        <v>314.188568589113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6.7504721201942832</v>
      </c>
      <c r="EW68" s="23">
        <f>EXP(-LN(2)/25)*EW67+(1-EXP(-LN(2)/25))/(LN(2)/25)*Calculateur!ER68*Calculateur!ET68*VLOOKUP('Données projet'!$B$15,Paramètres!$A$1:$I$89,3,0)*0.475*44/12</f>
        <v>3.6943369387414893</v>
      </c>
      <c r="EX68" s="23">
        <f>EXP(-LN(2)/2)*EX67+(1-EXP(-LN(2)/2))/(LN(2)/2)*ER68*EU68*VLOOKUP('Données projet'!$B$15,Paramètres!$A$1:$I$89,3,0)*0.475*44/12</f>
        <v>1.5776692623724406E-5</v>
      </c>
      <c r="EY68" s="24">
        <f t="shared" ref="EY68:EY131" si="75">SUM(EV68:EX68)</f>
        <v>10.444824835628397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 t="e">
        <f>N69*VLOOKUP('Données projet'!$B$9,Paramètres!$A$1:$I$89,3,0)*VLOOKUP('Données projet'!$B$9,Paramètres!$A$1:$I$89,5,0)</f>
        <v>#N/A</v>
      </c>
      <c r="P69" s="14" t="e">
        <f t="shared" ref="P69:P132" si="87">EXP(-1.0587+0.8836*LN(O69)+0.284)</f>
        <v>#N/A</v>
      </c>
      <c r="Q69" s="22" t="e">
        <f t="shared" si="54"/>
        <v>#N/A</v>
      </c>
      <c r="R69" s="60" t="e">
        <f t="shared" si="55"/>
        <v>#N/A</v>
      </c>
      <c r="S69" s="60" t="e">
        <f ca="1">AVERAGE(OFFSET($R$3,0,0,'Données projet'!$E$9+1,1))-AVERAGE(OFFSET($H$3,0,0,'Données projet'!$E$9+1,1))</f>
        <v>#N/A</v>
      </c>
      <c r="T69" s="60" t="e">
        <f t="shared" ref="T69:T132" si="88">$T$3</f>
        <v>#N/A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 t="e">
        <f>EXP(-LN(2)/35)*Z68+(1-EXP(-LN(2)/35))/(LN(2)/35)*V69*W69*VLOOKUP('Données projet'!$B$9,Paramètres!$A$1:$I$89,3,0)*0.475*44/12</f>
        <v>#N/A</v>
      </c>
      <c r="AA69" s="23" t="e">
        <f>EXP(-LN(2)/25)*AA68+(1-EXP(-LN(2)/25))/(LN(2)/25)*Calculateur!V69*Calculateur!X69*VLOOKUP('Données projet'!$B$9,Paramètres!$A$1:$I$89,3,0)*0.475*44/12</f>
        <v>#N/A</v>
      </c>
      <c r="AB69" s="23" t="e">
        <f>EXP(-LN(2)/2)*AB68+(1-EXP(-LN(2)/2))/(LN(2)/2)*V69*Y69*VLOOKUP('Données projet'!$B$9,Paramètres!$A$1:$I$89,3,0)*0.475*44/12</f>
        <v>#N/A</v>
      </c>
      <c r="AC69" s="24" t="e">
        <f t="shared" si="57"/>
        <v>#N/A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0">
        <f t="shared" si="59"/>
        <v>756.65012524226813</v>
      </c>
      <c r="AN69" s="60">
        <f ca="1">AVERAGE(OFFSET($AM$3,0,0,'Données projet'!$E$10+1,1))-AVERAGE(OFFSET($H$3,0,0,'Données projet'!$E$10+1,1))</f>
        <v>428.8489304403459</v>
      </c>
      <c r="AO69" s="60">
        <f t="shared" ref="AO69:AO132" si="90">$AO$3</f>
        <v>247.01165577562966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13.857142857142858</v>
      </c>
      <c r="BD69" s="13">
        <f>IF('Données projet'!$A$88&gt;35,BD68+BC69-BL68,IF(A69&lt;'Données projet'!$A$88,$BA$205^A69,IF(A69='Données projet'!$A$88,'Données projet'!$B$88,BD68+BC69-BL68)))</f>
        <v>495.57142857142821</v>
      </c>
      <c r="BE69" s="14">
        <f>BD69*VLOOKUP('Données projet'!$B$11,Paramètres!$A$1:$I$89,3,0)*VLOOKUP('Données projet'!$B$11,Paramètres!$A$1:$I$89,5,0)</f>
        <v>277.02442857142842</v>
      </c>
      <c r="BF69" s="14">
        <f t="shared" ref="BF69:BF132" si="91">EXP(-1.0587+0.8836*LN(BE69)+0.284)</f>
        <v>66.337794630329327</v>
      </c>
      <c r="BG69" s="22">
        <f t="shared" si="61"/>
        <v>598.02253874306132</v>
      </c>
      <c r="BH69" s="60">
        <f t="shared" si="62"/>
        <v>891.35587207639469</v>
      </c>
      <c r="BI69" s="60">
        <f ca="1">AVERAGE(OFFSET($BH$3,0,0,'Données projet'!$E$11+1,1))-AVERAGE(OFFSET($H$3,0,0,'Données projet'!$E$11+1,1))</f>
        <v>374.79806286316051</v>
      </c>
      <c r="BJ69" s="60">
        <f t="shared" ref="BJ69:BJ132" si="92">$BJ$3</f>
        <v>350.01856672839466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8.2077809340412156</v>
      </c>
      <c r="BR69" s="23">
        <f>EXP(-LN(2)/2)*BR68+(1-EXP(-LN(2)/2))/(LN(2)/2)*BL69*BO69*VLOOKUP('Données projet'!$B$11,Paramètres!$A$1:$I$89,3,0)*0.475*44/12</f>
        <v>4.1991352240315574E-5</v>
      </c>
      <c r="BS69" s="24">
        <f t="shared" si="63"/>
        <v>8.2078229253934563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213.35183999999992</v>
      </c>
      <c r="CA69" s="14">
        <f t="shared" ref="CA69:CA132" si="93">EXP(-1.0587+0.8836*LN(BZ69)+0.284)</f>
        <v>52.667370665417188</v>
      </c>
      <c r="CB69" s="22">
        <f t="shared" si="64"/>
        <v>463.31679190893482</v>
      </c>
      <c r="CC69" s="60">
        <f t="shared" si="65"/>
        <v>756.65012524226813</v>
      </c>
      <c r="CD69" s="60">
        <f ca="1">AVERAGE(OFFSET($CC$3,0,0,'Données projet'!$E$12+1,1))-AVERAGE(OFFSET($H$3,0,0,'Données projet'!$E$12+1,1))</f>
        <v>428.8489304403459</v>
      </c>
      <c r="CE69" s="60">
        <f t="shared" ref="CE69:CE132" si="94">$CE$3</f>
        <v>247.01165577562966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4.3589743589743595</v>
      </c>
      <c r="CT69" s="13">
        <f>IF('Données projet'!$A$140&gt;35,CT68+CS69-DB68,IF(A69&lt;'Données projet'!$A$140,$CQ$205^A69,IF(A69='Données projet'!$A$140,'Données projet'!$B$140,CT68+CS69-DB68)))</f>
        <v>176.79487179487168</v>
      </c>
      <c r="CU69" s="18">
        <f>CT69*VLOOKUP('Données projet'!$B$13,Paramètres!$A$1:$I$89,3,0)*VLOOKUP('Données projet'!$B$13,Paramètres!$A$1:$I$89,5,0)</f>
        <v>168.23799999999989</v>
      </c>
      <c r="CV69" s="14">
        <f t="shared" ref="CV69:CV132" si="95">EXP(-1.0587+0.8836*LN(CU69)+0.284)</f>
        <v>42.695155225480995</v>
      </c>
      <c r="CW69" s="22">
        <f t="shared" si="67"/>
        <v>367.37524535104586</v>
      </c>
      <c r="CX69" s="60">
        <f t="shared" si="68"/>
        <v>660.70857868437918</v>
      </c>
      <c r="CY69" s="60">
        <f ca="1">AVERAGE(OFFSET($CX$3,0,0,'Données projet'!$E$13+1,1))-AVERAGE(OFFSET($H$3,0,0,'Données projet'!$E$13+1,1))</f>
        <v>354.63118425028898</v>
      </c>
      <c r="CZ69" s="60">
        <f t="shared" ref="CZ69:CZ132" si="96">$CZ$3</f>
        <v>244.7141066773861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228.06575999999993</v>
      </c>
      <c r="DQ69" s="14">
        <f t="shared" ref="DQ69:DQ132" si="97">EXP(-1.0587+0.8836*LN(DP69)+0.284)</f>
        <v>55.864248276798108</v>
      </c>
      <c r="DR69" s="22">
        <f t="shared" si="70"/>
        <v>494.51143108208981</v>
      </c>
      <c r="DS69" s="60">
        <f t="shared" si="71"/>
        <v>787.84476441542313</v>
      </c>
      <c r="DT69" s="60">
        <f ca="1">AVERAGE(OFFSET($DS$3,0,0,'Données projet'!$E$14+1,1))-AVERAGE(OFFSET($H$3,0,0,'Données projet'!$E$14+1,1))</f>
        <v>455.50822833641354</v>
      </c>
      <c r="DU69" s="60">
        <f t="shared" ref="DU69:DU132" si="98">$DU$3</f>
        <v>261.14722581688039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>
        <f>EJ69*VLOOKUP('Données projet'!$B$15,Paramètres!$A$1:$I$89,3,0)*VLOOKUP('Données projet'!$B$15,Paramètres!$A$1:$I$89,5,0)</f>
        <v>0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0" t="e">
        <f t="shared" si="74"/>
        <v>#NUM!</v>
      </c>
      <c r="EO69" s="60">
        <f ca="1">AVERAGE(OFFSET($EN$3,0,0,'Données projet'!$E$15+1,1))-AVERAGE(OFFSET($H$3,0,0,'Données projet'!$E$15+1,1))</f>
        <v>207.03241199974599</v>
      </c>
      <c r="EP69" s="60">
        <f t="shared" ref="EP69:EP132" si="100">$EP$3</f>
        <v>314.188568589113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6.6180994792987091</v>
      </c>
      <c r="EW69" s="23">
        <f>EXP(-LN(2)/25)*EW68+(1-EXP(-LN(2)/25))/(LN(2)/25)*Calculateur!ER69*Calculateur!ET69*VLOOKUP('Données projet'!$B$15,Paramètres!$A$1:$I$89,3,0)*0.475*44/12</f>
        <v>3.5933151008748672</v>
      </c>
      <c r="EX69" s="23">
        <f>EXP(-LN(2)/2)*EX68+(1-EXP(-LN(2)/2))/(LN(2)/2)*ER69*EU69*VLOOKUP('Données projet'!$B$15,Paramètres!$A$1:$I$89,3,0)*0.475*44/12</f>
        <v>1.1155806338931312E-5</v>
      </c>
      <c r="EY69" s="24">
        <f t="shared" si="75"/>
        <v>10.211425735979915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 t="e">
        <f>N70*VLOOKUP('Données projet'!$B$9,Paramètres!$A$1:$I$89,3,0)*VLOOKUP('Données projet'!$B$9,Paramètres!$A$1:$I$89,5,0)</f>
        <v>#N/A</v>
      </c>
      <c r="P70" s="14" t="e">
        <f t="shared" si="87"/>
        <v>#N/A</v>
      </c>
      <c r="Q70" s="22" t="e">
        <f t="shared" si="54"/>
        <v>#N/A</v>
      </c>
      <c r="R70" s="60" t="e">
        <f t="shared" si="55"/>
        <v>#N/A</v>
      </c>
      <c r="S70" s="60" t="e">
        <f ca="1">AVERAGE(OFFSET($R$3,0,0,'Données projet'!$E$9+1,1))-AVERAGE(OFFSET($H$3,0,0,'Données projet'!$E$9+1,1))</f>
        <v>#N/A</v>
      </c>
      <c r="T70" s="60" t="e">
        <f t="shared" si="88"/>
        <v>#N/A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 t="e">
        <f>EXP(-LN(2)/35)*Z69+(1-EXP(-LN(2)/35))/(LN(2)/35)*V70*W70*VLOOKUP('Données projet'!$B$9,Paramètres!$A$1:$I$89,3,0)*0.475*44/12</f>
        <v>#N/A</v>
      </c>
      <c r="AA70" s="23" t="e">
        <f>EXP(-LN(2)/25)*AA69+(1-EXP(-LN(2)/25))/(LN(2)/25)*Calculateur!V70*Calculateur!X70*VLOOKUP('Données projet'!$B$9,Paramètres!$A$1:$I$89,3,0)*0.475*44/12</f>
        <v>#N/A</v>
      </c>
      <c r="AB70" s="23" t="e">
        <f>EXP(-LN(2)/2)*AB69+(1-EXP(-LN(2)/2))/(LN(2)/2)*V70*Y70*VLOOKUP('Données projet'!$B$9,Paramètres!$A$1:$I$89,3,0)*0.475*44/12</f>
        <v>#N/A</v>
      </c>
      <c r="AC70" s="24" t="e">
        <f t="shared" si="57"/>
        <v>#N/A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0">
        <f t="shared" si="59"/>
        <v>769.69946190259475</v>
      </c>
      <c r="AN70" s="60">
        <f ca="1">AVERAGE(OFFSET($AM$3,0,0,'Données projet'!$E$10+1,1))-AVERAGE(OFFSET($H$3,0,0,'Données projet'!$E$10+1,1))</f>
        <v>428.8489304403459</v>
      </c>
      <c r="AO70" s="60">
        <f t="shared" si="90"/>
        <v>247.01165577562966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13.857142857142858</v>
      </c>
      <c r="BD70" s="13">
        <f>IF('Données projet'!$A$88&gt;35,BD69+BC70-BL69,IF(A70&lt;'Données projet'!$A$88,$BA$205^A70,IF(A70='Données projet'!$A$88,'Données projet'!$B$88,BD69+BC70-BL69)))</f>
        <v>509.42857142857105</v>
      </c>
      <c r="BE70" s="14">
        <f>BD70*VLOOKUP('Données projet'!$B$11,Paramètres!$A$1:$I$89,3,0)*VLOOKUP('Données projet'!$B$11,Paramètres!$A$1:$I$89,5,0)</f>
        <v>284.77057142857126</v>
      </c>
      <c r="BF70" s="14">
        <f t="shared" si="91"/>
        <v>67.974174355789401</v>
      </c>
      <c r="BG70" s="22">
        <f t="shared" si="61"/>
        <v>614.36376557442816</v>
      </c>
      <c r="BH70" s="60">
        <f t="shared" si="62"/>
        <v>907.69709890776153</v>
      </c>
      <c r="BI70" s="60">
        <f ca="1">AVERAGE(OFFSET($BH$3,0,0,'Données projet'!$E$11+1,1))-AVERAGE(OFFSET($H$3,0,0,'Données projet'!$E$11+1,1))</f>
        <v>374.79806286316051</v>
      </c>
      <c r="BJ70" s="60">
        <f t="shared" si="92"/>
        <v>350.01856672839466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7.9833387327714185</v>
      </c>
      <c r="BR70" s="23">
        <f>EXP(-LN(2)/2)*BR69+(1-EXP(-LN(2)/2))/(LN(2)/2)*BL70*BO70*VLOOKUP('Données projet'!$B$11,Paramètres!$A$1:$I$89,3,0)*0.475*44/12</f>
        <v>2.969236992032007E-5</v>
      </c>
      <c r="BS70" s="24">
        <f t="shared" si="63"/>
        <v>7.9833684251413386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219.50447999999992</v>
      </c>
      <c r="CA70" s="14">
        <f t="shared" si="93"/>
        <v>54.007172767040167</v>
      </c>
      <c r="CB70" s="22">
        <f t="shared" si="64"/>
        <v>476.36612856926143</v>
      </c>
      <c r="CC70" s="60">
        <f t="shared" si="65"/>
        <v>769.69946190259475</v>
      </c>
      <c r="CD70" s="60">
        <f ca="1">AVERAGE(OFFSET($CC$3,0,0,'Données projet'!$E$12+1,1))-AVERAGE(OFFSET($H$3,0,0,'Données projet'!$E$12+1,1))</f>
        <v>428.8489304403459</v>
      </c>
      <c r="CE70" s="60">
        <f t="shared" si="94"/>
        <v>247.01165577562966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4.3589743589743595</v>
      </c>
      <c r="CT70" s="13">
        <f>IF('Données projet'!$A$140&gt;35,CT69+CS70-DB69,IF(A70&lt;'Données projet'!$A$140,$CQ$205^A70,IF(A70='Données projet'!$A$140,'Données projet'!$B$140,CT69+CS70-DB69)))</f>
        <v>181.15384615384605</v>
      </c>
      <c r="CU70" s="18">
        <f>CT70*VLOOKUP('Données projet'!$B$13,Paramètres!$A$1:$I$89,3,0)*VLOOKUP('Données projet'!$B$13,Paramètres!$A$1:$I$89,5,0)</f>
        <v>172.38599999999991</v>
      </c>
      <c r="CV70" s="14">
        <f t="shared" si="95"/>
        <v>43.623973962324399</v>
      </c>
      <c r="CW70" s="22">
        <f t="shared" si="67"/>
        <v>376.21737131771482</v>
      </c>
      <c r="CX70" s="60">
        <f t="shared" si="68"/>
        <v>669.55070465104814</v>
      </c>
      <c r="CY70" s="60">
        <f ca="1">AVERAGE(OFFSET($CX$3,0,0,'Données projet'!$E$13+1,1))-AVERAGE(OFFSET($H$3,0,0,'Données projet'!$E$13+1,1))</f>
        <v>354.63118425028898</v>
      </c>
      <c r="CZ70" s="60">
        <f t="shared" si="96"/>
        <v>244.7141066773861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234.64271999999994</v>
      </c>
      <c r="DQ70" s="14">
        <f t="shared" si="97"/>
        <v>57.285375557336316</v>
      </c>
      <c r="DR70" s="22">
        <f t="shared" si="70"/>
        <v>508.44143309569387</v>
      </c>
      <c r="DS70" s="60">
        <f t="shared" si="71"/>
        <v>801.77476642902718</v>
      </c>
      <c r="DT70" s="60">
        <f ca="1">AVERAGE(OFFSET($DS$3,0,0,'Données projet'!$E$14+1,1))-AVERAGE(OFFSET($H$3,0,0,'Données projet'!$E$14+1,1))</f>
        <v>455.50822833641354</v>
      </c>
      <c r="DU70" s="60">
        <f t="shared" si="98"/>
        <v>261.14722581688039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>
        <f>EJ70*VLOOKUP('Données projet'!$B$15,Paramètres!$A$1:$I$89,3,0)*VLOOKUP('Données projet'!$B$15,Paramètres!$A$1:$I$89,5,0)</f>
        <v>0</v>
      </c>
      <c r="EL70" s="14" t="e">
        <f t="shared" si="99"/>
        <v>#NUM!</v>
      </c>
      <c r="EM70" s="22" t="e">
        <f t="shared" si="73"/>
        <v>#NUM!</v>
      </c>
      <c r="EN70" s="60" t="e">
        <f t="shared" si="74"/>
        <v>#NUM!</v>
      </c>
      <c r="EO70" s="60">
        <f ca="1">AVERAGE(OFFSET($EN$3,0,0,'Données projet'!$E$15+1,1))-AVERAGE(OFFSET($H$3,0,0,'Données projet'!$E$15+1,1))</f>
        <v>207.03241199974599</v>
      </c>
      <c r="EP70" s="60">
        <f t="shared" si="100"/>
        <v>314.188568589113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6.4883225851517583</v>
      </c>
      <c r="EW70" s="23">
        <f>EXP(-LN(2)/25)*EW69+(1-EXP(-LN(2)/25))/(LN(2)/25)*Calculateur!ER70*Calculateur!ET70*VLOOKUP('Données projet'!$B$15,Paramètres!$A$1:$I$89,3,0)*0.475*44/12</f>
        <v>3.4950557104772155</v>
      </c>
      <c r="EX70" s="23">
        <f>EXP(-LN(2)/2)*EX69+(1-EXP(-LN(2)/2))/(LN(2)/2)*ER70*EU70*VLOOKUP('Données projet'!$B$15,Paramètres!$A$1:$I$89,3,0)*0.475*44/12</f>
        <v>7.8883463118622028E-6</v>
      </c>
      <c r="EY70" s="24">
        <f t="shared" si="75"/>
        <v>9.983386183975286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 t="e">
        <f>N71*VLOOKUP('Données projet'!$B$9,Paramètres!$A$1:$I$89,3,0)*VLOOKUP('Données projet'!$B$9,Paramètres!$A$1:$I$89,5,0)</f>
        <v>#N/A</v>
      </c>
      <c r="P71" s="14" t="e">
        <f t="shared" si="87"/>
        <v>#N/A</v>
      </c>
      <c r="Q71" s="22" t="e">
        <f t="shared" si="54"/>
        <v>#N/A</v>
      </c>
      <c r="R71" s="60" t="e">
        <f t="shared" si="55"/>
        <v>#N/A</v>
      </c>
      <c r="S71" s="60" t="e">
        <f ca="1">AVERAGE(OFFSET($R$3,0,0,'Données projet'!$E$9+1,1))-AVERAGE(OFFSET($H$3,0,0,'Données projet'!$E$9+1,1))</f>
        <v>#N/A</v>
      </c>
      <c r="T71" s="60" t="e">
        <f t="shared" si="88"/>
        <v>#N/A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 t="e">
        <f>EXP(-LN(2)/35)*Z70+(1-EXP(-LN(2)/35))/(LN(2)/35)*V71*W71*VLOOKUP('Données projet'!$B$9,Paramètres!$A$1:$I$89,3,0)*0.475*44/12</f>
        <v>#N/A</v>
      </c>
      <c r="AA71" s="23" t="e">
        <f>EXP(-LN(2)/25)*AA70+(1-EXP(-LN(2)/25))/(LN(2)/25)*Calculateur!V71*Calculateur!X71*VLOOKUP('Données projet'!$B$9,Paramètres!$A$1:$I$89,3,0)*0.475*44/12</f>
        <v>#N/A</v>
      </c>
      <c r="AB71" s="23" t="e">
        <f>EXP(-LN(2)/2)*AB70+(1-EXP(-LN(2)/2))/(LN(2)/2)*V71*Y71*VLOOKUP('Données projet'!$B$9,Paramètres!$A$1:$I$89,3,0)*0.475*44/12</f>
        <v>#N/A</v>
      </c>
      <c r="AC71" s="24" t="e">
        <f t="shared" si="57"/>
        <v>#N/A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0">
        <f t="shared" si="59"/>
        <v>782.74119655001107</v>
      </c>
      <c r="AN71" s="60">
        <f ca="1">AVERAGE(OFFSET($AM$3,0,0,'Données projet'!$E$10+1,1))-AVERAGE(OFFSET($H$3,0,0,'Données projet'!$E$10+1,1))</f>
        <v>428.8489304403459</v>
      </c>
      <c r="AO71" s="60">
        <f t="shared" si="90"/>
        <v>247.01165577562966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13.857142857142858</v>
      </c>
      <c r="BD71" s="13">
        <f>IF('Données projet'!$A$88&gt;35,BD70+BC71-BL70,IF(A71&lt;'Données projet'!$A$88,$BA$205^A71,IF(A71='Données projet'!$A$88,'Données projet'!$B$88,BD70+BC71-BL70)))</f>
        <v>523.28571428571388</v>
      </c>
      <c r="BE71" s="14">
        <f>BD71*VLOOKUP('Données projet'!$B$11,Paramètres!$A$1:$I$89,3,0)*VLOOKUP('Données projet'!$B$11,Paramètres!$A$1:$I$89,5,0)</f>
        <v>292.5167142857141</v>
      </c>
      <c r="BF71" s="14">
        <f t="shared" si="91"/>
        <v>69.605380435295899</v>
      </c>
      <c r="BG71" s="22">
        <f t="shared" si="61"/>
        <v>630.69598163909245</v>
      </c>
      <c r="BH71" s="60">
        <f t="shared" si="62"/>
        <v>924.02931497242571</v>
      </c>
      <c r="BI71" s="60">
        <f ca="1">AVERAGE(OFFSET($BH$3,0,0,'Données projet'!$E$11+1,1))-AVERAGE(OFFSET($H$3,0,0,'Données projet'!$E$11+1,1))</f>
        <v>374.79806286316051</v>
      </c>
      <c r="BJ71" s="60">
        <f t="shared" si="92"/>
        <v>350.01856672839466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7.7650339152982459</v>
      </c>
      <c r="BR71" s="23">
        <f>EXP(-LN(2)/2)*BR70+(1-EXP(-LN(2)/2))/(LN(2)/2)*BL71*BO71*VLOOKUP('Données projet'!$B$11,Paramètres!$A$1:$I$89,3,0)*0.475*44/12</f>
        <v>2.0995676120157791E-5</v>
      </c>
      <c r="BS71" s="24">
        <f t="shared" si="63"/>
        <v>7.7650549109743663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225.65711999999994</v>
      </c>
      <c r="CA71" s="14">
        <f t="shared" si="93"/>
        <v>55.342610076561513</v>
      </c>
      <c r="CB71" s="22">
        <f t="shared" si="64"/>
        <v>489.40786321667775</v>
      </c>
      <c r="CC71" s="60">
        <f t="shared" si="65"/>
        <v>782.74119655001107</v>
      </c>
      <c r="CD71" s="60">
        <f ca="1">AVERAGE(OFFSET($CC$3,0,0,'Données projet'!$E$12+1,1))-AVERAGE(OFFSET($H$3,0,0,'Données projet'!$E$12+1,1))</f>
        <v>428.8489304403459</v>
      </c>
      <c r="CE71" s="60">
        <f t="shared" si="94"/>
        <v>247.01165577562966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4.3589743589743595</v>
      </c>
      <c r="CT71" s="13">
        <f>IF('Données projet'!$A$140&gt;35,CT70+CS71-DB70,IF(A71&lt;'Données projet'!$A$140,$CQ$205^A71,IF(A71='Données projet'!$A$140,'Données projet'!$B$140,CT70+CS71-DB70)))</f>
        <v>185.51282051282041</v>
      </c>
      <c r="CU71" s="18">
        <f>CT71*VLOOKUP('Données projet'!$B$13,Paramètres!$A$1:$I$89,3,0)*VLOOKUP('Données projet'!$B$13,Paramètres!$A$1:$I$89,5,0)</f>
        <v>176.53399999999991</v>
      </c>
      <c r="CV71" s="14">
        <f t="shared" si="95"/>
        <v>44.550194592706617</v>
      </c>
      <c r="CW71" s="22">
        <f t="shared" si="67"/>
        <v>385.05497224896385</v>
      </c>
      <c r="CX71" s="60">
        <f t="shared" si="68"/>
        <v>678.38830558229711</v>
      </c>
      <c r="CY71" s="60">
        <f ca="1">AVERAGE(OFFSET($CX$3,0,0,'Données projet'!$E$13+1,1))-AVERAGE(OFFSET($H$3,0,0,'Données projet'!$E$13+1,1))</f>
        <v>354.63118425028898</v>
      </c>
      <c r="CZ71" s="60">
        <f t="shared" si="96"/>
        <v>244.7141066773861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241.21967999999995</v>
      </c>
      <c r="DQ71" s="14">
        <f t="shared" si="97"/>
        <v>58.701873105526744</v>
      </c>
      <c r="DR71" s="22">
        <f t="shared" si="70"/>
        <v>522.36337165879229</v>
      </c>
      <c r="DS71" s="60">
        <f t="shared" si="71"/>
        <v>815.69670499212566</v>
      </c>
      <c r="DT71" s="60">
        <f ca="1">AVERAGE(OFFSET($DS$3,0,0,'Données projet'!$E$14+1,1))-AVERAGE(OFFSET($H$3,0,0,'Données projet'!$E$14+1,1))</f>
        <v>455.50822833641354</v>
      </c>
      <c r="DU71" s="60">
        <f t="shared" si="98"/>
        <v>261.14722581688039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>
        <f>EJ71*VLOOKUP('Données projet'!$B$15,Paramètres!$A$1:$I$89,3,0)*VLOOKUP('Données projet'!$B$15,Paramètres!$A$1:$I$89,5,0)</f>
        <v>0</v>
      </c>
      <c r="EL71" s="14" t="e">
        <f t="shared" si="99"/>
        <v>#NUM!</v>
      </c>
      <c r="EM71" s="22" t="e">
        <f t="shared" si="73"/>
        <v>#NUM!</v>
      </c>
      <c r="EN71" s="60" t="e">
        <f t="shared" si="74"/>
        <v>#NUM!</v>
      </c>
      <c r="EO71" s="60">
        <f ca="1">AVERAGE(OFFSET($EN$3,0,0,'Données projet'!$E$15+1,1))-AVERAGE(OFFSET($H$3,0,0,'Données projet'!$E$15+1,1))</f>
        <v>207.03241199974599</v>
      </c>
      <c r="EP71" s="60">
        <f t="shared" si="100"/>
        <v>314.188568589113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6.3610905367429398</v>
      </c>
      <c r="EW71" s="23">
        <f>EXP(-LN(2)/25)*EW70+(1-EXP(-LN(2)/25))/(LN(2)/25)*Calculateur!ER71*Calculateur!ET71*VLOOKUP('Données projet'!$B$15,Paramètres!$A$1:$I$89,3,0)*0.475*44/12</f>
        <v>3.3994832282772243</v>
      </c>
      <c r="EX71" s="23">
        <f>EXP(-LN(2)/2)*EX70+(1-EXP(-LN(2)/2))/(LN(2)/2)*ER71*EU71*VLOOKUP('Données projet'!$B$15,Paramètres!$A$1:$I$89,3,0)*0.475*44/12</f>
        <v>5.5779031694656559E-6</v>
      </c>
      <c r="EY71" s="24">
        <f t="shared" si="75"/>
        <v>9.7605793429233323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 t="e">
        <f>N72*VLOOKUP('Données projet'!$B$9,Paramètres!$A$1:$I$89,3,0)*VLOOKUP('Données projet'!$B$9,Paramètres!$A$1:$I$89,5,0)</f>
        <v>#N/A</v>
      </c>
      <c r="P72" s="14" t="e">
        <f t="shared" si="87"/>
        <v>#N/A</v>
      </c>
      <c r="Q72" s="22" t="e">
        <f t="shared" si="54"/>
        <v>#N/A</v>
      </c>
      <c r="R72" s="60" t="e">
        <f t="shared" si="55"/>
        <v>#N/A</v>
      </c>
      <c r="S72" s="60" t="e">
        <f ca="1">AVERAGE(OFFSET($R$3,0,0,'Données projet'!$E$9+1,1))-AVERAGE(OFFSET($H$3,0,0,'Données projet'!$E$9+1,1))</f>
        <v>#N/A</v>
      </c>
      <c r="T72" s="60" t="e">
        <f t="shared" si="88"/>
        <v>#N/A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 t="e">
        <f>EXP(-LN(2)/35)*Z71+(1-EXP(-LN(2)/35))/(LN(2)/35)*V72*W72*VLOOKUP('Données projet'!$B$9,Paramètres!$A$1:$I$89,3,0)*0.475*44/12</f>
        <v>#N/A</v>
      </c>
      <c r="AA72" s="23" t="e">
        <f>EXP(-LN(2)/25)*AA71+(1-EXP(-LN(2)/25))/(LN(2)/25)*Calculateur!V72*Calculateur!X72*VLOOKUP('Données projet'!$B$9,Paramètres!$A$1:$I$89,3,0)*0.475*44/12</f>
        <v>#N/A</v>
      </c>
      <c r="AB72" s="23" t="e">
        <f>EXP(-LN(2)/2)*AB71+(1-EXP(-LN(2)/2))/(LN(2)/2)*V72*Y72*VLOOKUP('Données projet'!$B$9,Paramètres!$A$1:$I$89,3,0)*0.475*44/12</f>
        <v>#N/A</v>
      </c>
      <c r="AC72" s="24" t="e">
        <f t="shared" si="57"/>
        <v>#N/A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0">
        <f t="shared" si="59"/>
        <v>795.77556027438573</v>
      </c>
      <c r="AN72" s="60">
        <f ca="1">AVERAGE(OFFSET($AM$3,0,0,'Données projet'!$E$10+1,1))-AVERAGE(OFFSET($H$3,0,0,'Données projet'!$E$10+1,1))</f>
        <v>428.8489304403459</v>
      </c>
      <c r="AO72" s="60">
        <f t="shared" si="90"/>
        <v>247.01165577562966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13.857142857142858</v>
      </c>
      <c r="BD72" s="13">
        <f>IF('Données projet'!$A$88&gt;35,BD71+BC72-BL71,IF(A72&lt;'Données projet'!$A$88,$BA$205^A72,IF(A72='Données projet'!$A$88,'Données projet'!$B$88,BD71+BC72-BL71)))</f>
        <v>537.14285714285677</v>
      </c>
      <c r="BE72" s="14">
        <f>BD72*VLOOKUP('Données projet'!$B$11,Paramètres!$A$1:$I$89,3,0)*VLOOKUP('Données projet'!$B$11,Paramètres!$A$1:$I$89,5,0)</f>
        <v>300.26285714285694</v>
      </c>
      <c r="BF72" s="14">
        <f t="shared" si="91"/>
        <v>71.231565620163408</v>
      </c>
      <c r="BG72" s="22">
        <f t="shared" si="61"/>
        <v>647.01945297892712</v>
      </c>
      <c r="BH72" s="60">
        <f t="shared" si="62"/>
        <v>940.35278631226038</v>
      </c>
      <c r="BI72" s="60">
        <f ca="1">AVERAGE(OFFSET($BH$3,0,0,'Données projet'!$E$11+1,1))-AVERAGE(OFFSET($H$3,0,0,'Données projet'!$E$11+1,1))</f>
        <v>374.79806286316051</v>
      </c>
      <c r="BJ72" s="60">
        <f t="shared" si="92"/>
        <v>350.01856672839466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7.5526986545390287</v>
      </c>
      <c r="BR72" s="23">
        <f>EXP(-LN(2)/2)*BR71+(1-EXP(-LN(2)/2))/(LN(2)/2)*BL72*BO72*VLOOKUP('Données projet'!$B$11,Paramètres!$A$1:$I$89,3,0)*0.475*44/12</f>
        <v>1.4846184960160037E-5</v>
      </c>
      <c r="BS72" s="24">
        <f t="shared" si="63"/>
        <v>7.5527135007239892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231.80975999999993</v>
      </c>
      <c r="CA72" s="14">
        <f t="shared" si="93"/>
        <v>56.673815277159328</v>
      </c>
      <c r="CB72" s="22">
        <f t="shared" si="64"/>
        <v>502.44222694105241</v>
      </c>
      <c r="CC72" s="60">
        <f t="shared" si="65"/>
        <v>795.77556027438573</v>
      </c>
      <c r="CD72" s="60">
        <f ca="1">AVERAGE(OFFSET($CC$3,0,0,'Données projet'!$E$12+1,1))-AVERAGE(OFFSET($H$3,0,0,'Données projet'!$E$12+1,1))</f>
        <v>428.8489304403459</v>
      </c>
      <c r="CE72" s="60">
        <f t="shared" si="94"/>
        <v>247.01165577562966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4.3589743589743595</v>
      </c>
      <c r="CT72" s="13">
        <f>IF('Données projet'!$A$140&gt;35,CT71+CS72-DB71,IF(A72&lt;'Données projet'!$A$140,$CQ$205^A72,IF(A72='Données projet'!$A$140,'Données projet'!$B$140,CT71+CS72-DB71)))</f>
        <v>189.87179487179478</v>
      </c>
      <c r="CU72" s="18">
        <f>CT72*VLOOKUP('Données projet'!$B$13,Paramètres!$A$1:$I$89,3,0)*VLOOKUP('Données projet'!$B$13,Paramètres!$A$1:$I$89,5,0)</f>
        <v>180.6819999999999</v>
      </c>
      <c r="CV72" s="14">
        <f t="shared" si="95"/>
        <v>45.473885189516494</v>
      </c>
      <c r="CW72" s="22">
        <f t="shared" si="67"/>
        <v>393.88816670507435</v>
      </c>
      <c r="CX72" s="60">
        <f t="shared" si="68"/>
        <v>687.22150003840761</v>
      </c>
      <c r="CY72" s="60">
        <f ca="1">AVERAGE(OFFSET($CX$3,0,0,'Données projet'!$E$13+1,1))-AVERAGE(OFFSET($H$3,0,0,'Données projet'!$E$13+1,1))</f>
        <v>354.63118425028898</v>
      </c>
      <c r="CZ72" s="60">
        <f t="shared" si="96"/>
        <v>244.7141066773861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247.79663999999997</v>
      </c>
      <c r="DQ72" s="14">
        <f t="shared" si="97"/>
        <v>60.113881658336368</v>
      </c>
      <c r="DR72" s="22">
        <f t="shared" si="70"/>
        <v>536.27749188826908</v>
      </c>
      <c r="DS72" s="60">
        <f t="shared" si="71"/>
        <v>829.61082522160245</v>
      </c>
      <c r="DT72" s="60">
        <f ca="1">AVERAGE(OFFSET($DS$3,0,0,'Données projet'!$E$14+1,1))-AVERAGE(OFFSET($H$3,0,0,'Données projet'!$E$14+1,1))</f>
        <v>455.50822833641354</v>
      </c>
      <c r="DU72" s="60">
        <f t="shared" si="98"/>
        <v>261.14722581688039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>
        <f>EJ72*VLOOKUP('Données projet'!$B$15,Paramètres!$A$1:$I$89,3,0)*VLOOKUP('Données projet'!$B$15,Paramètres!$A$1:$I$89,5,0)</f>
        <v>0</v>
      </c>
      <c r="EL72" s="14" t="e">
        <f t="shared" si="99"/>
        <v>#NUM!</v>
      </c>
      <c r="EM72" s="22" t="e">
        <f t="shared" si="73"/>
        <v>#NUM!</v>
      </c>
      <c r="EN72" s="60" t="e">
        <f t="shared" si="74"/>
        <v>#NUM!</v>
      </c>
      <c r="EO72" s="60">
        <f ca="1">AVERAGE(OFFSET($EN$3,0,0,'Données projet'!$E$15+1,1))-AVERAGE(OFFSET($H$3,0,0,'Données projet'!$E$15+1,1))</f>
        <v>207.03241199974599</v>
      </c>
      <c r="EP72" s="60">
        <f t="shared" si="100"/>
        <v>314.188568589113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6.2363534311995314</v>
      </c>
      <c r="EW72" s="23">
        <f>EXP(-LN(2)/25)*EW71+(1-EXP(-LN(2)/25))/(LN(2)/25)*Calculateur!ER72*Calculateur!ET72*VLOOKUP('Données projet'!$B$15,Paramètres!$A$1:$I$89,3,0)*0.475*44/12</f>
        <v>3.3065241806289301</v>
      </c>
      <c r="EX72" s="23">
        <f>EXP(-LN(2)/2)*EX71+(1-EXP(-LN(2)/2))/(LN(2)/2)*ER72*EU72*VLOOKUP('Données projet'!$B$15,Paramètres!$A$1:$I$89,3,0)*0.475*44/12</f>
        <v>3.9441731559311014E-6</v>
      </c>
      <c r="EY72" s="24">
        <f t="shared" si="75"/>
        <v>9.5428815560016176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 t="e">
        <f>N73*VLOOKUP('Données projet'!$B$9,Paramètres!$A$1:$I$89,3,0)*VLOOKUP('Données projet'!$B$9,Paramètres!$A$1:$I$89,5,0)</f>
        <v>#N/A</v>
      </c>
      <c r="P73" s="14" t="e">
        <f t="shared" si="87"/>
        <v>#N/A</v>
      </c>
      <c r="Q73" s="22" t="e">
        <f t="shared" si="54"/>
        <v>#N/A</v>
      </c>
      <c r="R73" s="60" t="e">
        <f t="shared" si="55"/>
        <v>#N/A</v>
      </c>
      <c r="S73" s="60" t="e">
        <f ca="1">AVERAGE(OFFSET($R$3,0,0,'Données projet'!$E$9+1,1))-AVERAGE(OFFSET($H$3,0,0,'Données projet'!$E$9+1,1))</f>
        <v>#N/A</v>
      </c>
      <c r="T73" s="60" t="e">
        <f t="shared" si="88"/>
        <v>#N/A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 t="e">
        <f>EXP(-LN(2)/35)*Z72+(1-EXP(-LN(2)/35))/(LN(2)/35)*V73*W73*VLOOKUP('Données projet'!$B$9,Paramètres!$A$1:$I$89,3,0)*0.475*44/12</f>
        <v>#N/A</v>
      </c>
      <c r="AA73" s="23" t="e">
        <f>EXP(-LN(2)/25)*AA72+(1-EXP(-LN(2)/25))/(LN(2)/25)*Calculateur!V73*Calculateur!X73*VLOOKUP('Données projet'!$B$9,Paramètres!$A$1:$I$89,3,0)*0.475*44/12</f>
        <v>#N/A</v>
      </c>
      <c r="AB73" s="23" t="e">
        <f>EXP(-LN(2)/2)*AB72+(1-EXP(-LN(2)/2))/(LN(2)/2)*V73*Y73*VLOOKUP('Données projet'!$B$9,Paramètres!$A$1:$I$89,3,0)*0.475*44/12</f>
        <v>#N/A</v>
      </c>
      <c r="AC73" s="24" t="e">
        <f t="shared" si="57"/>
        <v>#N/A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0">
        <f t="shared" si="59"/>
        <v>808.80277120001347</v>
      </c>
      <c r="AN73" s="60">
        <f ca="1">AVERAGE(OFFSET($AM$3,0,0,'Données projet'!$E$10+1,1))-AVERAGE(OFFSET($H$3,0,0,'Données projet'!$E$10+1,1))</f>
        <v>428.8489304403459</v>
      </c>
      <c r="AO73" s="60">
        <f t="shared" si="90"/>
        <v>247.01165577562966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551</v>
      </c>
      <c r="BB73" s="13">
        <f>VLOOKUP(A73,'Données projet'!$A$87:$I$107,9,0)</f>
        <v>13.857142857142858</v>
      </c>
      <c r="BC73" s="13">
        <f t="array" ref="BC73">INDEX(BB:BB,MIN(IF(ISNUMBER(BB73:BB269),ROW(BB73:BB269),"")))</f>
        <v>13.857142857142858</v>
      </c>
      <c r="BD73" s="13">
        <f>IF('Données projet'!$A$88&gt;35,BD72+BC73-BL72,IF(A73&lt;'Données projet'!$A$88,$BA$205^A73,IF(A73='Données projet'!$A$88,'Données projet'!$B$88,BD72+BC73-BL72)))</f>
        <v>550.99999999999966</v>
      </c>
      <c r="BE73" s="14">
        <f>BD73*VLOOKUP('Données projet'!$B$11,Paramètres!$A$1:$I$89,3,0)*VLOOKUP('Données projet'!$B$11,Paramètres!$A$1:$I$89,5,0)</f>
        <v>308.00899999999979</v>
      </c>
      <c r="BF73" s="14">
        <f t="shared" si="91"/>
        <v>72.852874331417695</v>
      </c>
      <c r="BG73" s="22">
        <f t="shared" si="61"/>
        <v>663.33443112721886</v>
      </c>
      <c r="BH73" s="60">
        <f t="shared" si="62"/>
        <v>956.66776446055223</v>
      </c>
      <c r="BI73" s="60">
        <f ca="1">AVERAGE(OFFSET($BH$3,0,0,'Données projet'!$E$11+1,1))-AVERAGE(OFFSET($H$3,0,0,'Données projet'!$E$11+1,1))</f>
        <v>374.79806286316051</v>
      </c>
      <c r="BJ73" s="60">
        <f t="shared" si="92"/>
        <v>350.01856672839466</v>
      </c>
      <c r="BK73" s="16">
        <f>IF(ISNA(VLOOKUP(A73,'Données projet'!$A$87:$I$107,3,0)),0,VLOOKUP(A73,'Données projet'!$A$87:$I$107,3,0))</f>
        <v>8</v>
      </c>
      <c r="BL73" s="16">
        <f>IF(ISNA(VLOOKUP(A73,'Données projet'!$A$87:$I$107,4,0)),0,VLOOKUP(A73,'Données projet'!$A$87:$I$107,4,0))</f>
        <v>551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7.3461697126514984</v>
      </c>
      <c r="BR73" s="23">
        <f>EXP(-LN(2)/2)*BR72+(1-EXP(-LN(2)/2))/(LN(2)/2)*BL73*BO73*VLOOKUP('Données projet'!$B$11,Paramètres!$A$1:$I$89,3,0)*0.475*44/12</f>
        <v>1.0497838060078897E-5</v>
      </c>
      <c r="BS73" s="24">
        <f t="shared" si="63"/>
        <v>7.3461802104895586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237.96239999999995</v>
      </c>
      <c r="CA73" s="14">
        <f t="shared" si="93"/>
        <v>58.00091360766335</v>
      </c>
      <c r="CB73" s="22">
        <f t="shared" si="64"/>
        <v>515.4694378666801</v>
      </c>
      <c r="CC73" s="60">
        <f t="shared" si="65"/>
        <v>808.80277120001347</v>
      </c>
      <c r="CD73" s="60">
        <f ca="1">AVERAGE(OFFSET($CC$3,0,0,'Données projet'!$E$12+1,1))-AVERAGE(OFFSET($H$3,0,0,'Données projet'!$E$12+1,1))</f>
        <v>428.8489304403459</v>
      </c>
      <c r="CE73" s="60">
        <f t="shared" si="94"/>
        <v>247.01165577562966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194.23076923076923</v>
      </c>
      <c r="CR73" s="13">
        <f>VLOOKUP(A73,'Données projet'!$A$139:$I$159,9,0)</f>
        <v>4.3589743589743595</v>
      </c>
      <c r="CS73" s="13">
        <f t="array" ref="CS73">INDEX(CR:CR,MIN(IF(ISNUMBER(CR73:CR269),ROW(CR73:CR269),"")))</f>
        <v>4.3589743589743595</v>
      </c>
      <c r="CT73" s="13">
        <f>IF('Données projet'!$A$140&gt;35,CT72+CS73-DB72,IF(A73&lt;'Données projet'!$A$140,$CQ$205^A73,IF(A73='Données projet'!$A$140,'Données projet'!$B$140,CT72+CS73-DB72)))</f>
        <v>194.23076923076914</v>
      </c>
      <c r="CU73" s="18">
        <f>CT73*VLOOKUP('Données projet'!$B$13,Paramètres!$A$1:$I$89,3,0)*VLOOKUP('Données projet'!$B$13,Paramètres!$A$1:$I$89,5,0)</f>
        <v>184.8299999999999</v>
      </c>
      <c r="CV73" s="14">
        <f t="shared" si="95"/>
        <v>46.395110521715885</v>
      </c>
      <c r="CW73" s="22">
        <f t="shared" si="67"/>
        <v>402.7170674919883</v>
      </c>
      <c r="CX73" s="60">
        <f t="shared" si="68"/>
        <v>696.05040082532162</v>
      </c>
      <c r="CY73" s="60">
        <f ca="1">AVERAGE(OFFSET($CX$3,0,0,'Données projet'!$E$13+1,1))-AVERAGE(OFFSET($H$3,0,0,'Données projet'!$E$13+1,1))</f>
        <v>354.63118425028898</v>
      </c>
      <c r="CZ73" s="60">
        <f t="shared" si="96"/>
        <v>244.7141066773861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254.37359999999998</v>
      </c>
      <c r="DQ73" s="14">
        <f t="shared" si="97"/>
        <v>61.521534056516209</v>
      </c>
      <c r="DR73" s="22">
        <f t="shared" si="70"/>
        <v>550.1840251484324</v>
      </c>
      <c r="DS73" s="60">
        <f t="shared" si="71"/>
        <v>843.51735848176577</v>
      </c>
      <c r="DT73" s="60">
        <f ca="1">AVERAGE(OFFSET($DS$3,0,0,'Données projet'!$E$14+1,1))-AVERAGE(OFFSET($H$3,0,0,'Données projet'!$E$14+1,1))</f>
        <v>455.50822833641354</v>
      </c>
      <c r="DU73" s="60">
        <f t="shared" si="98"/>
        <v>261.14722581688039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>
        <f>EJ73*VLOOKUP('Données projet'!$B$15,Paramètres!$A$1:$I$89,3,0)*VLOOKUP('Données projet'!$B$15,Paramètres!$A$1:$I$89,5,0)</f>
        <v>0</v>
      </c>
      <c r="EL73" s="14" t="e">
        <f t="shared" si="99"/>
        <v>#NUM!</v>
      </c>
      <c r="EM73" s="22" t="e">
        <f t="shared" si="73"/>
        <v>#NUM!</v>
      </c>
      <c r="EN73" s="60" t="e">
        <f t="shared" si="74"/>
        <v>#NUM!</v>
      </c>
      <c r="EO73" s="60">
        <f ca="1">AVERAGE(OFFSET($EN$3,0,0,'Données projet'!$E$15+1,1))-AVERAGE(OFFSET($H$3,0,0,'Données projet'!$E$15+1,1))</f>
        <v>207.03241199974599</v>
      </c>
      <c r="EP73" s="60">
        <f t="shared" si="100"/>
        <v>314.188568589113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6.1140623442137079</v>
      </c>
      <c r="EW73" s="23">
        <f>EXP(-LN(2)/25)*EW72+(1-EXP(-LN(2)/25))/(LN(2)/25)*Calculateur!ER73*Calculateur!ET73*VLOOKUP('Données projet'!$B$15,Paramètres!$A$1:$I$89,3,0)*0.475*44/12</f>
        <v>3.2161071030270825</v>
      </c>
      <c r="EX73" s="23">
        <f>EXP(-LN(2)/2)*EX72+(1-EXP(-LN(2)/2))/(LN(2)/2)*ER73*EU73*VLOOKUP('Données projet'!$B$15,Paramètres!$A$1:$I$89,3,0)*0.475*44/12</f>
        <v>2.7889515847328279E-6</v>
      </c>
      <c r="EY73" s="24">
        <f t="shared" si="75"/>
        <v>9.3301722361923751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 t="e">
        <f>N74*VLOOKUP('Données projet'!$B$9,Paramètres!$A$1:$I$89,3,0)*VLOOKUP('Données projet'!$B$9,Paramètres!$A$1:$I$89,5,0)</f>
        <v>#N/A</v>
      </c>
      <c r="P74" s="14" t="e">
        <f t="shared" si="87"/>
        <v>#N/A</v>
      </c>
      <c r="Q74" s="22" t="e">
        <f t="shared" si="54"/>
        <v>#N/A</v>
      </c>
      <c r="R74" s="60" t="e">
        <f t="shared" si="55"/>
        <v>#N/A</v>
      </c>
      <c r="S74" s="60" t="e">
        <f ca="1">AVERAGE(OFFSET($R$3,0,0,'Données projet'!$E$9+1,1))-AVERAGE(OFFSET($H$3,0,0,'Données projet'!$E$9+1,1))</f>
        <v>#N/A</v>
      </c>
      <c r="T74" s="60" t="e">
        <f t="shared" si="88"/>
        <v>#N/A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 t="e">
        <f>EXP(-LN(2)/35)*Z73+(1-EXP(-LN(2)/35))/(LN(2)/35)*V74*W74*VLOOKUP('Données projet'!$B$9,Paramètres!$A$1:$I$89,3,0)*0.475*44/12</f>
        <v>#N/A</v>
      </c>
      <c r="AA74" s="23" t="e">
        <f>EXP(-LN(2)/25)*AA73+(1-EXP(-LN(2)/25))/(LN(2)/25)*Calculateur!V74*Calculateur!X74*VLOOKUP('Données projet'!$B$9,Paramètres!$A$1:$I$89,3,0)*0.475*44/12</f>
        <v>#N/A</v>
      </c>
      <c r="AB74" s="23" t="e">
        <f>EXP(-LN(2)/2)*AB73+(1-EXP(-LN(2)/2))/(LN(2)/2)*V74*Y74*VLOOKUP('Données projet'!$B$9,Paramètres!$A$1:$I$89,3,0)*0.475*44/12</f>
        <v>#N/A</v>
      </c>
      <c r="AC74" s="24" t="e">
        <f t="shared" si="57"/>
        <v>#N/A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0">
        <f t="shared" si="59"/>
        <v>740.13528187395309</v>
      </c>
      <c r="AN74" s="60">
        <f ca="1">AVERAGE(OFFSET($AM$3,0,0,'Données projet'!$E$10+1,1))-AVERAGE(OFFSET($H$3,0,0,'Données projet'!$E$10+1,1))</f>
        <v>428.8489304403459</v>
      </c>
      <c r="AO74" s="60">
        <f t="shared" si="90"/>
        <v>247.01165577562966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-3.4106051316484809E-13</v>
      </c>
      <c r="BE74" s="14">
        <f>BD74*VLOOKUP('Données projet'!$B$11,Paramètres!$A$1:$I$89,3,0)*VLOOKUP('Données projet'!$B$11,Paramètres!$A$1:$I$89,5,0)</f>
        <v>-1.9065282685915009E-13</v>
      </c>
      <c r="BF74" s="14" t="e">
        <f t="shared" si="91"/>
        <v>#NUM!</v>
      </c>
      <c r="BG74" s="22" t="e">
        <f t="shared" si="61"/>
        <v>#NUM!</v>
      </c>
      <c r="BH74" s="60" t="e">
        <f t="shared" si="62"/>
        <v>#NUM!</v>
      </c>
      <c r="BI74" s="60">
        <f ca="1">AVERAGE(OFFSET($BH$3,0,0,'Données projet'!$E$11+1,1))-AVERAGE(OFFSET($H$3,0,0,'Données projet'!$E$11+1,1))</f>
        <v>374.79806286316051</v>
      </c>
      <c r="BJ74" s="60">
        <f t="shared" si="92"/>
        <v>350.01856672839466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7.1452883155407676</v>
      </c>
      <c r="BR74" s="23">
        <f>EXP(-LN(2)/2)*BR73+(1-EXP(-LN(2)/2))/(LN(2)/2)*BL74*BO74*VLOOKUP('Données projet'!$B$11,Paramètres!$A$1:$I$89,3,0)*0.475*44/12</f>
        <v>7.42309248008002E-6</v>
      </c>
      <c r="BS74" s="24">
        <f t="shared" si="63"/>
        <v>7.1452957386332479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205.57055999999994</v>
      </c>
      <c r="CA74" s="14">
        <f t="shared" si="93"/>
        <v>50.966443946767392</v>
      </c>
      <c r="CB74" s="22">
        <f t="shared" si="64"/>
        <v>446.80194854061978</v>
      </c>
      <c r="CC74" s="60">
        <f t="shared" si="65"/>
        <v>740.13528187395309</v>
      </c>
      <c r="CD74" s="60">
        <f ca="1">AVERAGE(OFFSET($CC$3,0,0,'Données projet'!$E$12+1,1))-AVERAGE(OFFSET($H$3,0,0,'Données projet'!$E$12+1,1))</f>
        <v>428.8489304403459</v>
      </c>
      <c r="CE74" s="60">
        <f t="shared" si="94"/>
        <v>247.01165577562966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3.9743589743589722</v>
      </c>
      <c r="CT74" s="13">
        <f>IF('Données projet'!$A$140&gt;35,CT73+CS74-DB73,IF(A74&lt;'Données projet'!$A$140,$CQ$205^A74,IF(A74='Données projet'!$A$140,'Données projet'!$B$140,CT73+CS74-DB73)))</f>
        <v>198.20512820512812</v>
      </c>
      <c r="CU74" s="18">
        <f>CT74*VLOOKUP('Données projet'!$B$13,Paramètres!$A$1:$I$89,3,0)*VLOOKUP('Données projet'!$B$13,Paramètres!$A$1:$I$89,5,0)</f>
        <v>188.61199999999991</v>
      </c>
      <c r="CV74" s="14">
        <f t="shared" si="95"/>
        <v>47.232954932734806</v>
      </c>
      <c r="CW74" s="22">
        <f t="shared" si="67"/>
        <v>410.76329650784623</v>
      </c>
      <c r="CX74" s="60">
        <f t="shared" si="68"/>
        <v>704.09662984117949</v>
      </c>
      <c r="CY74" s="60">
        <f ca="1">AVERAGE(OFFSET($CX$3,0,0,'Données projet'!$E$13+1,1))-AVERAGE(OFFSET($H$3,0,0,'Données projet'!$E$13+1,1))</f>
        <v>354.63118425028898</v>
      </c>
      <c r="CZ74" s="60">
        <f t="shared" si="96"/>
        <v>244.7141066773861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219.74783999999994</v>
      </c>
      <c r="DQ74" s="14">
        <f t="shared" si="97"/>
        <v>54.060076332940561</v>
      </c>
      <c r="DR74" s="22">
        <f t="shared" si="70"/>
        <v>476.88212094653812</v>
      </c>
      <c r="DS74" s="60">
        <f t="shared" si="71"/>
        <v>770.21545427987144</v>
      </c>
      <c r="DT74" s="60">
        <f ca="1">AVERAGE(OFFSET($DS$3,0,0,'Données projet'!$E$14+1,1))-AVERAGE(OFFSET($H$3,0,0,'Données projet'!$E$14+1,1))</f>
        <v>455.50822833641354</v>
      </c>
      <c r="DU74" s="60">
        <f t="shared" si="98"/>
        <v>261.14722581688039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>
        <f>EJ74*VLOOKUP('Données projet'!$B$15,Paramètres!$A$1:$I$89,3,0)*VLOOKUP('Données projet'!$B$15,Paramètres!$A$1:$I$89,5,0)</f>
        <v>0</v>
      </c>
      <c r="EL74" s="14" t="e">
        <f t="shared" si="99"/>
        <v>#NUM!</v>
      </c>
      <c r="EM74" s="22" t="e">
        <f t="shared" si="73"/>
        <v>#NUM!</v>
      </c>
      <c r="EN74" s="60" t="e">
        <f t="shared" si="74"/>
        <v>#NUM!</v>
      </c>
      <c r="EO74" s="60">
        <f ca="1">AVERAGE(OFFSET($EN$3,0,0,'Données projet'!$E$15+1,1))-AVERAGE(OFFSET($H$3,0,0,'Données projet'!$E$15+1,1))</f>
        <v>207.03241199974599</v>
      </c>
      <c r="EP74" s="60">
        <f t="shared" si="100"/>
        <v>314.188568589113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5.9941693108534784</v>
      </c>
      <c r="EW74" s="23">
        <f>EXP(-LN(2)/25)*EW73+(1-EXP(-LN(2)/25))/(LN(2)/25)*Calculateur!ER74*Calculateur!ET74*VLOOKUP('Données projet'!$B$15,Paramètres!$A$1:$I$89,3,0)*0.475*44/12</f>
        <v>3.1281624851670848</v>
      </c>
      <c r="EX74" s="23">
        <f>EXP(-LN(2)/2)*EX73+(1-EXP(-LN(2)/2))/(LN(2)/2)*ER74*EU74*VLOOKUP('Données projet'!$B$15,Paramètres!$A$1:$I$89,3,0)*0.475*44/12</f>
        <v>1.9720865779655507E-6</v>
      </c>
      <c r="EY74" s="24">
        <f t="shared" si="75"/>
        <v>9.1223337681071417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 t="e">
        <f>N75*VLOOKUP('Données projet'!$B$9,Paramètres!$A$1:$I$89,3,0)*VLOOKUP('Données projet'!$B$9,Paramètres!$A$1:$I$89,5,0)</f>
        <v>#N/A</v>
      </c>
      <c r="P75" s="14" t="e">
        <f t="shared" si="87"/>
        <v>#N/A</v>
      </c>
      <c r="Q75" s="22" t="e">
        <f t="shared" si="54"/>
        <v>#N/A</v>
      </c>
      <c r="R75" s="60" t="e">
        <f t="shared" si="55"/>
        <v>#N/A</v>
      </c>
      <c r="S75" s="60" t="e">
        <f ca="1">AVERAGE(OFFSET($R$3,0,0,'Données projet'!$E$9+1,1))-AVERAGE(OFFSET($H$3,0,0,'Données projet'!$E$9+1,1))</f>
        <v>#N/A</v>
      </c>
      <c r="T75" s="60" t="e">
        <f t="shared" si="88"/>
        <v>#N/A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 t="e">
        <f>EXP(-LN(2)/35)*Z74+(1-EXP(-LN(2)/35))/(LN(2)/35)*V75*W75*VLOOKUP('Données projet'!$B$9,Paramètres!$A$1:$I$89,3,0)*0.475*44/12</f>
        <v>#N/A</v>
      </c>
      <c r="AA75" s="23" t="e">
        <f>EXP(-LN(2)/25)*AA74+(1-EXP(-LN(2)/25))/(LN(2)/25)*Calculateur!V75*Calculateur!X75*VLOOKUP('Données projet'!$B$9,Paramètres!$A$1:$I$89,3,0)*0.475*44/12</f>
        <v>#N/A</v>
      </c>
      <c r="AB75" s="23" t="e">
        <f>EXP(-LN(2)/2)*AB74+(1-EXP(-LN(2)/2))/(LN(2)/2)*V75*Y75*VLOOKUP('Données projet'!$B$9,Paramètres!$A$1:$I$89,3,0)*0.475*44/12</f>
        <v>#N/A</v>
      </c>
      <c r="AC75" s="24" t="e">
        <f t="shared" si="57"/>
        <v>#N/A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0">
        <f t="shared" si="59"/>
        <v>752.04261652954642</v>
      </c>
      <c r="AN75" s="60">
        <f ca="1">AVERAGE(OFFSET($AM$3,0,0,'Données projet'!$E$10+1,1))-AVERAGE(OFFSET($H$3,0,0,'Données projet'!$E$10+1,1))</f>
        <v>428.8489304403459</v>
      </c>
      <c r="AO75" s="60">
        <f t="shared" si="90"/>
        <v>247.01165577562966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-3.4106051316484809E-13</v>
      </c>
      <c r="BE75" s="14">
        <f>BD75*VLOOKUP('Données projet'!$B$11,Paramètres!$A$1:$I$89,3,0)*VLOOKUP('Données projet'!$B$11,Paramètres!$A$1:$I$89,5,0)</f>
        <v>-1.9065282685915009E-13</v>
      </c>
      <c r="BF75" s="14" t="e">
        <f t="shared" si="91"/>
        <v>#NUM!</v>
      </c>
      <c r="BG75" s="22" t="e">
        <f t="shared" si="61"/>
        <v>#NUM!</v>
      </c>
      <c r="BH75" s="60" t="e">
        <f t="shared" si="62"/>
        <v>#NUM!</v>
      </c>
      <c r="BI75" s="60">
        <f ca="1">AVERAGE(OFFSET($BH$3,0,0,'Données projet'!$E$11+1,1))-AVERAGE(OFFSET($H$3,0,0,'Données projet'!$E$11+1,1))</f>
        <v>374.79806286316051</v>
      </c>
      <c r="BJ75" s="60">
        <f t="shared" si="92"/>
        <v>350.01856672839466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6.9499000307979237</v>
      </c>
      <c r="BR75" s="23">
        <f>EXP(-LN(2)/2)*BR74+(1-EXP(-LN(2)/2))/(LN(2)/2)*BL75*BO75*VLOOKUP('Données projet'!$B$11,Paramètres!$A$1:$I$89,3,0)*0.475*44/12</f>
        <v>5.2489190300394493E-6</v>
      </c>
      <c r="BS75" s="24">
        <f t="shared" si="63"/>
        <v>6.9499052797169538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0">
        <f t="shared" si="65"/>
        <v>752.04261652954642</v>
      </c>
      <c r="CD75" s="60">
        <f ca="1">AVERAGE(OFFSET($CC$3,0,0,'Données projet'!$E$12+1,1))-AVERAGE(OFFSET($H$3,0,0,'Données projet'!$E$12+1,1))</f>
        <v>428.8489304403459</v>
      </c>
      <c r="CE75" s="60">
        <f t="shared" si="94"/>
        <v>247.01165577562966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3.9743589743589722</v>
      </c>
      <c r="CT75" s="13">
        <f>IF('Données projet'!$A$140&gt;35,CT74+CS75-DB74,IF(A75&lt;'Données projet'!$A$140,$CQ$205^A75,IF(A75='Données projet'!$A$140,'Données projet'!$B$140,CT74+CS75-DB74)))</f>
        <v>202.1794871794871</v>
      </c>
      <c r="CU75" s="18">
        <f>CT75*VLOOKUP('Données projet'!$B$13,Paramètres!$A$1:$I$89,3,0)*VLOOKUP('Données projet'!$B$13,Paramètres!$A$1:$I$89,5,0)</f>
        <v>192.39399999999992</v>
      </c>
      <c r="CV75" s="14">
        <f t="shared" si="95"/>
        <v>48.06884593738954</v>
      </c>
      <c r="CW75" s="22">
        <f t="shared" si="67"/>
        <v>418.80612334095326</v>
      </c>
      <c r="CX75" s="60">
        <f t="shared" si="68"/>
        <v>712.13945667428652</v>
      </c>
      <c r="CY75" s="60">
        <f ca="1">AVERAGE(OFFSET($CX$3,0,0,'Données projet'!$E$13+1,1))-AVERAGE(OFFSET($H$3,0,0,'Données projet'!$E$13+1,1))</f>
        <v>354.63118425028898</v>
      </c>
      <c r="CZ75" s="60">
        <f t="shared" si="96"/>
        <v>244.7141066773861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225.74447999999992</v>
      </c>
      <c r="DQ75" s="14">
        <f t="shared" si="97"/>
        <v>55.36154088431374</v>
      </c>
      <c r="DR75" s="22">
        <f t="shared" si="70"/>
        <v>489.59298637351299</v>
      </c>
      <c r="DS75" s="60">
        <f t="shared" si="71"/>
        <v>782.92631970684624</v>
      </c>
      <c r="DT75" s="60">
        <f ca="1">AVERAGE(OFFSET($DS$3,0,0,'Données projet'!$E$14+1,1))-AVERAGE(OFFSET($H$3,0,0,'Données projet'!$E$14+1,1))</f>
        <v>455.50822833641354</v>
      </c>
      <c r="DU75" s="60">
        <f t="shared" si="98"/>
        <v>261.14722581688039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>
        <f>EJ75*VLOOKUP('Données projet'!$B$15,Paramètres!$A$1:$I$89,3,0)*VLOOKUP('Données projet'!$B$15,Paramètres!$A$1:$I$89,5,0)</f>
        <v>0</v>
      </c>
      <c r="EL75" s="14" t="e">
        <f t="shared" si="99"/>
        <v>#NUM!</v>
      </c>
      <c r="EM75" s="22" t="e">
        <f t="shared" si="73"/>
        <v>#NUM!</v>
      </c>
      <c r="EN75" s="60" t="e">
        <f t="shared" si="74"/>
        <v>#NUM!</v>
      </c>
      <c r="EO75" s="60">
        <f ca="1">AVERAGE(OFFSET($EN$3,0,0,'Données projet'!$E$15+1,1))-AVERAGE(OFFSET($H$3,0,0,'Données projet'!$E$15+1,1))</f>
        <v>207.03241199974599</v>
      </c>
      <c r="EP75" s="60">
        <f t="shared" si="100"/>
        <v>314.188568589113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5.8766273067499135</v>
      </c>
      <c r="EW75" s="23">
        <f>EXP(-LN(2)/25)*EW74+(1-EXP(-LN(2)/25))/(LN(2)/25)*Calculateur!ER75*Calculateur!ET75*VLOOKUP('Données projet'!$B$15,Paramètres!$A$1:$I$89,3,0)*0.475*44/12</f>
        <v>3.0426227175072755</v>
      </c>
      <c r="EX75" s="23">
        <f>EXP(-LN(2)/2)*EX74+(1-EXP(-LN(2)/2))/(LN(2)/2)*ER75*EU75*VLOOKUP('Données projet'!$B$15,Paramètres!$A$1:$I$89,3,0)*0.475*44/12</f>
        <v>1.394475792366414E-6</v>
      </c>
      <c r="EY75" s="24">
        <f t="shared" si="75"/>
        <v>8.9192514187329799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 t="e">
        <f>N76*VLOOKUP('Données projet'!$B$9,Paramètres!$A$1:$I$89,3,0)*VLOOKUP('Données projet'!$B$9,Paramètres!$A$1:$I$89,5,0)</f>
        <v>#N/A</v>
      </c>
      <c r="P76" s="14" t="e">
        <f t="shared" si="87"/>
        <v>#N/A</v>
      </c>
      <c r="Q76" s="22" t="e">
        <f t="shared" si="54"/>
        <v>#N/A</v>
      </c>
      <c r="R76" s="60" t="e">
        <f t="shared" si="55"/>
        <v>#N/A</v>
      </c>
      <c r="S76" s="60" t="e">
        <f ca="1">AVERAGE(OFFSET($R$3,0,0,'Données projet'!$E$9+1,1))-AVERAGE(OFFSET($H$3,0,0,'Données projet'!$E$9+1,1))</f>
        <v>#N/A</v>
      </c>
      <c r="T76" s="60" t="e">
        <f t="shared" si="88"/>
        <v>#N/A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 t="e">
        <f>EXP(-LN(2)/35)*Z75+(1-EXP(-LN(2)/35))/(LN(2)/35)*V76*W76*VLOOKUP('Données projet'!$B$9,Paramètres!$A$1:$I$89,3,0)*0.475*44/12</f>
        <v>#N/A</v>
      </c>
      <c r="AA76" s="23" t="e">
        <f>EXP(-LN(2)/25)*AA75+(1-EXP(-LN(2)/25))/(LN(2)/25)*Calculateur!V76*Calculateur!X76*VLOOKUP('Données projet'!$B$9,Paramètres!$A$1:$I$89,3,0)*0.475*44/12</f>
        <v>#N/A</v>
      </c>
      <c r="AB76" s="23" t="e">
        <f>EXP(-LN(2)/2)*AB75+(1-EXP(-LN(2)/2))/(LN(2)/2)*V76*Y76*VLOOKUP('Données projet'!$B$9,Paramètres!$A$1:$I$89,3,0)*0.475*44/12</f>
        <v>#N/A</v>
      </c>
      <c r="AC76" s="24" t="e">
        <f t="shared" si="57"/>
        <v>#N/A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0">
        <f t="shared" si="59"/>
        <v>763.94335289202195</v>
      </c>
      <c r="AN76" s="60">
        <f ca="1">AVERAGE(OFFSET($AM$3,0,0,'Données projet'!$E$10+1,1))-AVERAGE(OFFSET($H$3,0,0,'Données projet'!$E$10+1,1))</f>
        <v>428.8489304403459</v>
      </c>
      <c r="AO76" s="60">
        <f t="shared" si="90"/>
        <v>247.01165577562966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-3.4106051316484809E-13</v>
      </c>
      <c r="BE76" s="14">
        <f>BD76*VLOOKUP('Données projet'!$B$11,Paramètres!$A$1:$I$89,3,0)*VLOOKUP('Données projet'!$B$11,Paramètres!$A$1:$I$89,5,0)</f>
        <v>-1.9065282685915009E-13</v>
      </c>
      <c r="BF76" s="14" t="e">
        <f t="shared" si="91"/>
        <v>#NUM!</v>
      </c>
      <c r="BG76" s="22" t="e">
        <f t="shared" si="61"/>
        <v>#NUM!</v>
      </c>
      <c r="BH76" s="60" t="e">
        <f t="shared" si="62"/>
        <v>#NUM!</v>
      </c>
      <c r="BI76" s="60">
        <f ca="1">AVERAGE(OFFSET($BH$3,0,0,'Données projet'!$E$11+1,1))-AVERAGE(OFFSET($H$3,0,0,'Données projet'!$E$11+1,1))</f>
        <v>374.79806286316051</v>
      </c>
      <c r="BJ76" s="60">
        <f t="shared" si="92"/>
        <v>350.01856672839466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6.759854648976396</v>
      </c>
      <c r="BR76" s="23">
        <f>EXP(-LN(2)/2)*BR75+(1-EXP(-LN(2)/2))/(LN(2)/2)*BL76*BO76*VLOOKUP('Données projet'!$B$11,Paramètres!$A$1:$I$89,3,0)*0.475*44/12</f>
        <v>3.7115462400400104E-6</v>
      </c>
      <c r="BS76" s="24">
        <f t="shared" si="63"/>
        <v>6.7598583605226361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216.7900799999999</v>
      </c>
      <c r="CA76" s="14">
        <f t="shared" si="93"/>
        <v>53.416629794462551</v>
      </c>
      <c r="CB76" s="22">
        <f t="shared" si="64"/>
        <v>470.61001955868869</v>
      </c>
      <c r="CC76" s="60">
        <f t="shared" si="65"/>
        <v>763.94335289202195</v>
      </c>
      <c r="CD76" s="60">
        <f ca="1">AVERAGE(OFFSET($CC$3,0,0,'Données projet'!$E$12+1,1))-AVERAGE(OFFSET($H$3,0,0,'Données projet'!$E$12+1,1))</f>
        <v>428.8489304403459</v>
      </c>
      <c r="CE76" s="60">
        <f t="shared" si="94"/>
        <v>247.01165577562966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3.9743589743589722</v>
      </c>
      <c r="CT76" s="13">
        <f>IF('Données projet'!$A$140&gt;35,CT75+CS76-DB75,IF(A76&lt;'Données projet'!$A$140,$CQ$205^A76,IF(A76='Données projet'!$A$140,'Données projet'!$B$140,CT75+CS76-DB75)))</f>
        <v>206.15384615384608</v>
      </c>
      <c r="CU76" s="18">
        <f>CT76*VLOOKUP('Données projet'!$B$13,Paramètres!$A$1:$I$89,3,0)*VLOOKUP('Données projet'!$B$13,Paramètres!$A$1:$I$89,5,0)</f>
        <v>196.17599999999993</v>
      </c>
      <c r="CV76" s="14">
        <f t="shared" si="95"/>
        <v>48.902826361146467</v>
      </c>
      <c r="CW76" s="22">
        <f t="shared" si="67"/>
        <v>426.84562257899665</v>
      </c>
      <c r="CX76" s="60">
        <f t="shared" si="68"/>
        <v>720.17895591232991</v>
      </c>
      <c r="CY76" s="60">
        <f ca="1">AVERAGE(OFFSET($CX$3,0,0,'Données projet'!$E$13+1,1))-AVERAGE(OFFSET($H$3,0,0,'Données projet'!$E$13+1,1))</f>
        <v>354.63118425028898</v>
      </c>
      <c r="CZ76" s="60">
        <f t="shared" si="96"/>
        <v>244.7141066773861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231.74111999999991</v>
      </c>
      <c r="DQ76" s="14">
        <f t="shared" si="97"/>
        <v>56.658986982752438</v>
      </c>
      <c r="DR76" s="22">
        <f t="shared" si="70"/>
        <v>502.29685299496032</v>
      </c>
      <c r="DS76" s="60">
        <f t="shared" si="71"/>
        <v>795.63018632829358</v>
      </c>
      <c r="DT76" s="60">
        <f ca="1">AVERAGE(OFFSET($DS$3,0,0,'Données projet'!$E$14+1,1))-AVERAGE(OFFSET($H$3,0,0,'Données projet'!$E$14+1,1))</f>
        <v>455.50822833641354</v>
      </c>
      <c r="DU76" s="60">
        <f t="shared" si="98"/>
        <v>261.14722581688039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>
        <f>EJ76*VLOOKUP('Données projet'!$B$15,Paramètres!$A$1:$I$89,3,0)*VLOOKUP('Données projet'!$B$15,Paramètres!$A$1:$I$89,5,0)</f>
        <v>0</v>
      </c>
      <c r="EL76" s="14" t="e">
        <f t="shared" si="99"/>
        <v>#NUM!</v>
      </c>
      <c r="EM76" s="22" t="e">
        <f t="shared" si="73"/>
        <v>#NUM!</v>
      </c>
      <c r="EN76" s="60" t="e">
        <f t="shared" si="74"/>
        <v>#NUM!</v>
      </c>
      <c r="EO76" s="60">
        <f ca="1">AVERAGE(OFFSET($EN$3,0,0,'Données projet'!$E$15+1,1))-AVERAGE(OFFSET($H$3,0,0,'Données projet'!$E$15+1,1))</f>
        <v>207.03241199974599</v>
      </c>
      <c r="EP76" s="60">
        <f t="shared" si="100"/>
        <v>314.188568589113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5.7613902296532755</v>
      </c>
      <c r="EW76" s="23">
        <f>EXP(-LN(2)/25)*EW75+(1-EXP(-LN(2)/25))/(LN(2)/25)*Calculateur!ER76*Calculateur!ET76*VLOOKUP('Données projet'!$B$15,Paramètres!$A$1:$I$89,3,0)*0.475*44/12</f>
        <v>2.9594220392924644</v>
      </c>
      <c r="EX76" s="23">
        <f>EXP(-LN(2)/2)*EX75+(1-EXP(-LN(2)/2))/(LN(2)/2)*ER76*EU76*VLOOKUP('Données projet'!$B$15,Paramètres!$A$1:$I$89,3,0)*0.475*44/12</f>
        <v>9.8604328898277535E-7</v>
      </c>
      <c r="EY76" s="24">
        <f t="shared" si="75"/>
        <v>8.7208132549890287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 t="e">
        <f>N77*VLOOKUP('Données projet'!$B$9,Paramètres!$A$1:$I$89,3,0)*VLOOKUP('Données projet'!$B$9,Paramètres!$A$1:$I$89,5,0)</f>
        <v>#N/A</v>
      </c>
      <c r="P77" s="14" t="e">
        <f t="shared" si="87"/>
        <v>#N/A</v>
      </c>
      <c r="Q77" s="22" t="e">
        <f t="shared" si="54"/>
        <v>#N/A</v>
      </c>
      <c r="R77" s="60" t="e">
        <f t="shared" si="55"/>
        <v>#N/A</v>
      </c>
      <c r="S77" s="60" t="e">
        <f ca="1">AVERAGE(OFFSET($R$3,0,0,'Données projet'!$E$9+1,1))-AVERAGE(OFFSET($H$3,0,0,'Données projet'!$E$9+1,1))</f>
        <v>#N/A</v>
      </c>
      <c r="T77" s="60" t="e">
        <f t="shared" si="88"/>
        <v>#N/A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 t="e">
        <f>EXP(-LN(2)/35)*Z76+(1-EXP(-LN(2)/35))/(LN(2)/35)*V77*W77*VLOOKUP('Données projet'!$B$9,Paramètres!$A$1:$I$89,3,0)*0.475*44/12</f>
        <v>#N/A</v>
      </c>
      <c r="AA77" s="23" t="e">
        <f>EXP(-LN(2)/25)*AA76+(1-EXP(-LN(2)/25))/(LN(2)/25)*Calculateur!V77*Calculateur!X77*VLOOKUP('Données projet'!$B$9,Paramètres!$A$1:$I$89,3,0)*0.475*44/12</f>
        <v>#N/A</v>
      </c>
      <c r="AB77" s="23" t="e">
        <f>EXP(-LN(2)/2)*AB76+(1-EXP(-LN(2)/2))/(LN(2)/2)*V77*Y77*VLOOKUP('Données projet'!$B$9,Paramètres!$A$1:$I$89,3,0)*0.475*44/12</f>
        <v>#N/A</v>
      </c>
      <c r="AC77" s="24" t="e">
        <f t="shared" si="57"/>
        <v>#N/A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0">
        <f t="shared" si="59"/>
        <v>775.83768133226158</v>
      </c>
      <c r="AN77" s="60">
        <f ca="1">AVERAGE(OFFSET($AM$3,0,0,'Données projet'!$E$10+1,1))-AVERAGE(OFFSET($H$3,0,0,'Données projet'!$E$10+1,1))</f>
        <v>428.8489304403459</v>
      </c>
      <c r="AO77" s="60">
        <f t="shared" si="90"/>
        <v>247.01165577562966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-3.4106051316484809E-13</v>
      </c>
      <c r="BE77" s="14">
        <f>BD77*VLOOKUP('Données projet'!$B$11,Paramètres!$A$1:$I$89,3,0)*VLOOKUP('Données projet'!$B$11,Paramètres!$A$1:$I$89,5,0)</f>
        <v>-1.9065282685915009E-13</v>
      </c>
      <c r="BF77" s="14" t="e">
        <f t="shared" si="91"/>
        <v>#NUM!</v>
      </c>
      <c r="BG77" s="22" t="e">
        <f t="shared" si="61"/>
        <v>#NUM!</v>
      </c>
      <c r="BH77" s="60" t="e">
        <f t="shared" si="62"/>
        <v>#NUM!</v>
      </c>
      <c r="BI77" s="60">
        <f ca="1">AVERAGE(OFFSET($BH$3,0,0,'Données projet'!$E$11+1,1))-AVERAGE(OFFSET($H$3,0,0,'Données projet'!$E$11+1,1))</f>
        <v>374.79806286316051</v>
      </c>
      <c r="BJ77" s="60">
        <f t="shared" si="92"/>
        <v>350.01856672839466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6.5750060681148303</v>
      </c>
      <c r="BR77" s="23">
        <f>EXP(-LN(2)/2)*BR76+(1-EXP(-LN(2)/2))/(LN(2)/2)*BL77*BO77*VLOOKUP('Données projet'!$B$11,Paramètres!$A$1:$I$89,3,0)*0.475*44/12</f>
        <v>2.6244595150197251E-6</v>
      </c>
      <c r="BS77" s="24">
        <f t="shared" si="63"/>
        <v>6.5750086925743449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0">
        <f t="shared" si="65"/>
        <v>775.83768133226158</v>
      </c>
      <c r="CD77" s="60">
        <f ca="1">AVERAGE(OFFSET($CC$3,0,0,'Données projet'!$E$12+1,1))-AVERAGE(OFFSET($H$3,0,0,'Données projet'!$E$12+1,1))</f>
        <v>428.8489304403459</v>
      </c>
      <c r="CE77" s="60">
        <f t="shared" si="94"/>
        <v>247.01165577562966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3.9743589743589722</v>
      </c>
      <c r="CT77" s="13">
        <f>IF('Données projet'!$A$140&gt;35,CT76+CS77-DB76,IF(A77&lt;'Données projet'!$A$140,$CQ$205^A77,IF(A77='Données projet'!$A$140,'Données projet'!$B$140,CT76+CS77-DB76)))</f>
        <v>210.12820512820505</v>
      </c>
      <c r="CU77" s="18">
        <f>CT77*VLOOKUP('Données projet'!$B$13,Paramètres!$A$1:$I$89,3,0)*VLOOKUP('Données projet'!$B$13,Paramètres!$A$1:$I$89,5,0)</f>
        <v>199.95799999999994</v>
      </c>
      <c r="CV77" s="14">
        <f t="shared" si="95"/>
        <v>49.734937283774826</v>
      </c>
      <c r="CW77" s="22">
        <f t="shared" si="67"/>
        <v>434.88186576924096</v>
      </c>
      <c r="CX77" s="60">
        <f t="shared" si="68"/>
        <v>728.21519910257427</v>
      </c>
      <c r="CY77" s="60">
        <f ca="1">AVERAGE(OFFSET($CX$3,0,0,'Données projet'!$E$13+1,1))-AVERAGE(OFFSET($H$3,0,0,'Données projet'!$E$13+1,1))</f>
        <v>354.63118425028898</v>
      </c>
      <c r="CZ77" s="60">
        <f t="shared" si="96"/>
        <v>244.7141066773861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237.73775999999989</v>
      </c>
      <c r="DQ77" s="14">
        <f t="shared" si="97"/>
        <v>57.952530566790166</v>
      </c>
      <c r="DR77" s="22">
        <f t="shared" si="70"/>
        <v>514.99392273715932</v>
      </c>
      <c r="DS77" s="60">
        <f t="shared" si="71"/>
        <v>808.32725607049269</v>
      </c>
      <c r="DT77" s="60">
        <f ca="1">AVERAGE(OFFSET($DS$3,0,0,'Données projet'!$E$14+1,1))-AVERAGE(OFFSET($H$3,0,0,'Données projet'!$E$14+1,1))</f>
        <v>455.50822833641354</v>
      </c>
      <c r="DU77" s="60">
        <f t="shared" si="98"/>
        <v>261.14722581688039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>
        <f>EJ77*VLOOKUP('Données projet'!$B$15,Paramètres!$A$1:$I$89,3,0)*VLOOKUP('Données projet'!$B$15,Paramètres!$A$1:$I$89,5,0)</f>
        <v>0</v>
      </c>
      <c r="EL77" s="14" t="e">
        <f t="shared" si="99"/>
        <v>#NUM!</v>
      </c>
      <c r="EM77" s="22" t="e">
        <f t="shared" si="73"/>
        <v>#NUM!</v>
      </c>
      <c r="EN77" s="60" t="e">
        <f t="shared" si="74"/>
        <v>#NUM!</v>
      </c>
      <c r="EO77" s="60">
        <f ca="1">AVERAGE(OFFSET($EN$3,0,0,'Données projet'!$E$15+1,1))-AVERAGE(OFFSET($H$3,0,0,'Données projet'!$E$15+1,1))</f>
        <v>207.03241199974599</v>
      </c>
      <c r="EP77" s="60">
        <f t="shared" si="100"/>
        <v>314.188568589113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5.6484128813508265</v>
      </c>
      <c r="EW77" s="23">
        <f>EXP(-LN(2)/25)*EW76+(1-EXP(-LN(2)/25))/(LN(2)/25)*Calculateur!ER77*Calculateur!ET77*VLOOKUP('Données projet'!$B$15,Paramètres!$A$1:$I$89,3,0)*0.475*44/12</f>
        <v>2.8784964879987709</v>
      </c>
      <c r="EX77" s="23">
        <f>EXP(-LN(2)/2)*EX76+(1-EXP(-LN(2)/2))/(LN(2)/2)*ER77*EU77*VLOOKUP('Données projet'!$B$15,Paramètres!$A$1:$I$89,3,0)*0.475*44/12</f>
        <v>6.9723789618320699E-7</v>
      </c>
      <c r="EY77" s="24">
        <f t="shared" si="75"/>
        <v>8.5269100665874937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 t="e">
        <f>N78*VLOOKUP('Données projet'!$B$9,Paramètres!$A$1:$I$89,3,0)*VLOOKUP('Données projet'!$B$9,Paramètres!$A$1:$I$89,5,0)</f>
        <v>#N/A</v>
      </c>
      <c r="P78" s="14" t="e">
        <f t="shared" si="87"/>
        <v>#N/A</v>
      </c>
      <c r="Q78" s="22" t="e">
        <f t="shared" si="54"/>
        <v>#N/A</v>
      </c>
      <c r="R78" s="60" t="e">
        <f t="shared" si="55"/>
        <v>#N/A</v>
      </c>
      <c r="S78" s="60" t="e">
        <f ca="1">AVERAGE(OFFSET($R$3,0,0,'Données projet'!$E$9+1,1))-AVERAGE(OFFSET($H$3,0,0,'Données projet'!$E$9+1,1))</f>
        <v>#N/A</v>
      </c>
      <c r="T78" s="60" t="e">
        <f t="shared" si="88"/>
        <v>#N/A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 t="e">
        <f>EXP(-LN(2)/35)*Z77+(1-EXP(-LN(2)/35))/(LN(2)/35)*V78*W78*VLOOKUP('Données projet'!$B$9,Paramètres!$A$1:$I$89,3,0)*0.475*44/12</f>
        <v>#N/A</v>
      </c>
      <c r="AA78" s="23" t="e">
        <f>EXP(-LN(2)/25)*AA77+(1-EXP(-LN(2)/25))/(LN(2)/25)*Calculateur!V78*Calculateur!X78*VLOOKUP('Données projet'!$B$9,Paramètres!$A$1:$I$89,3,0)*0.475*44/12</f>
        <v>#N/A</v>
      </c>
      <c r="AB78" s="23" t="e">
        <f>EXP(-LN(2)/2)*AB77+(1-EXP(-LN(2)/2))/(LN(2)/2)*V78*Y78*VLOOKUP('Données projet'!$B$9,Paramètres!$A$1:$I$89,3,0)*0.475*44/12</f>
        <v>#N/A</v>
      </c>
      <c r="AC78" s="24" t="e">
        <f t="shared" si="57"/>
        <v>#N/A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0">
        <f t="shared" si="59"/>
        <v>787.72578207012918</v>
      </c>
      <c r="AN78" s="60">
        <f ca="1">AVERAGE(OFFSET($AM$3,0,0,'Données projet'!$E$10+1,1))-AVERAGE(OFFSET($H$3,0,0,'Données projet'!$E$10+1,1))</f>
        <v>428.8489304403459</v>
      </c>
      <c r="AO78" s="60">
        <f t="shared" si="90"/>
        <v>247.01165577562966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-3.4106051316484809E-13</v>
      </c>
      <c r="BE78" s="14">
        <f>BD78*VLOOKUP('Données projet'!$B$11,Paramètres!$A$1:$I$89,3,0)*VLOOKUP('Données projet'!$B$11,Paramètres!$A$1:$I$89,5,0)</f>
        <v>-1.9065282685915009E-13</v>
      </c>
      <c r="BF78" s="14" t="e">
        <f t="shared" si="91"/>
        <v>#NUM!</v>
      </c>
      <c r="BG78" s="22" t="e">
        <f t="shared" si="61"/>
        <v>#NUM!</v>
      </c>
      <c r="BH78" s="60" t="e">
        <f t="shared" si="62"/>
        <v>#NUM!</v>
      </c>
      <c r="BI78" s="60">
        <f ca="1">AVERAGE(OFFSET($BH$3,0,0,'Données projet'!$E$11+1,1))-AVERAGE(OFFSET($H$3,0,0,'Données projet'!$E$11+1,1))</f>
        <v>374.79806286316051</v>
      </c>
      <c r="BJ78" s="60">
        <f t="shared" si="92"/>
        <v>350.01856672839466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6.3952121814176888</v>
      </c>
      <c r="BR78" s="23">
        <f>EXP(-LN(2)/2)*BR77+(1-EXP(-LN(2)/2))/(LN(2)/2)*BL78*BO78*VLOOKUP('Données projet'!$B$11,Paramètres!$A$1:$I$89,3,0)*0.475*44/12</f>
        <v>1.8557731200200054E-6</v>
      </c>
      <c r="BS78" s="24">
        <f t="shared" si="63"/>
        <v>6.3952140371908088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228.00959999999986</v>
      </c>
      <c r="CA78" s="14">
        <f t="shared" si="93"/>
        <v>55.852093054619779</v>
      </c>
      <c r="CB78" s="22">
        <f t="shared" si="64"/>
        <v>494.39244873679587</v>
      </c>
      <c r="CC78" s="60">
        <f t="shared" si="65"/>
        <v>787.72578207012918</v>
      </c>
      <c r="CD78" s="60">
        <f ca="1">AVERAGE(OFFSET($CC$3,0,0,'Données projet'!$E$12+1,1))-AVERAGE(OFFSET($H$3,0,0,'Données projet'!$E$12+1,1))</f>
        <v>428.8489304403459</v>
      </c>
      <c r="CE78" s="60">
        <f t="shared" si="94"/>
        <v>247.01165577562966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214.10256410256409</v>
      </c>
      <c r="CR78" s="13">
        <f>VLOOKUP(A78,'Données projet'!$A$139:$I$159,9,0)</f>
        <v>3.9743589743589722</v>
      </c>
      <c r="CS78" s="13">
        <f t="array" ref="CS78">INDEX(CR:CR,MIN(IF(ISNUMBER(CR78:CR274),ROW(CR78:CR274),"")))</f>
        <v>3.9743589743589722</v>
      </c>
      <c r="CT78" s="13">
        <f>IF('Données projet'!$A$140&gt;35,CT77+CS78-DB77,IF(A78&lt;'Données projet'!$A$140,$CQ$205^A78,IF(A78='Données projet'!$A$140,'Données projet'!$B$140,CT77+CS78-DB77)))</f>
        <v>214.10256410256403</v>
      </c>
      <c r="CU78" s="18">
        <f>CT78*VLOOKUP('Données projet'!$B$13,Paramètres!$A$1:$I$89,3,0)*VLOOKUP('Données projet'!$B$13,Paramètres!$A$1:$I$89,5,0)</f>
        <v>203.73999999999995</v>
      </c>
      <c r="CV78" s="14">
        <f t="shared" si="95"/>
        <v>50.565218142155274</v>
      </c>
      <c r="CW78" s="22">
        <f t="shared" si="67"/>
        <v>442.91492159758701</v>
      </c>
      <c r="CX78" s="60">
        <f t="shared" si="68"/>
        <v>736.24825493092033</v>
      </c>
      <c r="CY78" s="60">
        <f ca="1">AVERAGE(OFFSET($CX$3,0,0,'Données projet'!$E$13+1,1))-AVERAGE(OFFSET($H$3,0,0,'Données projet'!$E$13+1,1))</f>
        <v>354.63118425028898</v>
      </c>
      <c r="CZ78" s="60">
        <f t="shared" si="96"/>
        <v>244.7141066773861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26.923076923076923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243.73439999999988</v>
      </c>
      <c r="DQ78" s="14">
        <f t="shared" si="97"/>
        <v>59.242281392848767</v>
      </c>
      <c r="DR78" s="22">
        <f t="shared" si="70"/>
        <v>527.68438675921141</v>
      </c>
      <c r="DS78" s="60">
        <f t="shared" si="71"/>
        <v>821.01772009254478</v>
      </c>
      <c r="DT78" s="60">
        <f ca="1">AVERAGE(OFFSET($DS$3,0,0,'Données projet'!$E$14+1,1))-AVERAGE(OFFSET($H$3,0,0,'Données projet'!$E$14+1,1))</f>
        <v>455.50822833641354</v>
      </c>
      <c r="DU78" s="60">
        <f t="shared" si="98"/>
        <v>261.14722581688039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>
        <f>EJ78*VLOOKUP('Données projet'!$B$15,Paramètres!$A$1:$I$89,3,0)*VLOOKUP('Données projet'!$B$15,Paramètres!$A$1:$I$89,5,0)</f>
        <v>0</v>
      </c>
      <c r="EL78" s="14" t="e">
        <f t="shared" si="99"/>
        <v>#NUM!</v>
      </c>
      <c r="EM78" s="22" t="e">
        <f t="shared" si="73"/>
        <v>#NUM!</v>
      </c>
      <c r="EN78" s="60" t="e">
        <f t="shared" si="74"/>
        <v>#NUM!</v>
      </c>
      <c r="EO78" s="60">
        <f ca="1">AVERAGE(OFFSET($EN$3,0,0,'Données projet'!$E$15+1,1))-AVERAGE(OFFSET($H$3,0,0,'Données projet'!$E$15+1,1))</f>
        <v>207.03241199974599</v>
      </c>
      <c r="EP78" s="60">
        <f t="shared" si="100"/>
        <v>314.188568589113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5.5376509499392101</v>
      </c>
      <c r="EW78" s="23">
        <f>EXP(-LN(2)/25)*EW77+(1-EXP(-LN(2)/25))/(LN(2)/25)*Calculateur!ER78*Calculateur!ET78*VLOOKUP('Données projet'!$B$15,Paramètres!$A$1:$I$89,3,0)*0.475*44/12</f>
        <v>2.7997838501608929</v>
      </c>
      <c r="EX78" s="23">
        <f>EXP(-LN(2)/2)*EX77+(1-EXP(-LN(2)/2))/(LN(2)/2)*ER78*EU78*VLOOKUP('Données projet'!$B$15,Paramètres!$A$1:$I$89,3,0)*0.475*44/12</f>
        <v>4.9302164449138767E-7</v>
      </c>
      <c r="EY78" s="24">
        <f t="shared" si="75"/>
        <v>8.3374352931217484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 t="e">
        <f>N79*VLOOKUP('Données projet'!$B$9,Paramètres!$A$1:$I$89,3,0)*VLOOKUP('Données projet'!$B$9,Paramètres!$A$1:$I$89,5,0)</f>
        <v>#N/A</v>
      </c>
      <c r="P79" s="14" t="e">
        <f t="shared" si="87"/>
        <v>#N/A</v>
      </c>
      <c r="Q79" s="22" t="e">
        <f t="shared" si="54"/>
        <v>#N/A</v>
      </c>
      <c r="R79" s="60" t="e">
        <f t="shared" si="55"/>
        <v>#N/A</v>
      </c>
      <c r="S79" s="60" t="e">
        <f ca="1">AVERAGE(OFFSET($R$3,0,0,'Données projet'!$E$9+1,1))-AVERAGE(OFFSET($H$3,0,0,'Données projet'!$E$9+1,1))</f>
        <v>#N/A</v>
      </c>
      <c r="T79" s="60" t="e">
        <f t="shared" si="88"/>
        <v>#N/A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 t="e">
        <f>EXP(-LN(2)/35)*Z78+(1-EXP(-LN(2)/35))/(LN(2)/35)*V79*W79*VLOOKUP('Données projet'!$B$9,Paramètres!$A$1:$I$89,3,0)*0.475*44/12</f>
        <v>#N/A</v>
      </c>
      <c r="AA79" s="23" t="e">
        <f>EXP(-LN(2)/25)*AA78+(1-EXP(-LN(2)/25))/(LN(2)/25)*Calculateur!V79*Calculateur!X79*VLOOKUP('Données projet'!$B$9,Paramètres!$A$1:$I$89,3,0)*0.475*44/12</f>
        <v>#N/A</v>
      </c>
      <c r="AB79" s="23" t="e">
        <f>EXP(-LN(2)/2)*AB78+(1-EXP(-LN(2)/2))/(LN(2)/2)*V79*Y79*VLOOKUP('Données projet'!$B$9,Paramètres!$A$1:$I$89,3,0)*0.475*44/12</f>
        <v>#N/A</v>
      </c>
      <c r="AC79" s="24" t="e">
        <f t="shared" si="57"/>
        <v>#N/A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0">
        <f t="shared" si="59"/>
        <v>799.22462707153909</v>
      </c>
      <c r="AN79" s="60">
        <f ca="1">AVERAGE(OFFSET($AM$3,0,0,'Données projet'!$E$10+1,1))-AVERAGE(OFFSET($H$3,0,0,'Données projet'!$E$10+1,1))</f>
        <v>428.8489304403459</v>
      </c>
      <c r="AO79" s="60">
        <f t="shared" si="90"/>
        <v>247.01165577562966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-3.4106051316484809E-13</v>
      </c>
      <c r="BE79" s="14">
        <f>BD79*VLOOKUP('Données projet'!$B$11,Paramètres!$A$1:$I$89,3,0)*VLOOKUP('Données projet'!$B$11,Paramètres!$A$1:$I$89,5,0)</f>
        <v>-1.9065282685915009E-13</v>
      </c>
      <c r="BF79" s="14" t="e">
        <f t="shared" si="91"/>
        <v>#NUM!</v>
      </c>
      <c r="BG79" s="22" t="e">
        <f t="shared" si="61"/>
        <v>#NUM!</v>
      </c>
      <c r="BH79" s="60" t="e">
        <f t="shared" si="62"/>
        <v>#NUM!</v>
      </c>
      <c r="BI79" s="60">
        <f ca="1">AVERAGE(OFFSET($BH$3,0,0,'Données projet'!$E$11+1,1))-AVERAGE(OFFSET($H$3,0,0,'Données projet'!$E$11+1,1))</f>
        <v>374.79806286316051</v>
      </c>
      <c r="BJ79" s="60">
        <f t="shared" si="92"/>
        <v>350.01856672839466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6.2203347680072296</v>
      </c>
      <c r="BR79" s="23">
        <f>EXP(-LN(2)/2)*BR78+(1-EXP(-LN(2)/2))/(LN(2)/2)*BL79*BO79*VLOOKUP('Données projet'!$B$11,Paramètres!$A$1:$I$89,3,0)*0.475*44/12</f>
        <v>1.3122297575098628E-6</v>
      </c>
      <c r="BS79" s="24">
        <f t="shared" si="63"/>
        <v>6.2203360802369874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233.43839999999989</v>
      </c>
      <c r="CA79" s="14">
        <f t="shared" si="93"/>
        <v>57.025500710931624</v>
      </c>
      <c r="CB79" s="22">
        <f t="shared" si="64"/>
        <v>505.89129373820577</v>
      </c>
      <c r="CC79" s="60">
        <f t="shared" si="65"/>
        <v>799.22462707153909</v>
      </c>
      <c r="CD79" s="60">
        <f ca="1">AVERAGE(OFFSET($CC$3,0,0,'Données projet'!$E$12+1,1))-AVERAGE(OFFSET($H$3,0,0,'Données projet'!$E$12+1,1))</f>
        <v>428.8489304403459</v>
      </c>
      <c r="CE79" s="60">
        <f t="shared" si="94"/>
        <v>247.01165577562966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3.8461538461538511</v>
      </c>
      <c r="CT79" s="13">
        <f>IF('Données projet'!$A$140&gt;35,CT78+CS79-DB78,IF(A79&lt;'Données projet'!$A$140,$CQ$205^A79,IF(A79='Données projet'!$A$140,'Données projet'!$B$140,CT78+CS79-DB78)))</f>
        <v>191.02564102564094</v>
      </c>
      <c r="CU79" s="18">
        <f>CT79*VLOOKUP('Données projet'!$B$13,Paramètres!$A$1:$I$89,3,0)*VLOOKUP('Données projet'!$B$13,Paramètres!$A$1:$I$89,5,0)</f>
        <v>181.77999999999992</v>
      </c>
      <c r="CV79" s="14">
        <f t="shared" si="95"/>
        <v>45.717976285292259</v>
      </c>
      <c r="CW79" s="22">
        <f t="shared" si="67"/>
        <v>396.22564203021716</v>
      </c>
      <c r="CX79" s="60">
        <f t="shared" si="68"/>
        <v>689.55897536355042</v>
      </c>
      <c r="CY79" s="60">
        <f ca="1">AVERAGE(OFFSET($CX$3,0,0,'Données projet'!$E$13+1,1))-AVERAGE(OFFSET($H$3,0,0,'Données projet'!$E$13+1,1))</f>
        <v>354.63118425028898</v>
      </c>
      <c r="CZ79" s="60">
        <f t="shared" si="96"/>
        <v>244.7141066773861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249.53759999999988</v>
      </c>
      <c r="DQ79" s="14">
        <f t="shared" si="97"/>
        <v>60.486914185674671</v>
      </c>
      <c r="DR79" s="22">
        <f t="shared" si="70"/>
        <v>539.95936220671649</v>
      </c>
      <c r="DS79" s="60">
        <f t="shared" si="71"/>
        <v>833.29269554004986</v>
      </c>
      <c r="DT79" s="60">
        <f ca="1">AVERAGE(OFFSET($DS$3,0,0,'Données projet'!$E$14+1,1))-AVERAGE(OFFSET($H$3,0,0,'Données projet'!$E$14+1,1))</f>
        <v>455.50822833641354</v>
      </c>
      <c r="DU79" s="60">
        <f t="shared" si="98"/>
        <v>261.14722581688039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>
        <f>EJ79*VLOOKUP('Données projet'!$B$15,Paramètres!$A$1:$I$89,3,0)*VLOOKUP('Données projet'!$B$15,Paramètres!$A$1:$I$89,5,0)</f>
        <v>0</v>
      </c>
      <c r="EL79" s="14" t="e">
        <f t="shared" si="99"/>
        <v>#NUM!</v>
      </c>
      <c r="EM79" s="22" t="e">
        <f t="shared" si="73"/>
        <v>#NUM!</v>
      </c>
      <c r="EN79" s="60" t="e">
        <f t="shared" si="74"/>
        <v>#NUM!</v>
      </c>
      <c r="EO79" s="60">
        <f ca="1">AVERAGE(OFFSET($EN$3,0,0,'Données projet'!$E$15+1,1))-AVERAGE(OFFSET($H$3,0,0,'Données projet'!$E$15+1,1))</f>
        <v>207.03241199974599</v>
      </c>
      <c r="EP79" s="60">
        <f t="shared" si="100"/>
        <v>314.188568589113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5.4290609924444677</v>
      </c>
      <c r="EW79" s="23">
        <f>EXP(-LN(2)/25)*EW78+(1-EXP(-LN(2)/25))/(LN(2)/25)*Calculateur!ER79*Calculateur!ET79*VLOOKUP('Données projet'!$B$15,Paramètres!$A$1:$I$89,3,0)*0.475*44/12</f>
        <v>2.7232236135440098</v>
      </c>
      <c r="EX79" s="23">
        <f>EXP(-LN(2)/2)*EX78+(1-EXP(-LN(2)/2))/(LN(2)/2)*ER79*EU79*VLOOKUP('Données projet'!$B$15,Paramètres!$A$1:$I$89,3,0)*0.475*44/12</f>
        <v>3.4861894809160349E-7</v>
      </c>
      <c r="EY79" s="24">
        <f t="shared" si="75"/>
        <v>8.1522849546074259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 t="e">
        <f>N80*VLOOKUP('Données projet'!$B$9,Paramètres!$A$1:$I$89,3,0)*VLOOKUP('Données projet'!$B$9,Paramètres!$A$1:$I$89,5,0)</f>
        <v>#N/A</v>
      </c>
      <c r="P80" s="14" t="e">
        <f t="shared" si="87"/>
        <v>#N/A</v>
      </c>
      <c r="Q80" s="22" t="e">
        <f t="shared" si="54"/>
        <v>#N/A</v>
      </c>
      <c r="R80" s="60" t="e">
        <f t="shared" si="55"/>
        <v>#N/A</v>
      </c>
      <c r="S80" s="60" t="e">
        <f ca="1">AVERAGE(OFFSET($R$3,0,0,'Données projet'!$E$9+1,1))-AVERAGE(OFFSET($H$3,0,0,'Données projet'!$E$9+1,1))</f>
        <v>#N/A</v>
      </c>
      <c r="T80" s="60" t="e">
        <f t="shared" si="88"/>
        <v>#N/A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 t="e">
        <f>EXP(-LN(2)/35)*Z79+(1-EXP(-LN(2)/35))/(LN(2)/35)*V80*W80*VLOOKUP('Données projet'!$B$9,Paramètres!$A$1:$I$89,3,0)*0.475*44/12</f>
        <v>#N/A</v>
      </c>
      <c r="AA80" s="23" t="e">
        <f>EXP(-LN(2)/25)*AA79+(1-EXP(-LN(2)/25))/(LN(2)/25)*Calculateur!V80*Calculateur!X80*VLOOKUP('Données projet'!$B$9,Paramètres!$A$1:$I$89,3,0)*0.475*44/12</f>
        <v>#N/A</v>
      </c>
      <c r="AB80" s="23" t="e">
        <f>EXP(-LN(2)/2)*AB79+(1-EXP(-LN(2)/2))/(LN(2)/2)*V80*Y80*VLOOKUP('Données projet'!$B$9,Paramètres!$A$1:$I$89,3,0)*0.475*44/12</f>
        <v>#N/A</v>
      </c>
      <c r="AC80" s="24" t="e">
        <f t="shared" si="57"/>
        <v>#N/A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0">
        <f t="shared" si="59"/>
        <v>810.71794681982283</v>
      </c>
      <c r="AN80" s="60">
        <f ca="1">AVERAGE(OFFSET($AM$3,0,0,'Données projet'!$E$10+1,1))-AVERAGE(OFFSET($H$3,0,0,'Données projet'!$E$10+1,1))</f>
        <v>428.8489304403459</v>
      </c>
      <c r="AO80" s="60">
        <f t="shared" si="90"/>
        <v>247.01165577562966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-3.4106051316484809E-13</v>
      </c>
      <c r="BE80" s="14">
        <f>BD80*VLOOKUP('Données projet'!$B$11,Paramètres!$A$1:$I$89,3,0)*VLOOKUP('Données projet'!$B$11,Paramètres!$A$1:$I$89,5,0)</f>
        <v>-1.9065282685915009E-13</v>
      </c>
      <c r="BF80" s="14" t="e">
        <f t="shared" si="91"/>
        <v>#NUM!</v>
      </c>
      <c r="BG80" s="22" t="e">
        <f t="shared" si="61"/>
        <v>#NUM!</v>
      </c>
      <c r="BH80" s="60" t="e">
        <f t="shared" si="62"/>
        <v>#NUM!</v>
      </c>
      <c r="BI80" s="60">
        <f ca="1">AVERAGE(OFFSET($BH$3,0,0,'Données projet'!$E$11+1,1))-AVERAGE(OFFSET($H$3,0,0,'Données projet'!$E$11+1,1))</f>
        <v>374.79806286316051</v>
      </c>
      <c r="BJ80" s="60">
        <f t="shared" si="92"/>
        <v>350.01856672839466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6.0502393866628834</v>
      </c>
      <c r="BR80" s="23">
        <f>EXP(-LN(2)/2)*BR79+(1-EXP(-LN(2)/2))/(LN(2)/2)*BL80*BO80*VLOOKUP('Données projet'!$B$11,Paramètres!$A$1:$I$89,3,0)*0.475*44/12</f>
        <v>9.2788656001000292E-7</v>
      </c>
      <c r="BS80" s="24">
        <f t="shared" si="63"/>
        <v>6.050240314549443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238.86719999999988</v>
      </c>
      <c r="CA80" s="14">
        <f t="shared" si="93"/>
        <v>58.195735973104156</v>
      </c>
      <c r="CB80" s="22">
        <f t="shared" si="64"/>
        <v>517.38461348648957</v>
      </c>
      <c r="CC80" s="60">
        <f t="shared" si="65"/>
        <v>810.71794681982283</v>
      </c>
      <c r="CD80" s="60">
        <f ca="1">AVERAGE(OFFSET($CC$3,0,0,'Données projet'!$E$12+1,1))-AVERAGE(OFFSET($H$3,0,0,'Données projet'!$E$12+1,1))</f>
        <v>428.8489304403459</v>
      </c>
      <c r="CE80" s="60">
        <f t="shared" si="94"/>
        <v>247.01165577562966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3.8461538461538511</v>
      </c>
      <c r="CT80" s="13">
        <f>IF('Données projet'!$A$140&gt;35,CT79+CS80-DB79,IF(A80&lt;'Données projet'!$A$140,$CQ$205^A80,IF(A80='Données projet'!$A$140,'Données projet'!$B$140,CT79+CS80-DB79)))</f>
        <v>194.87179487179478</v>
      </c>
      <c r="CU80" s="18">
        <f>CT80*VLOOKUP('Données projet'!$B$13,Paramètres!$A$1:$I$89,3,0)*VLOOKUP('Données projet'!$B$13,Paramètres!$A$1:$I$89,5,0)</f>
        <v>185.43999999999991</v>
      </c>
      <c r="CV80" s="14">
        <f t="shared" si="95"/>
        <v>46.530380670487169</v>
      </c>
      <c r="CW80" s="22">
        <f t="shared" si="67"/>
        <v>404.01507966776506</v>
      </c>
      <c r="CX80" s="60">
        <f t="shared" si="68"/>
        <v>697.34841300109838</v>
      </c>
      <c r="CY80" s="60">
        <f ca="1">AVERAGE(OFFSET($CX$3,0,0,'Données projet'!$E$13+1,1))-AVERAGE(OFFSET($H$3,0,0,'Données projet'!$E$13+1,1))</f>
        <v>354.63118425028898</v>
      </c>
      <c r="CZ80" s="60">
        <f t="shared" si="96"/>
        <v>244.7141066773861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255.34079999999989</v>
      </c>
      <c r="DQ80" s="14">
        <f t="shared" si="97"/>
        <v>61.728182021951895</v>
      </c>
      <c r="DR80" s="22">
        <f t="shared" si="70"/>
        <v>552.22847702156594</v>
      </c>
      <c r="DS80" s="60">
        <f t="shared" si="71"/>
        <v>845.56181035489931</v>
      </c>
      <c r="DT80" s="60">
        <f ca="1">AVERAGE(OFFSET($DS$3,0,0,'Données projet'!$E$14+1,1))-AVERAGE(OFFSET($H$3,0,0,'Données projet'!$E$14+1,1))</f>
        <v>455.50822833641354</v>
      </c>
      <c r="DU80" s="60">
        <f t="shared" si="98"/>
        <v>261.14722581688039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>
        <f>EJ80*VLOOKUP('Données projet'!$B$15,Paramètres!$A$1:$I$89,3,0)*VLOOKUP('Données projet'!$B$15,Paramètres!$A$1:$I$89,5,0)</f>
        <v>0</v>
      </c>
      <c r="EL80" s="14" t="e">
        <f t="shared" si="99"/>
        <v>#NUM!</v>
      </c>
      <c r="EM80" s="22" t="e">
        <f t="shared" si="73"/>
        <v>#NUM!</v>
      </c>
      <c r="EN80" s="60" t="e">
        <f t="shared" si="74"/>
        <v>#NUM!</v>
      </c>
      <c r="EO80" s="60">
        <f ca="1">AVERAGE(OFFSET($EN$3,0,0,'Données projet'!$E$15+1,1))-AVERAGE(OFFSET($H$3,0,0,'Données projet'!$E$15+1,1))</f>
        <v>207.03241199974599</v>
      </c>
      <c r="EP80" s="60">
        <f t="shared" si="100"/>
        <v>314.188568589113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5.3226004177828639</v>
      </c>
      <c r="EW80" s="23">
        <f>EXP(-LN(2)/25)*EW79+(1-EXP(-LN(2)/25))/(LN(2)/25)*Calculateur!ER80*Calculateur!ET80*VLOOKUP('Données projet'!$B$15,Paramètres!$A$1:$I$89,3,0)*0.475*44/12</f>
        <v>2.6487569206235428</v>
      </c>
      <c r="EX80" s="23">
        <f>EXP(-LN(2)/2)*EX79+(1-EXP(-LN(2)/2))/(LN(2)/2)*ER80*EU80*VLOOKUP('Données projet'!$B$15,Paramètres!$A$1:$I$89,3,0)*0.475*44/12</f>
        <v>2.4651082224569384E-7</v>
      </c>
      <c r="EY80" s="24">
        <f t="shared" si="75"/>
        <v>7.9713575849172287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 t="e">
        <f>N81*VLOOKUP('Données projet'!$B$9,Paramètres!$A$1:$I$89,3,0)*VLOOKUP('Données projet'!$B$9,Paramètres!$A$1:$I$89,5,0)</f>
        <v>#N/A</v>
      </c>
      <c r="P81" s="14" t="e">
        <f t="shared" si="87"/>
        <v>#N/A</v>
      </c>
      <c r="Q81" s="22" t="e">
        <f t="shared" si="54"/>
        <v>#N/A</v>
      </c>
      <c r="R81" s="60" t="e">
        <f t="shared" si="55"/>
        <v>#N/A</v>
      </c>
      <c r="S81" s="60" t="e">
        <f ca="1">AVERAGE(OFFSET($R$3,0,0,'Données projet'!$E$9+1,1))-AVERAGE(OFFSET($H$3,0,0,'Données projet'!$E$9+1,1))</f>
        <v>#N/A</v>
      </c>
      <c r="T81" s="60" t="e">
        <f t="shared" si="88"/>
        <v>#N/A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 t="e">
        <f>EXP(-LN(2)/35)*Z80+(1-EXP(-LN(2)/35))/(LN(2)/35)*V81*W81*VLOOKUP('Données projet'!$B$9,Paramètres!$A$1:$I$89,3,0)*0.475*44/12</f>
        <v>#N/A</v>
      </c>
      <c r="AA81" s="23" t="e">
        <f>EXP(-LN(2)/25)*AA80+(1-EXP(-LN(2)/25))/(LN(2)/25)*Calculateur!V81*Calculateur!X81*VLOOKUP('Données projet'!$B$9,Paramètres!$A$1:$I$89,3,0)*0.475*44/12</f>
        <v>#N/A</v>
      </c>
      <c r="AB81" s="23" t="e">
        <f>EXP(-LN(2)/2)*AB80+(1-EXP(-LN(2)/2))/(LN(2)/2)*V81*Y81*VLOOKUP('Données projet'!$B$9,Paramètres!$A$1:$I$89,3,0)*0.475*44/12</f>
        <v>#N/A</v>
      </c>
      <c r="AC81" s="24" t="e">
        <f t="shared" si="57"/>
        <v>#N/A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0">
        <f t="shared" si="59"/>
        <v>822.20588134481159</v>
      </c>
      <c r="AN81" s="60">
        <f ca="1">AVERAGE(OFFSET($AM$3,0,0,'Données projet'!$E$10+1,1))-AVERAGE(OFFSET($H$3,0,0,'Données projet'!$E$10+1,1))</f>
        <v>428.8489304403459</v>
      </c>
      <c r="AO81" s="60">
        <f t="shared" si="90"/>
        <v>247.01165577562966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-3.4106051316484809E-13</v>
      </c>
      <c r="BE81" s="14">
        <f>BD81*VLOOKUP('Données projet'!$B$11,Paramètres!$A$1:$I$89,3,0)*VLOOKUP('Données projet'!$B$11,Paramètres!$A$1:$I$89,5,0)</f>
        <v>-1.9065282685915009E-13</v>
      </c>
      <c r="BF81" s="14" t="e">
        <f t="shared" si="91"/>
        <v>#NUM!</v>
      </c>
      <c r="BG81" s="22" t="e">
        <f t="shared" si="61"/>
        <v>#NUM!</v>
      </c>
      <c r="BH81" s="60" t="e">
        <f t="shared" si="62"/>
        <v>#NUM!</v>
      </c>
      <c r="BI81" s="60">
        <f ca="1">AVERAGE(OFFSET($BH$3,0,0,'Données projet'!$E$11+1,1))-AVERAGE(OFFSET($H$3,0,0,'Données projet'!$E$11+1,1))</f>
        <v>374.79806286316051</v>
      </c>
      <c r="BJ81" s="60">
        <f t="shared" si="92"/>
        <v>350.01856672839466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5.8847952724663255</v>
      </c>
      <c r="BR81" s="23">
        <f>EXP(-LN(2)/2)*BR80+(1-EXP(-LN(2)/2))/(LN(2)/2)*BL81*BO81*VLOOKUP('Données projet'!$B$11,Paramètres!$A$1:$I$89,3,0)*0.475*44/12</f>
        <v>6.5611487875493148E-7</v>
      </c>
      <c r="BS81" s="24">
        <f t="shared" si="63"/>
        <v>5.8847959285812044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244.29599999999991</v>
      </c>
      <c r="CA81" s="14">
        <f t="shared" si="93"/>
        <v>59.362879241040318</v>
      </c>
      <c r="CB81" s="22">
        <f t="shared" si="64"/>
        <v>528.87254801147833</v>
      </c>
      <c r="CC81" s="60">
        <f t="shared" si="65"/>
        <v>822.20588134481159</v>
      </c>
      <c r="CD81" s="60">
        <f ca="1">AVERAGE(OFFSET($CC$3,0,0,'Données projet'!$E$12+1,1))-AVERAGE(OFFSET($H$3,0,0,'Données projet'!$E$12+1,1))</f>
        <v>428.8489304403459</v>
      </c>
      <c r="CE81" s="60">
        <f t="shared" si="94"/>
        <v>247.01165577562966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3.8461538461538511</v>
      </c>
      <c r="CT81" s="13">
        <f>IF('Données projet'!$A$140&gt;35,CT80+CS81-DB80,IF(A81&lt;'Données projet'!$A$140,$CQ$205^A81,IF(A81='Données projet'!$A$140,'Données projet'!$B$140,CT80+CS81-DB80)))</f>
        <v>198.71794871794862</v>
      </c>
      <c r="CU81" s="18">
        <f>CT81*VLOOKUP('Données projet'!$B$13,Paramètres!$A$1:$I$89,3,0)*VLOOKUP('Données projet'!$B$13,Paramètres!$A$1:$I$89,5,0)</f>
        <v>189.09999999999991</v>
      </c>
      <c r="CV81" s="14">
        <f t="shared" si="95"/>
        <v>47.340920677804583</v>
      </c>
      <c r="CW81" s="22">
        <f t="shared" si="67"/>
        <v>411.80127018050945</v>
      </c>
      <c r="CX81" s="60">
        <f t="shared" si="68"/>
        <v>705.13460351384276</v>
      </c>
      <c r="CY81" s="60">
        <f ca="1">AVERAGE(OFFSET($CX$3,0,0,'Données projet'!$E$13+1,1))-AVERAGE(OFFSET($H$3,0,0,'Données projet'!$E$13+1,1))</f>
        <v>354.63118425028898</v>
      </c>
      <c r="CZ81" s="60">
        <f t="shared" si="96"/>
        <v>244.7141066773861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261.14399999999989</v>
      </c>
      <c r="DQ81" s="14">
        <f t="shared" si="97"/>
        <v>62.966170181808813</v>
      </c>
      <c r="DR81" s="22">
        <f t="shared" si="70"/>
        <v>564.49187973331675</v>
      </c>
      <c r="DS81" s="60">
        <f t="shared" si="71"/>
        <v>857.82521306665012</v>
      </c>
      <c r="DT81" s="60">
        <f ca="1">AVERAGE(OFFSET($DS$3,0,0,'Données projet'!$E$14+1,1))-AVERAGE(OFFSET($H$3,0,0,'Données projet'!$E$14+1,1))</f>
        <v>455.50822833641354</v>
      </c>
      <c r="DU81" s="60">
        <f t="shared" si="98"/>
        <v>261.14722581688039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>
        <f>EJ81*VLOOKUP('Données projet'!$B$15,Paramètres!$A$1:$I$89,3,0)*VLOOKUP('Données projet'!$B$15,Paramètres!$A$1:$I$89,5,0)</f>
        <v>0</v>
      </c>
      <c r="EL81" s="14" t="e">
        <f t="shared" si="99"/>
        <v>#NUM!</v>
      </c>
      <c r="EM81" s="22" t="e">
        <f t="shared" si="73"/>
        <v>#NUM!</v>
      </c>
      <c r="EN81" s="60" t="e">
        <f t="shared" si="74"/>
        <v>#NUM!</v>
      </c>
      <c r="EO81" s="60">
        <f ca="1">AVERAGE(OFFSET($EN$3,0,0,'Données projet'!$E$15+1,1))-AVERAGE(OFFSET($H$3,0,0,'Données projet'!$E$15+1,1))</f>
        <v>207.03241199974599</v>
      </c>
      <c r="EP81" s="60">
        <f t="shared" si="100"/>
        <v>314.188568589113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5.2182274700558349</v>
      </c>
      <c r="EW81" s="23">
        <f>EXP(-LN(2)/25)*EW80+(1-EXP(-LN(2)/25))/(LN(2)/25)*Calculateur!ER81*Calculateur!ET81*VLOOKUP('Données projet'!$B$15,Paramètres!$A$1:$I$89,3,0)*0.475*44/12</f>
        <v>2.5763265233370194</v>
      </c>
      <c r="EX81" s="23">
        <f>EXP(-LN(2)/2)*EX80+(1-EXP(-LN(2)/2))/(LN(2)/2)*ER81*EU81*VLOOKUP('Données projet'!$B$15,Paramètres!$A$1:$I$89,3,0)*0.475*44/12</f>
        <v>1.7430947404580175E-7</v>
      </c>
      <c r="EY81" s="24">
        <f t="shared" si="75"/>
        <v>7.7945541677023291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 t="e">
        <f>N82*VLOOKUP('Données projet'!$B$9,Paramètres!$A$1:$I$89,3,0)*VLOOKUP('Données projet'!$B$9,Paramètres!$A$1:$I$89,5,0)</f>
        <v>#N/A</v>
      </c>
      <c r="P82" s="14" t="e">
        <f t="shared" si="87"/>
        <v>#N/A</v>
      </c>
      <c r="Q82" s="22" t="e">
        <f t="shared" si="54"/>
        <v>#N/A</v>
      </c>
      <c r="R82" s="60" t="e">
        <f t="shared" si="55"/>
        <v>#N/A</v>
      </c>
      <c r="S82" s="60" t="e">
        <f ca="1">AVERAGE(OFFSET($R$3,0,0,'Données projet'!$E$9+1,1))-AVERAGE(OFFSET($H$3,0,0,'Données projet'!$E$9+1,1))</f>
        <v>#N/A</v>
      </c>
      <c r="T82" s="60" t="e">
        <f t="shared" si="88"/>
        <v>#N/A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 t="e">
        <f>EXP(-LN(2)/35)*Z81+(1-EXP(-LN(2)/35))/(LN(2)/35)*V82*W82*VLOOKUP('Données projet'!$B$9,Paramètres!$A$1:$I$89,3,0)*0.475*44/12</f>
        <v>#N/A</v>
      </c>
      <c r="AA82" s="23" t="e">
        <f>EXP(-LN(2)/25)*AA81+(1-EXP(-LN(2)/25))/(LN(2)/25)*Calculateur!V82*Calculateur!X82*VLOOKUP('Données projet'!$B$9,Paramètres!$A$1:$I$89,3,0)*0.475*44/12</f>
        <v>#N/A</v>
      </c>
      <c r="AB82" s="23" t="e">
        <f>EXP(-LN(2)/2)*AB81+(1-EXP(-LN(2)/2))/(LN(2)/2)*V82*Y82*VLOOKUP('Données projet'!$B$9,Paramètres!$A$1:$I$89,3,0)*0.475*44/12</f>
        <v>#N/A</v>
      </c>
      <c r="AC82" s="24" t="e">
        <f t="shared" si="57"/>
        <v>#N/A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0">
        <f t="shared" si="59"/>
        <v>833.68856409746058</v>
      </c>
      <c r="AN82" s="60">
        <f ca="1">AVERAGE(OFFSET($AM$3,0,0,'Données projet'!$E$10+1,1))-AVERAGE(OFFSET($H$3,0,0,'Données projet'!$E$10+1,1))</f>
        <v>428.8489304403459</v>
      </c>
      <c r="AO82" s="60">
        <f t="shared" si="90"/>
        <v>247.01165577562966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-3.4106051316484809E-13</v>
      </c>
      <c r="BE82" s="14">
        <f>BD82*VLOOKUP('Données projet'!$B$11,Paramètres!$A$1:$I$89,3,0)*VLOOKUP('Données projet'!$B$11,Paramètres!$A$1:$I$89,5,0)</f>
        <v>-1.9065282685915009E-13</v>
      </c>
      <c r="BF82" s="14" t="e">
        <f t="shared" si="91"/>
        <v>#NUM!</v>
      </c>
      <c r="BG82" s="22" t="e">
        <f t="shared" si="61"/>
        <v>#NUM!</v>
      </c>
      <c r="BH82" s="60" t="e">
        <f t="shared" si="62"/>
        <v>#NUM!</v>
      </c>
      <c r="BI82" s="60">
        <f ca="1">AVERAGE(OFFSET($BH$3,0,0,'Données projet'!$E$11+1,1))-AVERAGE(OFFSET($H$3,0,0,'Données projet'!$E$11+1,1))</f>
        <v>374.79806286316051</v>
      </c>
      <c r="BJ82" s="60">
        <f t="shared" si="92"/>
        <v>350.01856672839466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5.7238752362728</v>
      </c>
      <c r="BR82" s="23">
        <f>EXP(-LN(2)/2)*BR81+(1-EXP(-LN(2)/2))/(LN(2)/2)*BL82*BO82*VLOOKUP('Données projet'!$B$11,Paramètres!$A$1:$I$89,3,0)*0.475*44/12</f>
        <v>4.6394328000500152E-7</v>
      </c>
      <c r="BS82" s="24">
        <f t="shared" si="63"/>
        <v>5.7238757002160803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249.7247999999999</v>
      </c>
      <c r="CA82" s="14">
        <f t="shared" si="93"/>
        <v>60.527007137298092</v>
      </c>
      <c r="CB82" s="22">
        <f t="shared" si="64"/>
        <v>540.35523076412733</v>
      </c>
      <c r="CC82" s="60">
        <f t="shared" si="65"/>
        <v>833.68856409746058</v>
      </c>
      <c r="CD82" s="60">
        <f ca="1">AVERAGE(OFFSET($CC$3,0,0,'Données projet'!$E$12+1,1))-AVERAGE(OFFSET($H$3,0,0,'Données projet'!$E$12+1,1))</f>
        <v>428.8489304403459</v>
      </c>
      <c r="CE82" s="60">
        <f t="shared" si="94"/>
        <v>247.01165577562966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3.8461538461538511</v>
      </c>
      <c r="CT82" s="13">
        <f>IF('Données projet'!$A$140&gt;35,CT81+CS82-DB81,IF(A82&lt;'Données projet'!$A$140,$CQ$205^A82,IF(A82='Données projet'!$A$140,'Données projet'!$B$140,CT81+CS82-DB81)))</f>
        <v>202.56410256410246</v>
      </c>
      <c r="CU82" s="18">
        <f>CT82*VLOOKUP('Données projet'!$B$13,Paramètres!$A$1:$I$89,3,0)*VLOOKUP('Données projet'!$B$13,Paramètres!$A$1:$I$89,5,0)</f>
        <v>192.75999999999991</v>
      </c>
      <c r="CV82" s="14">
        <f t="shared" si="95"/>
        <v>48.149636551965187</v>
      </c>
      <c r="CW82" s="22">
        <f t="shared" si="67"/>
        <v>419.58428366133921</v>
      </c>
      <c r="CX82" s="60">
        <f t="shared" si="68"/>
        <v>712.91761699467247</v>
      </c>
      <c r="CY82" s="60">
        <f ca="1">AVERAGE(OFFSET($CX$3,0,0,'Données projet'!$E$13+1,1))-AVERAGE(OFFSET($H$3,0,0,'Données projet'!$E$13+1,1))</f>
        <v>354.63118425028898</v>
      </c>
      <c r="CZ82" s="60">
        <f t="shared" si="96"/>
        <v>244.7141066773861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266.9471999999999</v>
      </c>
      <c r="DQ82" s="14">
        <f t="shared" si="97"/>
        <v>64.200959938746379</v>
      </c>
      <c r="DR82" s="22">
        <f t="shared" si="70"/>
        <v>576.74971189331643</v>
      </c>
      <c r="DS82" s="60">
        <f t="shared" si="71"/>
        <v>870.0830452266498</v>
      </c>
      <c r="DT82" s="60">
        <f ca="1">AVERAGE(OFFSET($DS$3,0,0,'Données projet'!$E$14+1,1))-AVERAGE(OFFSET($H$3,0,0,'Données projet'!$E$14+1,1))</f>
        <v>455.50822833641354</v>
      </c>
      <c r="DU82" s="60">
        <f t="shared" si="98"/>
        <v>261.14722581688039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>
        <f>EJ82*VLOOKUP('Données projet'!$B$15,Paramètres!$A$1:$I$89,3,0)*VLOOKUP('Données projet'!$B$15,Paramètres!$A$1:$I$89,5,0)</f>
        <v>0</v>
      </c>
      <c r="EL82" s="14" t="e">
        <f t="shared" si="99"/>
        <v>#NUM!</v>
      </c>
      <c r="EM82" s="22" t="e">
        <f t="shared" si="73"/>
        <v>#NUM!</v>
      </c>
      <c r="EN82" s="60" t="e">
        <f t="shared" si="74"/>
        <v>#NUM!</v>
      </c>
      <c r="EO82" s="60">
        <f ca="1">AVERAGE(OFFSET($EN$3,0,0,'Données projet'!$E$15+1,1))-AVERAGE(OFFSET($H$3,0,0,'Données projet'!$E$15+1,1))</f>
        <v>207.03241199974599</v>
      </c>
      <c r="EP82" s="60">
        <f t="shared" si="100"/>
        <v>314.188568589113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5.1159012121725205</v>
      </c>
      <c r="EW82" s="23">
        <f>EXP(-LN(2)/25)*EW81+(1-EXP(-LN(2)/25))/(LN(2)/25)*Calculateur!ER82*Calculateur!ET82*VLOOKUP('Données projet'!$B$15,Paramètres!$A$1:$I$89,3,0)*0.475*44/12</f>
        <v>2.505876739073245</v>
      </c>
      <c r="EX82" s="23">
        <f>EXP(-LN(2)/2)*EX81+(1-EXP(-LN(2)/2))/(LN(2)/2)*ER82*EU82*VLOOKUP('Données projet'!$B$15,Paramètres!$A$1:$I$89,3,0)*0.475*44/12</f>
        <v>1.2325541112284692E-7</v>
      </c>
      <c r="EY82" s="24">
        <f t="shared" si="75"/>
        <v>7.6217780745011767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 t="e">
        <f>N83*VLOOKUP('Données projet'!$B$9,Paramètres!$A$1:$I$89,3,0)*VLOOKUP('Données projet'!$B$9,Paramètres!$A$1:$I$89,5,0)</f>
        <v>#N/A</v>
      </c>
      <c r="P83" s="14" t="e">
        <f t="shared" si="87"/>
        <v>#N/A</v>
      </c>
      <c r="Q83" s="22" t="e">
        <f t="shared" si="54"/>
        <v>#N/A</v>
      </c>
      <c r="R83" s="60" t="e">
        <f t="shared" si="55"/>
        <v>#N/A</v>
      </c>
      <c r="S83" s="60" t="e">
        <f ca="1">AVERAGE(OFFSET($R$3,0,0,'Données projet'!$E$9+1,1))-AVERAGE(OFFSET($H$3,0,0,'Données projet'!$E$9+1,1))</f>
        <v>#N/A</v>
      </c>
      <c r="T83" s="60" t="e">
        <f t="shared" si="88"/>
        <v>#N/A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 t="e">
        <f>EXP(-LN(2)/35)*Z82+(1-EXP(-LN(2)/35))/(LN(2)/35)*V83*W83*VLOOKUP('Données projet'!$B$9,Paramètres!$A$1:$I$89,3,0)*0.475*44/12</f>
        <v>#N/A</v>
      </c>
      <c r="AA83" s="23" t="e">
        <f>EXP(-LN(2)/25)*AA82+(1-EXP(-LN(2)/25))/(LN(2)/25)*Calculateur!V83*Calculateur!X83*VLOOKUP('Données projet'!$B$9,Paramètres!$A$1:$I$89,3,0)*0.475*44/12</f>
        <v>#N/A</v>
      </c>
      <c r="AB83" s="23" t="e">
        <f>EXP(-LN(2)/2)*AB82+(1-EXP(-LN(2)/2))/(LN(2)/2)*V83*Y83*VLOOKUP('Données projet'!$B$9,Paramètres!$A$1:$I$89,3,0)*0.475*44/12</f>
        <v>#N/A</v>
      </c>
      <c r="AC83" s="24" t="e">
        <f t="shared" si="57"/>
        <v>#N/A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0">
        <f t="shared" si="59"/>
        <v>845.16612239513029</v>
      </c>
      <c r="AN83" s="60">
        <f ca="1">AVERAGE(OFFSET($AM$3,0,0,'Données projet'!$E$10+1,1))-AVERAGE(OFFSET($H$3,0,0,'Données projet'!$E$10+1,1))</f>
        <v>428.8489304403459</v>
      </c>
      <c r="AO83" s="60">
        <f t="shared" si="90"/>
        <v>247.01165577562966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-3.4106051316484809E-13</v>
      </c>
      <c r="BE83" s="14">
        <f>BD83*VLOOKUP('Données projet'!$B$11,Paramètres!$A$1:$I$89,3,0)*VLOOKUP('Données projet'!$B$11,Paramètres!$A$1:$I$89,5,0)</f>
        <v>-1.9065282685915009E-13</v>
      </c>
      <c r="BF83" s="14" t="e">
        <f t="shared" si="91"/>
        <v>#NUM!</v>
      </c>
      <c r="BG83" s="22" t="e">
        <f t="shared" si="61"/>
        <v>#NUM!</v>
      </c>
      <c r="BH83" s="60" t="e">
        <f t="shared" si="62"/>
        <v>#NUM!</v>
      </c>
      <c r="BI83" s="60">
        <f ca="1">AVERAGE(OFFSET($BH$3,0,0,'Données projet'!$E$11+1,1))-AVERAGE(OFFSET($H$3,0,0,'Données projet'!$E$11+1,1))</f>
        <v>374.79806286316051</v>
      </c>
      <c r="BJ83" s="60">
        <f t="shared" si="92"/>
        <v>350.01856672839466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5.5673555669314041</v>
      </c>
      <c r="BR83" s="23">
        <f>EXP(-LN(2)/2)*BR82+(1-EXP(-LN(2)/2))/(LN(2)/2)*BL83*BO83*VLOOKUP('Données projet'!$B$11,Paramètres!$A$1:$I$89,3,0)*0.475*44/12</f>
        <v>3.280574393774658E-7</v>
      </c>
      <c r="BS83" s="24">
        <f t="shared" si="63"/>
        <v>5.5673558949888431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255.15359999999987</v>
      </c>
      <c r="CA83" s="14">
        <f t="shared" si="93"/>
        <v>61.688192762754376</v>
      </c>
      <c r="CB83" s="22">
        <f t="shared" si="64"/>
        <v>551.83278906179692</v>
      </c>
      <c r="CC83" s="60">
        <f t="shared" si="65"/>
        <v>845.16612239513029</v>
      </c>
      <c r="CD83" s="60">
        <f ca="1">AVERAGE(OFFSET($CC$3,0,0,'Données projet'!$E$12+1,1))-AVERAGE(OFFSET($H$3,0,0,'Données projet'!$E$12+1,1))</f>
        <v>428.8489304403459</v>
      </c>
      <c r="CE83" s="60">
        <f t="shared" si="94"/>
        <v>247.01165577562966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206.41025641025641</v>
      </c>
      <c r="CR83" s="13">
        <f>VLOOKUP(A83,'Données projet'!$A$139:$I$159,9,0)</f>
        <v>3.8461538461538511</v>
      </c>
      <c r="CS83" s="13">
        <f t="array" ref="CS83">INDEX(CR:CR,MIN(IF(ISNUMBER(CR83:CR279),ROW(CR83:CR279),"")))</f>
        <v>3.8461538461538511</v>
      </c>
      <c r="CT83" s="13">
        <f>IF('Données projet'!$A$140&gt;35,CT82+CS83-DB82,IF(A83&lt;'Données projet'!$A$140,$CQ$205^A83,IF(A83='Données projet'!$A$140,'Données projet'!$B$140,CT82+CS83-DB82)))</f>
        <v>206.4102564102563</v>
      </c>
      <c r="CU83" s="18">
        <f>CT83*VLOOKUP('Données projet'!$B$13,Paramètres!$A$1:$I$89,3,0)*VLOOKUP('Données projet'!$B$13,Paramètres!$A$1:$I$89,5,0)</f>
        <v>196.4199999999999</v>
      </c>
      <c r="CV83" s="14">
        <f t="shared" si="95"/>
        <v>48.956566921958114</v>
      </c>
      <c r="CW83" s="22">
        <f t="shared" si="67"/>
        <v>427.3641873890769</v>
      </c>
      <c r="CX83" s="60">
        <f t="shared" si="68"/>
        <v>720.69752072241022</v>
      </c>
      <c r="CY83" s="60">
        <f ca="1">AVERAGE(OFFSET($CX$3,0,0,'Données projet'!$E$13+1,1))-AVERAGE(OFFSET($H$3,0,0,'Données projet'!$E$13+1,1))</f>
        <v>354.63118425028898</v>
      </c>
      <c r="CZ83" s="60">
        <f t="shared" si="96"/>
        <v>244.7141066773861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272.7503999999999</v>
      </c>
      <c r="DQ83" s="14">
        <f t="shared" si="97"/>
        <v>65.432628830820633</v>
      </c>
      <c r="DR83" s="22">
        <f t="shared" si="70"/>
        <v>589.00210854701243</v>
      </c>
      <c r="DS83" s="60">
        <f t="shared" si="71"/>
        <v>882.3354418803458</v>
      </c>
      <c r="DT83" s="60">
        <f ca="1">AVERAGE(OFFSET($DS$3,0,0,'Données projet'!$E$14+1,1))-AVERAGE(OFFSET($H$3,0,0,'Données projet'!$E$14+1,1))</f>
        <v>455.50822833641354</v>
      </c>
      <c r="DU83" s="60">
        <f t="shared" si="98"/>
        <v>261.14722581688039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>
        <f>EJ83*VLOOKUP('Données projet'!$B$15,Paramètres!$A$1:$I$89,3,0)*VLOOKUP('Données projet'!$B$15,Paramètres!$A$1:$I$89,5,0)</f>
        <v>0</v>
      </c>
      <c r="EL83" s="14" t="e">
        <f t="shared" si="99"/>
        <v>#NUM!</v>
      </c>
      <c r="EM83" s="22" t="e">
        <f t="shared" si="73"/>
        <v>#NUM!</v>
      </c>
      <c r="EN83" s="60" t="e">
        <f t="shared" si="74"/>
        <v>#NUM!</v>
      </c>
      <c r="EO83" s="60">
        <f ca="1">AVERAGE(OFFSET($EN$3,0,0,'Données projet'!$E$15+1,1))-AVERAGE(OFFSET($H$3,0,0,'Données projet'!$E$15+1,1))</f>
        <v>207.03241199974599</v>
      </c>
      <c r="EP83" s="60">
        <f t="shared" si="100"/>
        <v>314.188568589113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5.015581509793444</v>
      </c>
      <c r="EW83" s="23">
        <f>EXP(-LN(2)/25)*EW82+(1-EXP(-LN(2)/25))/(LN(2)/25)*Calculateur!ER83*Calculateur!ET83*VLOOKUP('Données projet'!$B$15,Paramètres!$A$1:$I$89,3,0)*0.475*44/12</f>
        <v>2.4373534078649568</v>
      </c>
      <c r="EX83" s="23">
        <f>EXP(-LN(2)/2)*EX82+(1-EXP(-LN(2)/2))/(LN(2)/2)*ER83*EU83*VLOOKUP('Données projet'!$B$15,Paramètres!$A$1:$I$89,3,0)*0.475*44/12</f>
        <v>8.7154737022900873E-8</v>
      </c>
      <c r="EY83" s="24">
        <f t="shared" si="75"/>
        <v>7.4529350048131375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 t="e">
        <f>N84*VLOOKUP('Données projet'!$B$9,Paramètres!$A$1:$I$89,3,0)*VLOOKUP('Données projet'!$B$9,Paramètres!$A$1:$I$89,5,0)</f>
        <v>#N/A</v>
      </c>
      <c r="P84" s="14" t="e">
        <f t="shared" si="87"/>
        <v>#N/A</v>
      </c>
      <c r="Q84" s="22" t="e">
        <f t="shared" si="54"/>
        <v>#N/A</v>
      </c>
      <c r="R84" s="60" t="e">
        <f t="shared" si="55"/>
        <v>#N/A</v>
      </c>
      <c r="S84" s="60" t="e">
        <f ca="1">AVERAGE(OFFSET($R$3,0,0,'Données projet'!$E$9+1,1))-AVERAGE(OFFSET($H$3,0,0,'Données projet'!$E$9+1,1))</f>
        <v>#N/A</v>
      </c>
      <c r="T84" s="60" t="e">
        <f t="shared" si="88"/>
        <v>#N/A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 t="e">
        <f>EXP(-LN(2)/35)*Z83+(1-EXP(-LN(2)/35))/(LN(2)/35)*V84*W84*VLOOKUP('Données projet'!$B$9,Paramètres!$A$1:$I$89,3,0)*0.475*44/12</f>
        <v>#N/A</v>
      </c>
      <c r="AA84" s="23" t="e">
        <f>EXP(-LN(2)/25)*AA83+(1-EXP(-LN(2)/25))/(LN(2)/25)*Calculateur!V84*Calculateur!X84*VLOOKUP('Données projet'!$B$9,Paramètres!$A$1:$I$89,3,0)*0.475*44/12</f>
        <v>#N/A</v>
      </c>
      <c r="AB84" s="23" t="e">
        <f>EXP(-LN(2)/2)*AB83+(1-EXP(-LN(2)/2))/(LN(2)/2)*V84*Y84*VLOOKUP('Données projet'!$B$9,Paramètres!$A$1:$I$89,3,0)*0.475*44/12</f>
        <v>#N/A</v>
      </c>
      <c r="AC84" s="24" t="e">
        <f t="shared" si="57"/>
        <v>#N/A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0">
        <f t="shared" si="59"/>
        <v>775.45409146701161</v>
      </c>
      <c r="AN84" s="60">
        <f ca="1">AVERAGE(OFFSET($AM$3,0,0,'Données projet'!$E$10+1,1))-AVERAGE(OFFSET($H$3,0,0,'Données projet'!$E$10+1,1))</f>
        <v>428.8489304403459</v>
      </c>
      <c r="AO84" s="60">
        <f t="shared" si="90"/>
        <v>247.01165577562966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-3.4106051316484809E-13</v>
      </c>
      <c r="BE84" s="14">
        <f>BD84*VLOOKUP('Données projet'!$B$11,Paramètres!$A$1:$I$89,3,0)*VLOOKUP('Données projet'!$B$11,Paramètres!$A$1:$I$89,5,0)</f>
        <v>-1.9065282685915009E-13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374.79806286316051</v>
      </c>
      <c r="BJ84" s="60">
        <f t="shared" si="92"/>
        <v>350.01856672839466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5.4151159361791601</v>
      </c>
      <c r="BR84" s="23">
        <f>EXP(-LN(2)/2)*BR83+(1-EXP(-LN(2)/2))/(LN(2)/2)*BL84*BO84*VLOOKUP('Données projet'!$B$11,Paramètres!$A$1:$I$89,3,0)*0.475*44/12</f>
        <v>2.3197164000250081E-7</v>
      </c>
      <c r="BS84" s="24">
        <f t="shared" si="63"/>
        <v>5.4151161681508002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222.21887999999993</v>
      </c>
      <c r="CA84" s="14">
        <f t="shared" si="93"/>
        <v>54.596866296848852</v>
      </c>
      <c r="CB84" s="22">
        <f t="shared" si="64"/>
        <v>482.12075813367829</v>
      </c>
      <c r="CC84" s="60">
        <f t="shared" si="65"/>
        <v>775.45409146701161</v>
      </c>
      <c r="CD84" s="60">
        <f ca="1">AVERAGE(OFFSET($CC$3,0,0,'Données projet'!$E$12+1,1))-AVERAGE(OFFSET($H$3,0,0,'Données projet'!$E$12+1,1))</f>
        <v>428.8489304403459</v>
      </c>
      <c r="CE84" s="60">
        <f t="shared" si="94"/>
        <v>247.01165577562966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3.7179487179487181</v>
      </c>
      <c r="CT84" s="13">
        <f>IF('Données projet'!$A$140&gt;35,CT83+CS84-DB83,IF(A84&lt;'Données projet'!$A$140,$CQ$205^A84,IF(A84='Données projet'!$A$140,'Données projet'!$B$140,CT83+CS84-DB83)))</f>
        <v>210.12820512820502</v>
      </c>
      <c r="CU84" s="18">
        <f>CT84*VLOOKUP('Données projet'!$B$13,Paramètres!$A$1:$I$89,3,0)*VLOOKUP('Données projet'!$B$13,Paramètres!$A$1:$I$89,5,0)</f>
        <v>199.95799999999991</v>
      </c>
      <c r="CV84" s="14">
        <f t="shared" si="95"/>
        <v>49.734937283774826</v>
      </c>
      <c r="CW84" s="22">
        <f t="shared" si="67"/>
        <v>434.88186576924096</v>
      </c>
      <c r="CX84" s="60">
        <f t="shared" si="68"/>
        <v>728.21519910257427</v>
      </c>
      <c r="CY84" s="60">
        <f ca="1">AVERAGE(OFFSET($CX$3,0,0,'Données projet'!$E$13+1,1))-AVERAGE(OFFSET($H$3,0,0,'Données projet'!$E$13+1,1))</f>
        <v>354.63118425028898</v>
      </c>
      <c r="CZ84" s="60">
        <f t="shared" si="96"/>
        <v>244.7141066773861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237.54431999999991</v>
      </c>
      <c r="DQ84" s="14">
        <f t="shared" si="97"/>
        <v>57.910863128487989</v>
      </c>
      <c r="DR84" s="22">
        <f t="shared" si="70"/>
        <v>514.58444394878302</v>
      </c>
      <c r="DS84" s="60">
        <f t="shared" si="71"/>
        <v>807.91777728211628</v>
      </c>
      <c r="DT84" s="60">
        <f ca="1">AVERAGE(OFFSET($DS$3,0,0,'Données projet'!$E$14+1,1))-AVERAGE(OFFSET($H$3,0,0,'Données projet'!$E$14+1,1))</f>
        <v>455.50822833641354</v>
      </c>
      <c r="DU84" s="60">
        <f t="shared" si="98"/>
        <v>261.14722581688039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207.03241199974599</v>
      </c>
      <c r="EP84" s="60">
        <f t="shared" si="100"/>
        <v>314.188568589113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4.9172290155890446</v>
      </c>
      <c r="EW84" s="23">
        <f>EXP(-LN(2)/25)*EW83+(1-EXP(-LN(2)/25))/(LN(2)/25)*Calculateur!ER84*Calculateur!ET84*VLOOKUP('Données projet'!$B$15,Paramètres!$A$1:$I$89,3,0)*0.475*44/12</f>
        <v>2.3707038507520446</v>
      </c>
      <c r="EX84" s="23">
        <f>EXP(-LN(2)/2)*EX83+(1-EXP(-LN(2)/2))/(LN(2)/2)*ER84*EU84*VLOOKUP('Données projet'!$B$15,Paramètres!$A$1:$I$89,3,0)*0.475*44/12</f>
        <v>6.1627705561423459E-8</v>
      </c>
      <c r="EY84" s="24">
        <f t="shared" si="75"/>
        <v>7.2879329279687948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 t="e">
        <f>N85*VLOOKUP('Données projet'!$B$9,Paramètres!$A$1:$I$89,3,0)*VLOOKUP('Données projet'!$B$9,Paramètres!$A$1:$I$89,5,0)</f>
        <v>#N/A</v>
      </c>
      <c r="P85" s="14" t="e">
        <f t="shared" si="87"/>
        <v>#N/A</v>
      </c>
      <c r="Q85" s="22" t="e">
        <f t="shared" si="54"/>
        <v>#N/A</v>
      </c>
      <c r="R85" s="60" t="e">
        <f t="shared" si="55"/>
        <v>#N/A</v>
      </c>
      <c r="S85" s="60" t="e">
        <f ca="1">AVERAGE(OFFSET($R$3,0,0,'Données projet'!$E$9+1,1))-AVERAGE(OFFSET($H$3,0,0,'Données projet'!$E$9+1,1))</f>
        <v>#N/A</v>
      </c>
      <c r="T85" s="60" t="e">
        <f t="shared" si="88"/>
        <v>#N/A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 t="e">
        <f>EXP(-LN(2)/35)*Z84+(1-EXP(-LN(2)/35))/(LN(2)/35)*V85*W85*VLOOKUP('Données projet'!$B$9,Paramètres!$A$1:$I$89,3,0)*0.475*44/12</f>
        <v>#N/A</v>
      </c>
      <c r="AA85" s="23" t="e">
        <f>EXP(-LN(2)/25)*AA84+(1-EXP(-LN(2)/25))/(LN(2)/25)*Calculateur!V85*Calculateur!X85*VLOOKUP('Données projet'!$B$9,Paramètres!$A$1:$I$89,3,0)*0.475*44/12</f>
        <v>#N/A</v>
      </c>
      <c r="AB85" s="23" t="e">
        <f>EXP(-LN(2)/2)*AB84+(1-EXP(-LN(2)/2))/(LN(2)/2)*V85*Y85*VLOOKUP('Données projet'!$B$9,Paramètres!$A$1:$I$89,3,0)*0.475*44/12</f>
        <v>#N/A</v>
      </c>
      <c r="AC85" s="24" t="e">
        <f t="shared" si="57"/>
        <v>#N/A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0">
        <f t="shared" si="59"/>
        <v>786.19217745579931</v>
      </c>
      <c r="AN85" s="60">
        <f ca="1">AVERAGE(OFFSET($AM$3,0,0,'Données projet'!$E$10+1,1))-AVERAGE(OFFSET($H$3,0,0,'Données projet'!$E$10+1,1))</f>
        <v>428.8489304403459</v>
      </c>
      <c r="AO85" s="60">
        <f t="shared" si="90"/>
        <v>247.01165577562966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-3.4106051316484809E-13</v>
      </c>
      <c r="BE85" s="14">
        <f>BD85*VLOOKUP('Données projet'!$B$11,Paramètres!$A$1:$I$89,3,0)*VLOOKUP('Données projet'!$B$11,Paramètres!$A$1:$I$89,5,0)</f>
        <v>-1.9065282685915009E-13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374.79806286316051</v>
      </c>
      <c r="BJ85" s="60">
        <f t="shared" si="92"/>
        <v>350.01856672839466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5.2670393061357705</v>
      </c>
      <c r="BR85" s="23">
        <f>EXP(-LN(2)/2)*BR84+(1-EXP(-LN(2)/2))/(LN(2)/2)*BL85*BO85*VLOOKUP('Données projet'!$B$11,Paramètres!$A$1:$I$89,3,0)*0.475*44/12</f>
        <v>1.6402871968873292E-7</v>
      </c>
      <c r="BS85" s="24">
        <f t="shared" si="63"/>
        <v>5.26703947016449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227.28575999999993</v>
      </c>
      <c r="CA85" s="14">
        <f t="shared" si="93"/>
        <v>55.695394520076327</v>
      </c>
      <c r="CB85" s="22">
        <f t="shared" si="64"/>
        <v>492.85884412246605</v>
      </c>
      <c r="CC85" s="60">
        <f t="shared" si="65"/>
        <v>786.19217745579931</v>
      </c>
      <c r="CD85" s="60">
        <f ca="1">AVERAGE(OFFSET($CC$3,0,0,'Données projet'!$E$12+1,1))-AVERAGE(OFFSET($H$3,0,0,'Données projet'!$E$12+1,1))</f>
        <v>428.8489304403459</v>
      </c>
      <c r="CE85" s="60">
        <f t="shared" si="94"/>
        <v>247.01165577562966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3.7179487179487181</v>
      </c>
      <c r="CT85" s="13">
        <f>IF('Données projet'!$A$140&gt;35,CT84+CS85-DB84,IF(A85&lt;'Données projet'!$A$140,$CQ$205^A85,IF(A85='Données projet'!$A$140,'Données projet'!$B$140,CT84+CS85-DB84)))</f>
        <v>213.84615384615375</v>
      </c>
      <c r="CU85" s="18">
        <f>CT85*VLOOKUP('Données projet'!$B$13,Paramètres!$A$1:$I$89,3,0)*VLOOKUP('Données projet'!$B$13,Paramètres!$A$1:$I$89,5,0)</f>
        <v>203.4959999999999</v>
      </c>
      <c r="CV85" s="14">
        <f t="shared" si="95"/>
        <v>50.511706115422356</v>
      </c>
      <c r="CW85" s="22">
        <f t="shared" si="67"/>
        <v>442.39675481769376</v>
      </c>
      <c r="CX85" s="60">
        <f t="shared" si="68"/>
        <v>735.73008815102708</v>
      </c>
      <c r="CY85" s="60">
        <f ca="1">AVERAGE(OFFSET($CX$3,0,0,'Données projet'!$E$13+1,1))-AVERAGE(OFFSET($H$3,0,0,'Données projet'!$E$13+1,1))</f>
        <v>354.63118425028898</v>
      </c>
      <c r="CZ85" s="60">
        <f t="shared" si="96"/>
        <v>244.7141066773861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242.96063999999993</v>
      </c>
      <c r="DQ85" s="14">
        <f t="shared" si="97"/>
        <v>59.076071351835715</v>
      </c>
      <c r="DR85" s="22">
        <f t="shared" si="70"/>
        <v>526.04727227111368</v>
      </c>
      <c r="DS85" s="60">
        <f t="shared" si="71"/>
        <v>819.38060560444706</v>
      </c>
      <c r="DT85" s="60">
        <f ca="1">AVERAGE(OFFSET($DS$3,0,0,'Données projet'!$E$14+1,1))-AVERAGE(OFFSET($H$3,0,0,'Données projet'!$E$14+1,1))</f>
        <v>455.50822833641354</v>
      </c>
      <c r="DU85" s="60">
        <f t="shared" si="98"/>
        <v>261.14722581688039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207.03241199974599</v>
      </c>
      <c r="EP85" s="60">
        <f t="shared" si="100"/>
        <v>314.188568589113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4.8208051538068952</v>
      </c>
      <c r="EW85" s="23">
        <f>EXP(-LN(2)/25)*EW84+(1-EXP(-LN(2)/25))/(LN(2)/25)*Calculateur!ER85*Calculateur!ET85*VLOOKUP('Données projet'!$B$15,Paramètres!$A$1:$I$89,3,0)*0.475*44/12</f>
        <v>2.3058768292833327</v>
      </c>
      <c r="EX85" s="23">
        <f>EXP(-LN(2)/2)*EX84+(1-EXP(-LN(2)/2))/(LN(2)/2)*ER85*EU85*VLOOKUP('Données projet'!$B$15,Paramètres!$A$1:$I$89,3,0)*0.475*44/12</f>
        <v>4.3577368511450437E-8</v>
      </c>
      <c r="EY85" s="24">
        <f t="shared" si="75"/>
        <v>7.1266820266675959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 t="e">
        <f>N86*VLOOKUP('Données projet'!$B$9,Paramètres!$A$1:$I$89,3,0)*VLOOKUP('Données projet'!$B$9,Paramètres!$A$1:$I$89,5,0)</f>
        <v>#N/A</v>
      </c>
      <c r="P86" s="14" t="e">
        <f t="shared" si="87"/>
        <v>#N/A</v>
      </c>
      <c r="Q86" s="22" t="e">
        <f t="shared" si="54"/>
        <v>#N/A</v>
      </c>
      <c r="R86" s="60" t="e">
        <f t="shared" si="55"/>
        <v>#N/A</v>
      </c>
      <c r="S86" s="60" t="e">
        <f ca="1">AVERAGE(OFFSET($R$3,0,0,'Données projet'!$E$9+1,1))-AVERAGE(OFFSET($H$3,0,0,'Données projet'!$E$9+1,1))</f>
        <v>#N/A</v>
      </c>
      <c r="T86" s="60" t="e">
        <f t="shared" si="88"/>
        <v>#N/A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 t="e">
        <f>EXP(-LN(2)/35)*Z85+(1-EXP(-LN(2)/35))/(LN(2)/35)*V86*W86*VLOOKUP('Données projet'!$B$9,Paramètres!$A$1:$I$89,3,0)*0.475*44/12</f>
        <v>#N/A</v>
      </c>
      <c r="AA86" s="23" t="e">
        <f>EXP(-LN(2)/25)*AA85+(1-EXP(-LN(2)/25))/(LN(2)/25)*Calculateur!V86*Calculateur!X86*VLOOKUP('Données projet'!$B$9,Paramètres!$A$1:$I$89,3,0)*0.475*44/12</f>
        <v>#N/A</v>
      </c>
      <c r="AB86" s="23" t="e">
        <f>EXP(-LN(2)/2)*AB85+(1-EXP(-LN(2)/2))/(LN(2)/2)*V86*Y86*VLOOKUP('Données projet'!$B$9,Paramètres!$A$1:$I$89,3,0)*0.475*44/12</f>
        <v>#N/A</v>
      </c>
      <c r="AC86" s="24" t="e">
        <f t="shared" si="57"/>
        <v>#N/A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0">
        <f t="shared" si="59"/>
        <v>796.92530469359974</v>
      </c>
      <c r="AN86" s="60">
        <f ca="1">AVERAGE(OFFSET($AM$3,0,0,'Données projet'!$E$10+1,1))-AVERAGE(OFFSET($H$3,0,0,'Données projet'!$E$10+1,1))</f>
        <v>428.8489304403459</v>
      </c>
      <c r="AO86" s="60">
        <f t="shared" si="90"/>
        <v>247.01165577562966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-3.4106051316484809E-13</v>
      </c>
      <c r="BE86" s="14">
        <f>BD86*VLOOKUP('Données projet'!$B$11,Paramètres!$A$1:$I$89,3,0)*VLOOKUP('Données projet'!$B$11,Paramètres!$A$1:$I$89,5,0)</f>
        <v>-1.9065282685915009E-13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374.79806286316051</v>
      </c>
      <c r="BJ86" s="60">
        <f t="shared" si="92"/>
        <v>350.01856672839466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5.1230118393279289</v>
      </c>
      <c r="BR86" s="23">
        <f>EXP(-LN(2)/2)*BR85+(1-EXP(-LN(2)/2))/(LN(2)/2)*BL86*BO86*VLOOKUP('Données projet'!$B$11,Paramètres!$A$1:$I$89,3,0)*0.475*44/12</f>
        <v>1.1598582000125042E-7</v>
      </c>
      <c r="BS86" s="24">
        <f t="shared" si="63"/>
        <v>5.123011955313749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232.35263999999989</v>
      </c>
      <c r="CA86" s="14">
        <f t="shared" si="93"/>
        <v>56.791075613550255</v>
      </c>
      <c r="CB86" s="22">
        <f t="shared" si="64"/>
        <v>503.59197136026643</v>
      </c>
      <c r="CC86" s="60">
        <f t="shared" si="65"/>
        <v>796.92530469359974</v>
      </c>
      <c r="CD86" s="60">
        <f ca="1">AVERAGE(OFFSET($CC$3,0,0,'Données projet'!$E$12+1,1))-AVERAGE(OFFSET($H$3,0,0,'Données projet'!$E$12+1,1))</f>
        <v>428.8489304403459</v>
      </c>
      <c r="CE86" s="60">
        <f t="shared" si="94"/>
        <v>247.01165577562966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3.7179487179487181</v>
      </c>
      <c r="CT86" s="13">
        <f>IF('Données projet'!$A$140&gt;35,CT85+CS86-DB85,IF(A86&lt;'Données projet'!$A$140,$CQ$205^A86,IF(A86='Données projet'!$A$140,'Données projet'!$B$140,CT85+CS86-DB85)))</f>
        <v>217.56410256410248</v>
      </c>
      <c r="CU86" s="18">
        <f>CT86*VLOOKUP('Données projet'!$B$13,Paramètres!$A$1:$I$89,3,0)*VLOOKUP('Données projet'!$B$13,Paramètres!$A$1:$I$89,5,0)</f>
        <v>207.03399999999993</v>
      </c>
      <c r="CV86" s="14">
        <f t="shared" si="95"/>
        <v>51.286904474053166</v>
      </c>
      <c r="CW86" s="22">
        <f t="shared" si="67"/>
        <v>449.90890862564248</v>
      </c>
      <c r="CX86" s="60">
        <f t="shared" si="68"/>
        <v>743.2422419589758</v>
      </c>
      <c r="CY86" s="60">
        <f ca="1">AVERAGE(OFFSET($CX$3,0,0,'Données projet'!$E$13+1,1))-AVERAGE(OFFSET($H$3,0,0,'Données projet'!$E$13+1,1))</f>
        <v>354.63118425028898</v>
      </c>
      <c r="CZ86" s="60">
        <f t="shared" si="96"/>
        <v>244.7141066773861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248.37695999999988</v>
      </c>
      <c r="DQ86" s="14">
        <f t="shared" si="97"/>
        <v>60.238259626372319</v>
      </c>
      <c r="DR86" s="22">
        <f t="shared" si="70"/>
        <v>537.50484084926495</v>
      </c>
      <c r="DS86" s="60">
        <f t="shared" si="71"/>
        <v>830.83817418259832</v>
      </c>
      <c r="DT86" s="60">
        <f ca="1">AVERAGE(OFFSET($DS$3,0,0,'Données projet'!$E$14+1,1))-AVERAGE(OFFSET($H$3,0,0,'Données projet'!$E$14+1,1))</f>
        <v>455.50822833641354</v>
      </c>
      <c r="DU86" s="60">
        <f t="shared" si="98"/>
        <v>261.14722581688039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207.03241199974599</v>
      </c>
      <c r="EP86" s="60">
        <f t="shared" si="100"/>
        <v>314.188568589113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4.7262721051415451</v>
      </c>
      <c r="EW86" s="23">
        <f>EXP(-LN(2)/25)*EW85+(1-EXP(-LN(2)/25))/(LN(2)/25)*Calculateur!ER86*Calculateur!ET86*VLOOKUP('Données projet'!$B$15,Paramètres!$A$1:$I$89,3,0)*0.475*44/12</f>
        <v>2.2428225061257878</v>
      </c>
      <c r="EX86" s="23">
        <f>EXP(-LN(2)/2)*EX85+(1-EXP(-LN(2)/2))/(LN(2)/2)*ER86*EU86*VLOOKUP('Données projet'!$B$15,Paramètres!$A$1:$I$89,3,0)*0.475*44/12</f>
        <v>3.081385278071173E-8</v>
      </c>
      <c r="EY86" s="24">
        <f t="shared" si="75"/>
        <v>6.9690946420811857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 t="e">
        <f>N87*VLOOKUP('Données projet'!$B$9,Paramètres!$A$1:$I$89,3,0)*VLOOKUP('Données projet'!$B$9,Paramètres!$A$1:$I$89,5,0)</f>
        <v>#N/A</v>
      </c>
      <c r="P87" s="14" t="e">
        <f t="shared" si="87"/>
        <v>#N/A</v>
      </c>
      <c r="Q87" s="22" t="e">
        <f t="shared" si="54"/>
        <v>#N/A</v>
      </c>
      <c r="R87" s="60" t="e">
        <f t="shared" si="55"/>
        <v>#N/A</v>
      </c>
      <c r="S87" s="60" t="e">
        <f ca="1">AVERAGE(OFFSET($R$3,0,0,'Données projet'!$E$9+1,1))-AVERAGE(OFFSET($H$3,0,0,'Données projet'!$E$9+1,1))</f>
        <v>#N/A</v>
      </c>
      <c r="T87" s="60" t="e">
        <f t="shared" si="88"/>
        <v>#N/A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 t="e">
        <f>EXP(-LN(2)/35)*Z86+(1-EXP(-LN(2)/35))/(LN(2)/35)*V87*W87*VLOOKUP('Données projet'!$B$9,Paramètres!$A$1:$I$89,3,0)*0.475*44/12</f>
        <v>#N/A</v>
      </c>
      <c r="AA87" s="23" t="e">
        <f>EXP(-LN(2)/25)*AA86+(1-EXP(-LN(2)/25))/(LN(2)/25)*Calculateur!V87*Calculateur!X87*VLOOKUP('Données projet'!$B$9,Paramètres!$A$1:$I$89,3,0)*0.475*44/12</f>
        <v>#N/A</v>
      </c>
      <c r="AB87" s="23" t="e">
        <f>EXP(-LN(2)/2)*AB86+(1-EXP(-LN(2)/2))/(LN(2)/2)*V87*Y87*VLOOKUP('Données projet'!$B$9,Paramètres!$A$1:$I$89,3,0)*0.475*44/12</f>
        <v>#N/A</v>
      </c>
      <c r="AC87" s="24" t="e">
        <f t="shared" si="57"/>
        <v>#N/A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0">
        <f t="shared" si="59"/>
        <v>807.65359376827541</v>
      </c>
      <c r="AN87" s="60">
        <f ca="1">AVERAGE(OFFSET($AM$3,0,0,'Données projet'!$E$10+1,1))-AVERAGE(OFFSET($H$3,0,0,'Données projet'!$E$10+1,1))</f>
        <v>428.8489304403459</v>
      </c>
      <c r="AO87" s="60">
        <f t="shared" si="90"/>
        <v>247.01165577562966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-3.4106051316484809E-13</v>
      </c>
      <c r="BE87" s="14">
        <f>BD87*VLOOKUP('Données projet'!$B$11,Paramètres!$A$1:$I$89,3,0)*VLOOKUP('Données projet'!$B$11,Paramètres!$A$1:$I$89,5,0)</f>
        <v>-1.9065282685915009E-13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374.79806286316051</v>
      </c>
      <c r="BJ87" s="60">
        <f t="shared" si="92"/>
        <v>350.01856672839466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4.9829228111740225</v>
      </c>
      <c r="BR87" s="23">
        <f>EXP(-LN(2)/2)*BR86+(1-EXP(-LN(2)/2))/(LN(2)/2)*BL87*BO87*VLOOKUP('Données projet'!$B$11,Paramètres!$A$1:$I$89,3,0)*0.475*44/12</f>
        <v>8.2014359844366475E-8</v>
      </c>
      <c r="BS87" s="24">
        <f t="shared" si="63"/>
        <v>4.9829228931883822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237.41951999999992</v>
      </c>
      <c r="CA87" s="14">
        <f t="shared" si="93"/>
        <v>57.883978814320919</v>
      </c>
      <c r="CB87" s="22">
        <f t="shared" si="64"/>
        <v>514.32026043494204</v>
      </c>
      <c r="CC87" s="60">
        <f t="shared" si="65"/>
        <v>807.65359376827541</v>
      </c>
      <c r="CD87" s="60">
        <f ca="1">AVERAGE(OFFSET($CC$3,0,0,'Données projet'!$E$12+1,1))-AVERAGE(OFFSET($H$3,0,0,'Données projet'!$E$12+1,1))</f>
        <v>428.8489304403459</v>
      </c>
      <c r="CE87" s="60">
        <f t="shared" si="94"/>
        <v>247.01165577562966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3.7179487179487181</v>
      </c>
      <c r="CT87" s="13">
        <f>IF('Données projet'!$A$140&gt;35,CT86+CS87-DB86,IF(A87&lt;'Données projet'!$A$140,$CQ$205^A87,IF(A87='Données projet'!$A$140,'Données projet'!$B$140,CT86+CS87-DB86)))</f>
        <v>221.28205128205121</v>
      </c>
      <c r="CU87" s="18">
        <f>CT87*VLOOKUP('Données projet'!$B$13,Paramètres!$A$1:$I$89,3,0)*VLOOKUP('Données projet'!$B$13,Paramètres!$A$1:$I$89,5,0)</f>
        <v>210.57199999999992</v>
      </c>
      <c r="CV87" s="14">
        <f t="shared" si="95"/>
        <v>52.060562294525134</v>
      </c>
      <c r="CW87" s="22">
        <f t="shared" si="67"/>
        <v>457.41837932963108</v>
      </c>
      <c r="CX87" s="60">
        <f t="shared" si="68"/>
        <v>750.75171266296434</v>
      </c>
      <c r="CY87" s="60">
        <f ca="1">AVERAGE(OFFSET($CX$3,0,0,'Données projet'!$E$13+1,1))-AVERAGE(OFFSET($H$3,0,0,'Données projet'!$E$13+1,1))</f>
        <v>354.63118425028898</v>
      </c>
      <c r="CZ87" s="60">
        <f t="shared" si="96"/>
        <v>244.7141066773861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253.79327999999995</v>
      </c>
      <c r="DQ87" s="14">
        <f t="shared" si="97"/>
        <v>61.39750139179521</v>
      </c>
      <c r="DR87" s="22">
        <f t="shared" si="70"/>
        <v>548.95727759070985</v>
      </c>
      <c r="DS87" s="60">
        <f t="shared" si="71"/>
        <v>842.29061092404322</v>
      </c>
      <c r="DT87" s="60">
        <f ca="1">AVERAGE(OFFSET($DS$3,0,0,'Données projet'!$E$14+1,1))-AVERAGE(OFFSET($H$3,0,0,'Données projet'!$E$14+1,1))</f>
        <v>455.50822833641354</v>
      </c>
      <c r="DU87" s="60">
        <f t="shared" si="98"/>
        <v>261.14722581688039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207.03241199974599</v>
      </c>
      <c r="EP87" s="60">
        <f t="shared" si="100"/>
        <v>314.188568589113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4.633592791901056</v>
      </c>
      <c r="EW87" s="23">
        <f>EXP(-LN(2)/25)*EW86+(1-EXP(-LN(2)/25))/(LN(2)/25)*Calculateur!ER87*Calculateur!ET87*VLOOKUP('Données projet'!$B$15,Paramètres!$A$1:$I$89,3,0)*0.475*44/12</f>
        <v>2.1814924067508685</v>
      </c>
      <c r="EX87" s="23">
        <f>EXP(-LN(2)/2)*EX86+(1-EXP(-LN(2)/2))/(LN(2)/2)*ER87*EU87*VLOOKUP('Données projet'!$B$15,Paramètres!$A$1:$I$89,3,0)*0.475*44/12</f>
        <v>2.1788684255725218E-8</v>
      </c>
      <c r="EY87" s="24">
        <f t="shared" si="75"/>
        <v>6.8150852204406096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 t="e">
        <f>N88*VLOOKUP('Données projet'!$B$9,Paramètres!$A$1:$I$89,3,0)*VLOOKUP('Données projet'!$B$9,Paramètres!$A$1:$I$89,5,0)</f>
        <v>#N/A</v>
      </c>
      <c r="P88" s="14" t="e">
        <f t="shared" si="87"/>
        <v>#N/A</v>
      </c>
      <c r="Q88" s="22" t="e">
        <f t="shared" si="54"/>
        <v>#N/A</v>
      </c>
      <c r="R88" s="60" t="e">
        <f t="shared" si="55"/>
        <v>#N/A</v>
      </c>
      <c r="S88" s="60" t="e">
        <f ca="1">AVERAGE(OFFSET($R$3,0,0,'Données projet'!$E$9+1,1))-AVERAGE(OFFSET($H$3,0,0,'Données projet'!$E$9+1,1))</f>
        <v>#N/A</v>
      </c>
      <c r="T88" s="60" t="e">
        <f t="shared" si="88"/>
        <v>#N/A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 t="e">
        <f>EXP(-LN(2)/35)*Z87+(1-EXP(-LN(2)/35))/(LN(2)/35)*V88*W88*VLOOKUP('Données projet'!$B$9,Paramètres!$A$1:$I$89,3,0)*0.475*44/12</f>
        <v>#N/A</v>
      </c>
      <c r="AA88" s="23" t="e">
        <f>EXP(-LN(2)/25)*AA87+(1-EXP(-LN(2)/25))/(LN(2)/25)*Calculateur!V88*Calculateur!X88*VLOOKUP('Données projet'!$B$9,Paramètres!$A$1:$I$89,3,0)*0.475*44/12</f>
        <v>#N/A</v>
      </c>
      <c r="AB88" s="23" t="e">
        <f>EXP(-LN(2)/2)*AB87+(1-EXP(-LN(2)/2))/(LN(2)/2)*V88*Y88*VLOOKUP('Données projet'!$B$9,Paramètres!$A$1:$I$89,3,0)*0.475*44/12</f>
        <v>#N/A</v>
      </c>
      <c r="AC88" s="24" t="e">
        <f t="shared" si="57"/>
        <v>#N/A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0">
        <f t="shared" si="59"/>
        <v>818.37715982660688</v>
      </c>
      <c r="AN88" s="60">
        <f ca="1">AVERAGE(OFFSET($AM$3,0,0,'Données projet'!$E$10+1,1))-AVERAGE(OFFSET($H$3,0,0,'Données projet'!$E$10+1,1))</f>
        <v>428.8489304403459</v>
      </c>
      <c r="AO88" s="60">
        <f t="shared" si="90"/>
        <v>247.01165577562966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-3.4106051316484809E-13</v>
      </c>
      <c r="BE88" s="14">
        <f>BD88*VLOOKUP('Données projet'!$B$11,Paramètres!$A$1:$I$89,3,0)*VLOOKUP('Données projet'!$B$11,Paramètres!$A$1:$I$89,5,0)</f>
        <v>-1.9065282685915009E-13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374.79806286316051</v>
      </c>
      <c r="BJ88" s="60">
        <f t="shared" si="92"/>
        <v>350.01856672839466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4.8466645248619464</v>
      </c>
      <c r="BR88" s="23">
        <f>EXP(-LN(2)/2)*BR87+(1-EXP(-LN(2)/2))/(LN(2)/2)*BL88*BO88*VLOOKUP('Données projet'!$B$11,Paramètres!$A$1:$I$89,3,0)*0.475*44/12</f>
        <v>5.7992910000625216E-8</v>
      </c>
      <c r="BS88" s="24">
        <f t="shared" si="63"/>
        <v>4.8466645828548565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242.48639999999995</v>
      </c>
      <c r="CA88" s="14">
        <f t="shared" si="93"/>
        <v>58.974170235372419</v>
      </c>
      <c r="CB88" s="22">
        <f t="shared" si="64"/>
        <v>525.04382649327351</v>
      </c>
      <c r="CC88" s="60">
        <f t="shared" si="65"/>
        <v>818.37715982660688</v>
      </c>
      <c r="CD88" s="60">
        <f ca="1">AVERAGE(OFFSET($CC$3,0,0,'Données projet'!$E$12+1,1))-AVERAGE(OFFSET($H$3,0,0,'Données projet'!$E$12+1,1))</f>
        <v>428.8489304403459</v>
      </c>
      <c r="CE88" s="60">
        <f t="shared" si="94"/>
        <v>247.01165577562966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225</v>
      </c>
      <c r="CR88" s="13">
        <f>VLOOKUP(A88,'Données projet'!$A$139:$I$159,9,0)</f>
        <v>3.7179487179487181</v>
      </c>
      <c r="CS88" s="13">
        <f t="array" ref="CS88">INDEX(CR:CR,MIN(IF(ISNUMBER(CR88:CR284),ROW(CR88:CR284),"")))</f>
        <v>3.7179487179487181</v>
      </c>
      <c r="CT88" s="13">
        <f>IF('Données projet'!$A$140&gt;35,CT87+CS88-DB87,IF(A88&lt;'Données projet'!$A$140,$CQ$205^A88,IF(A88='Données projet'!$A$140,'Données projet'!$B$140,CT87+CS88-DB87)))</f>
        <v>224.99999999999994</v>
      </c>
      <c r="CU88" s="18">
        <f>CT88*VLOOKUP('Données projet'!$B$13,Paramètres!$A$1:$I$89,3,0)*VLOOKUP('Données projet'!$B$13,Paramètres!$A$1:$I$89,5,0)</f>
        <v>214.10999999999996</v>
      </c>
      <c r="CV88" s="14">
        <f t="shared" si="95"/>
        <v>52.832708448119902</v>
      </c>
      <c r="CW88" s="22">
        <f t="shared" si="67"/>
        <v>464.92521721380871</v>
      </c>
      <c r="CX88" s="60">
        <f t="shared" si="68"/>
        <v>758.25855054714202</v>
      </c>
      <c r="CY88" s="60">
        <f ca="1">AVERAGE(OFFSET($CX$3,0,0,'Données projet'!$E$13+1,1))-AVERAGE(OFFSET($H$3,0,0,'Données projet'!$E$13+1,1))</f>
        <v>354.63118425028898</v>
      </c>
      <c r="CZ88" s="60">
        <f t="shared" si="96"/>
        <v>244.7141066773861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25.641025641025639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259.20959999999997</v>
      </c>
      <c r="DQ88" s="14">
        <f t="shared" si="97"/>
        <v>62.553866774106702</v>
      </c>
      <c r="DR88" s="22">
        <f t="shared" si="70"/>
        <v>560.40470463156907</v>
      </c>
      <c r="DS88" s="60">
        <f t="shared" si="71"/>
        <v>853.73803796490233</v>
      </c>
      <c r="DT88" s="60">
        <f ca="1">AVERAGE(OFFSET($DS$3,0,0,'Données projet'!$E$14+1,1))-AVERAGE(OFFSET($H$3,0,0,'Données projet'!$E$14+1,1))</f>
        <v>455.50822833641354</v>
      </c>
      <c r="DU88" s="60">
        <f t="shared" si="98"/>
        <v>261.14722581688039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207.03241199974599</v>
      </c>
      <c r="EP88" s="60">
        <f t="shared" si="100"/>
        <v>314.188568589113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4.5427308634644143</v>
      </c>
      <c r="EW88" s="23">
        <f>EXP(-LN(2)/25)*EW87+(1-EXP(-LN(2)/25))/(LN(2)/25)*Calculateur!ER88*Calculateur!ET88*VLOOKUP('Données projet'!$B$15,Paramètres!$A$1:$I$89,3,0)*0.475*44/12</f>
        <v>2.1218393821685662</v>
      </c>
      <c r="EX88" s="23">
        <f>EXP(-LN(2)/2)*EX87+(1-EXP(-LN(2)/2))/(LN(2)/2)*ER88*EU88*VLOOKUP('Données projet'!$B$15,Paramètres!$A$1:$I$89,3,0)*0.475*44/12</f>
        <v>1.5406926390355865E-8</v>
      </c>
      <c r="EY88" s="24">
        <f t="shared" si="75"/>
        <v>6.6645702610399065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 t="e">
        <f>N89*VLOOKUP('Données projet'!$B$9,Paramètres!$A$1:$I$89,3,0)*VLOOKUP('Données projet'!$B$9,Paramètres!$A$1:$I$89,5,0)</f>
        <v>#N/A</v>
      </c>
      <c r="P89" s="14" t="e">
        <f t="shared" si="87"/>
        <v>#N/A</v>
      </c>
      <c r="Q89" s="22" t="e">
        <f t="shared" si="54"/>
        <v>#N/A</v>
      </c>
      <c r="R89" s="60" t="e">
        <f t="shared" si="55"/>
        <v>#N/A</v>
      </c>
      <c r="S89" s="60" t="e">
        <f ca="1">AVERAGE(OFFSET($R$3,0,0,'Données projet'!$E$9+1,1))-AVERAGE(OFFSET($H$3,0,0,'Données projet'!$E$9+1,1))</f>
        <v>#N/A</v>
      </c>
      <c r="T89" s="60" t="e">
        <f t="shared" si="88"/>
        <v>#N/A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 t="e">
        <f>EXP(-LN(2)/35)*Z88+(1-EXP(-LN(2)/35))/(LN(2)/35)*V89*W89*VLOOKUP('Données projet'!$B$9,Paramètres!$A$1:$I$89,3,0)*0.475*44/12</f>
        <v>#N/A</v>
      </c>
      <c r="AA89" s="23" t="e">
        <f>EXP(-LN(2)/25)*AA88+(1-EXP(-LN(2)/25))/(LN(2)/25)*Calculateur!V89*Calculateur!X89*VLOOKUP('Données projet'!$B$9,Paramètres!$A$1:$I$89,3,0)*0.475*44/12</f>
        <v>#N/A</v>
      </c>
      <c r="AB89" s="23" t="e">
        <f>EXP(-LN(2)/2)*AB88+(1-EXP(-LN(2)/2))/(LN(2)/2)*V89*Y89*VLOOKUP('Données projet'!$B$9,Paramètres!$A$1:$I$89,3,0)*0.475*44/12</f>
        <v>#N/A</v>
      </c>
      <c r="AC89" s="24" t="e">
        <f t="shared" si="57"/>
        <v>#N/A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0">
        <f t="shared" si="59"/>
        <v>829.09611292828231</v>
      </c>
      <c r="AN89" s="60">
        <f ca="1">AVERAGE(OFFSET($AM$3,0,0,'Données projet'!$E$10+1,1))-AVERAGE(OFFSET($H$3,0,0,'Données projet'!$E$10+1,1))</f>
        <v>428.8489304403459</v>
      </c>
      <c r="AO89" s="60">
        <f t="shared" si="90"/>
        <v>247.01165577562966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-3.4106051316484809E-13</v>
      </c>
      <c r="BE89" s="14">
        <f>BD89*VLOOKUP('Données projet'!$B$11,Paramètres!$A$1:$I$89,3,0)*VLOOKUP('Données projet'!$B$11,Paramètres!$A$1:$I$89,5,0)</f>
        <v>-1.9065282685915009E-13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374.79806286316051</v>
      </c>
      <c r="BJ89" s="60">
        <f t="shared" si="92"/>
        <v>350.01856672839466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4.7141322285545861</v>
      </c>
      <c r="BR89" s="23">
        <f>EXP(-LN(2)/2)*BR88+(1-EXP(-LN(2)/2))/(LN(2)/2)*BL89*BO89*VLOOKUP('Données projet'!$B$11,Paramètres!$A$1:$I$89,3,0)*0.475*44/12</f>
        <v>4.1007179922183244E-8</v>
      </c>
      <c r="BS89" s="24">
        <f t="shared" si="63"/>
        <v>4.714132269561766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247.55327999999994</v>
      </c>
      <c r="CA89" s="14">
        <f t="shared" si="93"/>
        <v>60.061713068870255</v>
      </c>
      <c r="CB89" s="22">
        <f t="shared" si="64"/>
        <v>535.76277959494894</v>
      </c>
      <c r="CC89" s="60">
        <f t="shared" si="65"/>
        <v>829.09611292828231</v>
      </c>
      <c r="CD89" s="60">
        <f ca="1">AVERAGE(OFFSET($CC$3,0,0,'Données projet'!$E$12+1,1))-AVERAGE(OFFSET($H$3,0,0,'Données projet'!$E$12+1,1))</f>
        <v>428.8489304403459</v>
      </c>
      <c r="CE89" s="60">
        <f t="shared" si="94"/>
        <v>247.01165577562966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6.025641025641022</v>
      </c>
      <c r="CT89" s="13">
        <f>IF('Données projet'!$A$140&gt;35,CT88+CS89-DB88,IF(A89&lt;'Données projet'!$A$140,$CQ$205^A89,IF(A89='Données projet'!$A$140,'Données projet'!$B$140,CT88+CS89-DB88)))</f>
        <v>205.38461538461533</v>
      </c>
      <c r="CU89" s="18">
        <f>CT89*VLOOKUP('Données projet'!$B$13,Paramètres!$A$1:$I$89,3,0)*VLOOKUP('Données projet'!$B$13,Paramètres!$A$1:$I$89,5,0)</f>
        <v>195.44399999999996</v>
      </c>
      <c r="CV89" s="14">
        <f t="shared" si="95"/>
        <v>48.741557949917805</v>
      </c>
      <c r="CW89" s="22">
        <f t="shared" si="67"/>
        <v>425.28984676277349</v>
      </c>
      <c r="CX89" s="60">
        <f t="shared" si="68"/>
        <v>718.62318009610681</v>
      </c>
      <c r="CY89" s="60">
        <f ca="1">AVERAGE(OFFSET($CX$3,0,0,'Données projet'!$E$13+1,1))-AVERAGE(OFFSET($H$3,0,0,'Données projet'!$E$13+1,1))</f>
        <v>354.63118425028898</v>
      </c>
      <c r="CZ89" s="60">
        <f t="shared" si="96"/>
        <v>244.7141066773861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264.62591999999995</v>
      </c>
      <c r="DQ89" s="14">
        <f t="shared" si="97"/>
        <v>63.707422801198604</v>
      </c>
      <c r="DR89" s="22">
        <f t="shared" si="70"/>
        <v>571.84723871208746</v>
      </c>
      <c r="DS89" s="60">
        <f t="shared" si="71"/>
        <v>865.18057204542083</v>
      </c>
      <c r="DT89" s="60">
        <f ca="1">AVERAGE(OFFSET($DS$3,0,0,'Données projet'!$E$14+1,1))-AVERAGE(OFFSET($H$3,0,0,'Données projet'!$E$14+1,1))</f>
        <v>455.50822833641354</v>
      </c>
      <c r="DU89" s="60">
        <f t="shared" si="98"/>
        <v>261.14722581688039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207.03241199974599</v>
      </c>
      <c r="EP89" s="60">
        <f t="shared" si="100"/>
        <v>314.188568589113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4.4536506820241106</v>
      </c>
      <c r="EW89" s="23">
        <f>EXP(-LN(2)/25)*EW88+(1-EXP(-LN(2)/25))/(LN(2)/25)*Calculateur!ER89*Calculateur!ET89*VLOOKUP('Données projet'!$B$15,Paramètres!$A$1:$I$89,3,0)*0.475*44/12</f>
        <v>2.0638175726804833</v>
      </c>
      <c r="EX89" s="23">
        <f>EXP(-LN(2)/2)*EX88+(1-EXP(-LN(2)/2))/(LN(2)/2)*ER89*EU89*VLOOKUP('Données projet'!$B$15,Paramètres!$A$1:$I$89,3,0)*0.475*44/12</f>
        <v>1.0894342127862609E-8</v>
      </c>
      <c r="EY89" s="24">
        <f t="shared" si="75"/>
        <v>6.5174682655989367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 t="e">
        <f>N90*VLOOKUP('Données projet'!$B$9,Paramètres!$A$1:$I$89,3,0)*VLOOKUP('Données projet'!$B$9,Paramètres!$A$1:$I$89,5,0)</f>
        <v>#N/A</v>
      </c>
      <c r="P90" s="14" t="e">
        <f t="shared" si="87"/>
        <v>#N/A</v>
      </c>
      <c r="Q90" s="22" t="e">
        <f t="shared" si="54"/>
        <v>#N/A</v>
      </c>
      <c r="R90" s="60" t="e">
        <f t="shared" si="55"/>
        <v>#N/A</v>
      </c>
      <c r="S90" s="60" t="e">
        <f ca="1">AVERAGE(OFFSET($R$3,0,0,'Données projet'!$E$9+1,1))-AVERAGE(OFFSET($H$3,0,0,'Données projet'!$E$9+1,1))</f>
        <v>#N/A</v>
      </c>
      <c r="T90" s="60" t="e">
        <f t="shared" si="88"/>
        <v>#N/A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 t="e">
        <f>EXP(-LN(2)/35)*Z89+(1-EXP(-LN(2)/35))/(LN(2)/35)*V90*W90*VLOOKUP('Données projet'!$B$9,Paramètres!$A$1:$I$89,3,0)*0.475*44/12</f>
        <v>#N/A</v>
      </c>
      <c r="AA90" s="23" t="e">
        <f>EXP(-LN(2)/25)*AA89+(1-EXP(-LN(2)/25))/(LN(2)/25)*Calculateur!V90*Calculateur!X90*VLOOKUP('Données projet'!$B$9,Paramètres!$A$1:$I$89,3,0)*0.475*44/12</f>
        <v>#N/A</v>
      </c>
      <c r="AB90" s="23" t="e">
        <f>EXP(-LN(2)/2)*AB89+(1-EXP(-LN(2)/2))/(LN(2)/2)*V90*Y90*VLOOKUP('Données projet'!$B$9,Paramètres!$A$1:$I$89,3,0)*0.475*44/12</f>
        <v>#N/A</v>
      </c>
      <c r="AC90" s="24" t="e">
        <f t="shared" si="57"/>
        <v>#N/A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0">
        <f t="shared" si="59"/>
        <v>839.81055837008694</v>
      </c>
      <c r="AN90" s="60">
        <f ca="1">AVERAGE(OFFSET($AM$3,0,0,'Données projet'!$E$10+1,1))-AVERAGE(OFFSET($H$3,0,0,'Données projet'!$E$10+1,1))</f>
        <v>428.8489304403459</v>
      </c>
      <c r="AO90" s="60">
        <f t="shared" si="90"/>
        <v>247.01165577562966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-3.4106051316484809E-13</v>
      </c>
      <c r="BE90" s="14">
        <f>BD90*VLOOKUP('Données projet'!$B$11,Paramètres!$A$1:$I$89,3,0)*VLOOKUP('Données projet'!$B$11,Paramètres!$A$1:$I$89,5,0)</f>
        <v>-1.9065282685915009E-13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374.79806286316051</v>
      </c>
      <c r="BJ90" s="60">
        <f t="shared" si="92"/>
        <v>350.01856672839466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4.585224034859321</v>
      </c>
      <c r="BR90" s="23">
        <f>EXP(-LN(2)/2)*BR89+(1-EXP(-LN(2)/2))/(LN(2)/2)*BL90*BO90*VLOOKUP('Données projet'!$B$11,Paramètres!$A$1:$I$89,3,0)*0.475*44/12</f>
        <v>2.8996455000312615E-8</v>
      </c>
      <c r="BS90" s="24">
        <f t="shared" si="63"/>
        <v>4.585224063855776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252.62015999999997</v>
      </c>
      <c r="CA90" s="14">
        <f t="shared" si="93"/>
        <v>61.14666777229877</v>
      </c>
      <c r="CB90" s="22">
        <f t="shared" si="64"/>
        <v>546.47722503675357</v>
      </c>
      <c r="CC90" s="60">
        <f t="shared" si="65"/>
        <v>839.81055837008694</v>
      </c>
      <c r="CD90" s="60">
        <f ca="1">AVERAGE(OFFSET($CC$3,0,0,'Données projet'!$E$12+1,1))-AVERAGE(OFFSET($H$3,0,0,'Données projet'!$E$12+1,1))</f>
        <v>428.8489304403459</v>
      </c>
      <c r="CE90" s="60">
        <f t="shared" si="94"/>
        <v>247.01165577562966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6.025641025641022</v>
      </c>
      <c r="CT90" s="13">
        <f>IF('Données projet'!$A$140&gt;35,CT89+CS90-DB89,IF(A90&lt;'Données projet'!$A$140,$CQ$205^A90,IF(A90='Données projet'!$A$140,'Données projet'!$B$140,CT89+CS90-DB89)))</f>
        <v>211.41025641025635</v>
      </c>
      <c r="CU90" s="18">
        <f>CT90*VLOOKUP('Données projet'!$B$13,Paramètres!$A$1:$I$89,3,0)*VLOOKUP('Données projet'!$B$13,Paramètres!$A$1:$I$89,5,0)</f>
        <v>201.17799999999994</v>
      </c>
      <c r="CV90" s="14">
        <f t="shared" si="95"/>
        <v>50.002967918242128</v>
      </c>
      <c r="CW90" s="22">
        <f t="shared" si="67"/>
        <v>437.4735191242716</v>
      </c>
      <c r="CX90" s="60">
        <f t="shared" si="68"/>
        <v>730.80685245760492</v>
      </c>
      <c r="CY90" s="60">
        <f ca="1">AVERAGE(OFFSET($CX$3,0,0,'Données projet'!$E$13+1,1))-AVERAGE(OFFSET($H$3,0,0,'Données projet'!$E$13+1,1))</f>
        <v>354.63118425028898</v>
      </c>
      <c r="CZ90" s="60">
        <f t="shared" si="96"/>
        <v>244.7141066773861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270.04223999999999</v>
      </c>
      <c r="DQ90" s="14">
        <f t="shared" si="97"/>
        <v>64.858233600288145</v>
      </c>
      <c r="DR90" s="22">
        <f t="shared" si="70"/>
        <v>583.28499152050188</v>
      </c>
      <c r="DS90" s="60">
        <f t="shared" si="71"/>
        <v>876.61832485383525</v>
      </c>
      <c r="DT90" s="60">
        <f ca="1">AVERAGE(OFFSET($DS$3,0,0,'Données projet'!$E$14+1,1))-AVERAGE(OFFSET($H$3,0,0,'Données projet'!$E$14+1,1))</f>
        <v>455.50822833641354</v>
      </c>
      <c r="DU90" s="60">
        <f t="shared" si="98"/>
        <v>261.14722581688039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207.03241199974599</v>
      </c>
      <c r="EP90" s="60">
        <f t="shared" si="100"/>
        <v>314.188568589113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4.3663173086083056</v>
      </c>
      <c r="EW90" s="23">
        <f>EXP(-LN(2)/25)*EW89+(1-EXP(-LN(2)/25))/(LN(2)/25)*Calculateur!ER90*Calculateur!ET90*VLOOKUP('Données projet'!$B$15,Paramètres!$A$1:$I$89,3,0)*0.475*44/12</f>
        <v>2.007382372624086</v>
      </c>
      <c r="EX90" s="23">
        <f>EXP(-LN(2)/2)*EX89+(1-EXP(-LN(2)/2))/(LN(2)/2)*ER90*EU90*VLOOKUP('Données projet'!$B$15,Paramètres!$A$1:$I$89,3,0)*0.475*44/12</f>
        <v>7.7034631951779324E-9</v>
      </c>
      <c r="EY90" s="24">
        <f t="shared" si="75"/>
        <v>6.3736996889358544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 t="e">
        <f>N91*VLOOKUP('Données projet'!$B$9,Paramètres!$A$1:$I$89,3,0)*VLOOKUP('Données projet'!$B$9,Paramètres!$A$1:$I$89,5,0)</f>
        <v>#N/A</v>
      </c>
      <c r="P91" s="14" t="e">
        <f t="shared" si="87"/>
        <v>#N/A</v>
      </c>
      <c r="Q91" s="22" t="e">
        <f t="shared" si="54"/>
        <v>#N/A</v>
      </c>
      <c r="R91" s="60" t="e">
        <f t="shared" si="55"/>
        <v>#N/A</v>
      </c>
      <c r="S91" s="60" t="e">
        <f ca="1">AVERAGE(OFFSET($R$3,0,0,'Données projet'!$E$9+1,1))-AVERAGE(OFFSET($H$3,0,0,'Données projet'!$E$9+1,1))</f>
        <v>#N/A</v>
      </c>
      <c r="T91" s="60" t="e">
        <f t="shared" si="88"/>
        <v>#N/A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 t="e">
        <f>EXP(-LN(2)/35)*Z90+(1-EXP(-LN(2)/35))/(LN(2)/35)*V91*W91*VLOOKUP('Données projet'!$B$9,Paramètres!$A$1:$I$89,3,0)*0.475*44/12</f>
        <v>#N/A</v>
      </c>
      <c r="AA91" s="23" t="e">
        <f>EXP(-LN(2)/25)*AA90+(1-EXP(-LN(2)/25))/(LN(2)/25)*Calculateur!V91*Calculateur!X91*VLOOKUP('Données projet'!$B$9,Paramètres!$A$1:$I$89,3,0)*0.475*44/12</f>
        <v>#N/A</v>
      </c>
      <c r="AB91" s="23" t="e">
        <f>EXP(-LN(2)/2)*AB90+(1-EXP(-LN(2)/2))/(LN(2)/2)*V91*Y91*VLOOKUP('Données projet'!$B$9,Paramètres!$A$1:$I$89,3,0)*0.475*44/12</f>
        <v>#N/A</v>
      </c>
      <c r="AC91" s="24" t="e">
        <f t="shared" si="57"/>
        <v>#N/A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0">
        <f t="shared" si="59"/>
        <v>850.52059698334892</v>
      </c>
      <c r="AN91" s="60">
        <f ca="1">AVERAGE(OFFSET($AM$3,0,0,'Données projet'!$E$10+1,1))-AVERAGE(OFFSET($H$3,0,0,'Données projet'!$E$10+1,1))</f>
        <v>428.8489304403459</v>
      </c>
      <c r="AO91" s="60">
        <f t="shared" si="90"/>
        <v>247.01165577562966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-3.4106051316484809E-13</v>
      </c>
      <c r="BE91" s="14">
        <f>BD91*VLOOKUP('Données projet'!$B$11,Paramètres!$A$1:$I$89,3,0)*VLOOKUP('Données projet'!$B$11,Paramètres!$A$1:$I$89,5,0)</f>
        <v>-1.9065282685915009E-13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374.79806286316051</v>
      </c>
      <c r="BJ91" s="60">
        <f t="shared" si="92"/>
        <v>350.01856672839466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4.4598408424996405</v>
      </c>
      <c r="BR91" s="23">
        <f>EXP(-LN(2)/2)*BR90+(1-EXP(-LN(2)/2))/(LN(2)/2)*BL91*BO91*VLOOKUP('Données projet'!$B$11,Paramètres!$A$1:$I$89,3,0)*0.475*44/12</f>
        <v>2.0503589961091625E-8</v>
      </c>
      <c r="BS91" s="24">
        <f t="shared" si="63"/>
        <v>4.4598408630032305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257.68704000000002</v>
      </c>
      <c r="CA91" s="14">
        <f t="shared" si="93"/>
        <v>62.229092239243343</v>
      </c>
      <c r="CB91" s="22">
        <f t="shared" si="64"/>
        <v>557.18726365001555</v>
      </c>
      <c r="CC91" s="60">
        <f t="shared" si="65"/>
        <v>850.52059698334892</v>
      </c>
      <c r="CD91" s="60">
        <f ca="1">AVERAGE(OFFSET($CC$3,0,0,'Données projet'!$E$12+1,1))-AVERAGE(OFFSET($H$3,0,0,'Données projet'!$E$12+1,1))</f>
        <v>428.8489304403459</v>
      </c>
      <c r="CE91" s="60">
        <f t="shared" si="94"/>
        <v>247.01165577562966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6.025641025641022</v>
      </c>
      <c r="CT91" s="13">
        <f>IF('Données projet'!$A$140&gt;35,CT90+CS91-DB90,IF(A91&lt;'Données projet'!$A$140,$CQ$205^A91,IF(A91='Données projet'!$A$140,'Données projet'!$B$140,CT90+CS91-DB90)))</f>
        <v>217.43589743589737</v>
      </c>
      <c r="CU91" s="18">
        <f>CT91*VLOOKUP('Données projet'!$B$13,Paramètres!$A$1:$I$89,3,0)*VLOOKUP('Données projet'!$B$13,Paramètres!$A$1:$I$89,5,0)</f>
        <v>206.91199999999995</v>
      </c>
      <c r="CV91" s="14">
        <f t="shared" si="95"/>
        <v>51.260199310045259</v>
      </c>
      <c r="CW91" s="22">
        <f t="shared" si="67"/>
        <v>449.64991379832867</v>
      </c>
      <c r="CX91" s="60">
        <f t="shared" si="68"/>
        <v>742.98324713166198</v>
      </c>
      <c r="CY91" s="60">
        <f ca="1">AVERAGE(OFFSET($CX$3,0,0,'Données projet'!$E$13+1,1))-AVERAGE(OFFSET($H$3,0,0,'Données projet'!$E$13+1,1))</f>
        <v>354.63118425028898</v>
      </c>
      <c r="CZ91" s="60">
        <f t="shared" si="96"/>
        <v>244.7141066773861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275.45855999999998</v>
      </c>
      <c r="DQ91" s="14">
        <f t="shared" si="97"/>
        <v>66.006360579066197</v>
      </c>
      <c r="DR91" s="22">
        <f t="shared" si="70"/>
        <v>594.71807000854017</v>
      </c>
      <c r="DS91" s="60">
        <f t="shared" si="71"/>
        <v>888.05140334187354</v>
      </c>
      <c r="DT91" s="60">
        <f ca="1">AVERAGE(OFFSET($DS$3,0,0,'Données projet'!$E$14+1,1))-AVERAGE(OFFSET($H$3,0,0,'Données projet'!$E$14+1,1))</f>
        <v>455.50822833641354</v>
      </c>
      <c r="DU91" s="60">
        <f t="shared" si="98"/>
        <v>261.14722581688039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207.03241199974599</v>
      </c>
      <c r="EP91" s="60">
        <f t="shared" si="100"/>
        <v>314.188568589113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4.2806964893770871</v>
      </c>
      <c r="EW91" s="23">
        <f>EXP(-LN(2)/25)*EW90+(1-EXP(-LN(2)/25))/(LN(2)/25)*Calculateur!ER91*Calculateur!ET91*VLOOKUP('Données projet'!$B$15,Paramètres!$A$1:$I$89,3,0)*0.475*44/12</f>
        <v>1.9524903960810294</v>
      </c>
      <c r="EX91" s="23">
        <f>EXP(-LN(2)/2)*EX90+(1-EXP(-LN(2)/2))/(LN(2)/2)*ER91*EU91*VLOOKUP('Données projet'!$B$15,Paramètres!$A$1:$I$89,3,0)*0.475*44/12</f>
        <v>5.4471710639313046E-9</v>
      </c>
      <c r="EY91" s="24">
        <f t="shared" si="75"/>
        <v>6.2331868909052872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 t="e">
        <f>N92*VLOOKUP('Données projet'!$B$9,Paramètres!$A$1:$I$89,3,0)*VLOOKUP('Données projet'!$B$9,Paramètres!$A$1:$I$89,5,0)</f>
        <v>#N/A</v>
      </c>
      <c r="P92" s="14" t="e">
        <f t="shared" si="87"/>
        <v>#N/A</v>
      </c>
      <c r="Q92" s="22" t="e">
        <f t="shared" si="54"/>
        <v>#N/A</v>
      </c>
      <c r="R92" s="60" t="e">
        <f t="shared" si="55"/>
        <v>#N/A</v>
      </c>
      <c r="S92" s="60" t="e">
        <f ca="1">AVERAGE(OFFSET($R$3,0,0,'Données projet'!$E$9+1,1))-AVERAGE(OFFSET($H$3,0,0,'Données projet'!$E$9+1,1))</f>
        <v>#N/A</v>
      </c>
      <c r="T92" s="60" t="e">
        <f t="shared" si="88"/>
        <v>#N/A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 t="e">
        <f>EXP(-LN(2)/35)*Z91+(1-EXP(-LN(2)/35))/(LN(2)/35)*V92*W92*VLOOKUP('Données projet'!$B$9,Paramètres!$A$1:$I$89,3,0)*0.475*44/12</f>
        <v>#N/A</v>
      </c>
      <c r="AA92" s="23" t="e">
        <f>EXP(-LN(2)/25)*AA91+(1-EXP(-LN(2)/25))/(LN(2)/25)*Calculateur!V92*Calculateur!X92*VLOOKUP('Données projet'!$B$9,Paramètres!$A$1:$I$89,3,0)*0.475*44/12</f>
        <v>#N/A</v>
      </c>
      <c r="AB92" s="23" t="e">
        <f>EXP(-LN(2)/2)*AB91+(1-EXP(-LN(2)/2))/(LN(2)/2)*V92*Y92*VLOOKUP('Données projet'!$B$9,Paramètres!$A$1:$I$89,3,0)*0.475*44/12</f>
        <v>#N/A</v>
      </c>
      <c r="AC92" s="24" t="e">
        <f t="shared" si="57"/>
        <v>#N/A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0">
        <f t="shared" si="59"/>
        <v>861.22632540732775</v>
      </c>
      <c r="AN92" s="60">
        <f ca="1">AVERAGE(OFFSET($AM$3,0,0,'Données projet'!$E$10+1,1))-AVERAGE(OFFSET($H$3,0,0,'Données projet'!$E$10+1,1))</f>
        <v>428.8489304403459</v>
      </c>
      <c r="AO92" s="60">
        <f t="shared" si="90"/>
        <v>247.01165577562966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-3.4106051316484809E-13</v>
      </c>
      <c r="BE92" s="14">
        <f>BD92*VLOOKUP('Données projet'!$B$11,Paramètres!$A$1:$I$89,3,0)*VLOOKUP('Données projet'!$B$11,Paramètres!$A$1:$I$89,5,0)</f>
        <v>-1.9065282685915009E-13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374.79806286316051</v>
      </c>
      <c r="BJ92" s="60">
        <f t="shared" si="92"/>
        <v>350.01856672839466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4.3378862601286512</v>
      </c>
      <c r="BR92" s="23">
        <f>EXP(-LN(2)/2)*BR91+(1-EXP(-LN(2)/2))/(LN(2)/2)*BL92*BO92*VLOOKUP('Données projet'!$B$11,Paramètres!$A$1:$I$89,3,0)*0.475*44/12</f>
        <v>1.4498227500156309E-8</v>
      </c>
      <c r="BS92" s="24">
        <f t="shared" si="63"/>
        <v>4.3378862746268787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262.75392000000005</v>
      </c>
      <c r="CA92" s="14">
        <f t="shared" si="93"/>
        <v>63.309041956360382</v>
      </c>
      <c r="CB92" s="22">
        <f t="shared" si="64"/>
        <v>567.89299207399438</v>
      </c>
      <c r="CC92" s="60">
        <f t="shared" si="65"/>
        <v>861.22632540732775</v>
      </c>
      <c r="CD92" s="60">
        <f ca="1">AVERAGE(OFFSET($CC$3,0,0,'Données projet'!$E$12+1,1))-AVERAGE(OFFSET($H$3,0,0,'Données projet'!$E$12+1,1))</f>
        <v>428.8489304403459</v>
      </c>
      <c r="CE92" s="60">
        <f t="shared" si="94"/>
        <v>247.01165577562966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6.025641025641022</v>
      </c>
      <c r="CT92" s="13">
        <f>IF('Données projet'!$A$140&gt;35,CT91+CS92-DB91,IF(A92&lt;'Données projet'!$A$140,$CQ$205^A92,IF(A92='Données projet'!$A$140,'Données projet'!$B$140,CT91+CS92-DB91)))</f>
        <v>223.4615384615384</v>
      </c>
      <c r="CU92" s="18">
        <f>CT92*VLOOKUP('Données projet'!$B$13,Paramètres!$A$1:$I$89,3,0)*VLOOKUP('Données projet'!$B$13,Paramètres!$A$1:$I$89,5,0)</f>
        <v>212.64599999999993</v>
      </c>
      <c r="CV92" s="14">
        <f t="shared" si="95"/>
        <v>52.5133812272014</v>
      </c>
      <c r="CW92" s="22">
        <f t="shared" si="67"/>
        <v>461.81925563737559</v>
      </c>
      <c r="CX92" s="60">
        <f t="shared" si="68"/>
        <v>755.15258897070885</v>
      </c>
      <c r="CY92" s="60">
        <f ca="1">AVERAGE(OFFSET($CX$3,0,0,'Données projet'!$E$13+1,1))-AVERAGE(OFFSET($H$3,0,0,'Données projet'!$E$13+1,1))</f>
        <v>354.63118425028898</v>
      </c>
      <c r="CZ92" s="60">
        <f t="shared" si="96"/>
        <v>244.7141066773861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280.87488000000008</v>
      </c>
      <c r="DQ92" s="14">
        <f t="shared" si="97"/>
        <v>67.151862592195855</v>
      </c>
      <c r="DR92" s="22">
        <f t="shared" si="70"/>
        <v>606.14657668140785</v>
      </c>
      <c r="DS92" s="60">
        <f t="shared" si="71"/>
        <v>899.47991001474111</v>
      </c>
      <c r="DT92" s="60">
        <f ca="1">AVERAGE(OFFSET($DS$3,0,0,'Données projet'!$E$14+1,1))-AVERAGE(OFFSET($H$3,0,0,'Données projet'!$E$14+1,1))</f>
        <v>455.50822833641354</v>
      </c>
      <c r="DU92" s="60">
        <f t="shared" si="98"/>
        <v>261.14722581688039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207.03241199974599</v>
      </c>
      <c r="EP92" s="60">
        <f t="shared" si="100"/>
        <v>314.188568589113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4.1967546421874493</v>
      </c>
      <c r="EW92" s="23">
        <f>EXP(-LN(2)/25)*EW91+(1-EXP(-LN(2)/25))/(LN(2)/25)*Calculateur!ER92*Calculateur!ET92*VLOOKUP('Données projet'!$B$15,Paramètres!$A$1:$I$89,3,0)*0.475*44/12</f>
        <v>1.8990994435231863</v>
      </c>
      <c r="EX92" s="23">
        <f>EXP(-LN(2)/2)*EX91+(1-EXP(-LN(2)/2))/(LN(2)/2)*ER92*EU92*VLOOKUP('Données projet'!$B$15,Paramètres!$A$1:$I$89,3,0)*0.475*44/12</f>
        <v>3.8517315975889662E-9</v>
      </c>
      <c r="EY92" s="24">
        <f t="shared" si="75"/>
        <v>6.0958540895623674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 t="e">
        <f>N93*VLOOKUP('Données projet'!$B$9,Paramètres!$A$1:$I$89,3,0)*VLOOKUP('Données projet'!$B$9,Paramètres!$A$1:$I$89,5,0)</f>
        <v>#N/A</v>
      </c>
      <c r="P93" s="14" t="e">
        <f t="shared" si="87"/>
        <v>#N/A</v>
      </c>
      <c r="Q93" s="22" t="e">
        <f t="shared" si="54"/>
        <v>#N/A</v>
      </c>
      <c r="R93" s="60" t="e">
        <f t="shared" si="55"/>
        <v>#N/A</v>
      </c>
      <c r="S93" s="60" t="e">
        <f ca="1">AVERAGE(OFFSET($R$3,0,0,'Données projet'!$E$9+1,1))-AVERAGE(OFFSET($H$3,0,0,'Données projet'!$E$9+1,1))</f>
        <v>#N/A</v>
      </c>
      <c r="T93" s="60" t="e">
        <f t="shared" si="88"/>
        <v>#N/A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 t="e">
        <f>EXP(-LN(2)/35)*Z92+(1-EXP(-LN(2)/35))/(LN(2)/35)*V93*W93*VLOOKUP('Données projet'!$B$9,Paramètres!$A$1:$I$89,3,0)*0.475*44/12</f>
        <v>#N/A</v>
      </c>
      <c r="AA93" s="23" t="e">
        <f>EXP(-LN(2)/25)*AA92+(1-EXP(-LN(2)/25))/(LN(2)/25)*Calculateur!V93*Calculateur!X93*VLOOKUP('Données projet'!$B$9,Paramètres!$A$1:$I$89,3,0)*0.475*44/12</f>
        <v>#N/A</v>
      </c>
      <c r="AB93" s="23" t="e">
        <f>EXP(-LN(2)/2)*AB92+(1-EXP(-LN(2)/2))/(LN(2)/2)*V93*Y93*VLOOKUP('Données projet'!$B$9,Paramètres!$A$1:$I$89,3,0)*0.475*44/12</f>
        <v>#N/A</v>
      </c>
      <c r="AC93" s="24" t="e">
        <f t="shared" si="57"/>
        <v>#N/A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0">
        <f t="shared" si="59"/>
        <v>871.92783634092143</v>
      </c>
      <c r="AN93" s="60">
        <f ca="1">AVERAGE(OFFSET($AM$3,0,0,'Données projet'!$E$10+1,1))-AVERAGE(OFFSET($H$3,0,0,'Données projet'!$E$10+1,1))</f>
        <v>428.8489304403459</v>
      </c>
      <c r="AO93" s="60">
        <f t="shared" si="90"/>
        <v>247.01165577562966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-3.4106051316484809E-13</v>
      </c>
      <c r="BE93" s="14">
        <f>BD93*VLOOKUP('Données projet'!$B$11,Paramètres!$A$1:$I$89,3,0)*VLOOKUP('Données projet'!$B$11,Paramètres!$A$1:$I$89,5,0)</f>
        <v>-1.9065282685915009E-13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374.79806286316051</v>
      </c>
      <c r="BJ93" s="60">
        <f t="shared" si="92"/>
        <v>350.01856672839466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4.2192665322259089</v>
      </c>
      <c r="BR93" s="23">
        <f>EXP(-LN(2)/2)*BR92+(1-EXP(-LN(2)/2))/(LN(2)/2)*BL93*BO93*VLOOKUP('Données projet'!$B$11,Paramètres!$A$1:$I$89,3,0)*0.475*44/12</f>
        <v>1.0251794980545814E-8</v>
      </c>
      <c r="BS93" s="24">
        <f t="shared" si="63"/>
        <v>4.2192665424777038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267.82080000000008</v>
      </c>
      <c r="CA93" s="14">
        <f t="shared" si="93"/>
        <v>64.386570147897373</v>
      </c>
      <c r="CB93" s="22">
        <f t="shared" si="64"/>
        <v>578.59450300758806</v>
      </c>
      <c r="CC93" s="60">
        <f t="shared" si="65"/>
        <v>871.92783634092143</v>
      </c>
      <c r="CD93" s="60">
        <f ca="1">AVERAGE(OFFSET($CC$3,0,0,'Données projet'!$E$12+1,1))-AVERAGE(OFFSET($H$3,0,0,'Données projet'!$E$12+1,1))</f>
        <v>428.8489304403459</v>
      </c>
      <c r="CE93" s="60">
        <f t="shared" si="94"/>
        <v>247.01165577562966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229.48717948717947</v>
      </c>
      <c r="CR93" s="13">
        <f>VLOOKUP(A93,'Données projet'!$A$139:$I$159,9,0)</f>
        <v>6.025641025641022</v>
      </c>
      <c r="CS93" s="13">
        <f t="array" ref="CS93">INDEX(CR:CR,MIN(IF(ISNUMBER(CR93:CR289),ROW(CR93:CR289),"")))</f>
        <v>6.025641025641022</v>
      </c>
      <c r="CT93" s="13">
        <f>IF('Données projet'!$A$140&gt;35,CT92+CS93-DB92,IF(A93&lt;'Données projet'!$A$140,$CQ$205^A93,IF(A93='Données projet'!$A$140,'Données projet'!$B$140,CT92+CS93-DB92)))</f>
        <v>229.48717948717942</v>
      </c>
      <c r="CU93" s="18">
        <f>CT93*VLOOKUP('Données projet'!$B$13,Paramètres!$A$1:$I$89,3,0)*VLOOKUP('Données projet'!$B$13,Paramètres!$A$1:$I$89,5,0)</f>
        <v>218.37999999999994</v>
      </c>
      <c r="CV93" s="14">
        <f t="shared" si="95"/>
        <v>53.762635412761199</v>
      </c>
      <c r="CW93" s="22">
        <f t="shared" si="67"/>
        <v>473.98175667722558</v>
      </c>
      <c r="CX93" s="60">
        <f t="shared" si="68"/>
        <v>767.31509001055883</v>
      </c>
      <c r="CY93" s="60">
        <f ca="1">AVERAGE(OFFSET($CX$3,0,0,'Données projet'!$E$13+1,1))-AVERAGE(OFFSET($H$3,0,0,'Données projet'!$E$13+1,1))</f>
        <v>354.63118425028898</v>
      </c>
      <c r="CZ93" s="60">
        <f t="shared" si="96"/>
        <v>244.7141066773861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286.29120000000006</v>
      </c>
      <c r="DQ93" s="14">
        <f t="shared" si="97"/>
        <v>68.294796094604408</v>
      </c>
      <c r="DR93" s="22">
        <f t="shared" si="70"/>
        <v>617.57060986476938</v>
      </c>
      <c r="DS93" s="60">
        <f t="shared" si="71"/>
        <v>910.90394319810275</v>
      </c>
      <c r="DT93" s="60">
        <f ca="1">AVERAGE(OFFSET($DS$3,0,0,'Données projet'!$E$14+1,1))-AVERAGE(OFFSET($H$3,0,0,'Données projet'!$E$14+1,1))</f>
        <v>455.50822833641354</v>
      </c>
      <c r="DU93" s="60">
        <f t="shared" si="98"/>
        <v>261.14722581688039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207.03241199974599</v>
      </c>
      <c r="EP93" s="60">
        <f t="shared" si="100"/>
        <v>314.188568589113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4.1144588434217289</v>
      </c>
      <c r="EW93" s="23">
        <f>EXP(-LN(2)/25)*EW92+(1-EXP(-LN(2)/25))/(LN(2)/25)*Calculateur!ER93*Calculateur!ET93*VLOOKUP('Données projet'!$B$15,Paramètres!$A$1:$I$89,3,0)*0.475*44/12</f>
        <v>1.8471684693707455</v>
      </c>
      <c r="EX93" s="23">
        <f>EXP(-LN(2)/2)*EX92+(1-EXP(-LN(2)/2))/(LN(2)/2)*ER93*EU93*VLOOKUP('Données projet'!$B$15,Paramètres!$A$1:$I$89,3,0)*0.475*44/12</f>
        <v>2.7235855319656523E-9</v>
      </c>
      <c r="EY93" s="24">
        <f t="shared" si="75"/>
        <v>5.9616273155160604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 t="e">
        <f>N94*VLOOKUP('Données projet'!$B$9,Paramètres!$A$1:$I$89,3,0)*VLOOKUP('Données projet'!$B$9,Paramètres!$A$1:$I$89,5,0)</f>
        <v>#N/A</v>
      </c>
      <c r="P94" s="14" t="e">
        <f t="shared" si="87"/>
        <v>#N/A</v>
      </c>
      <c r="Q94" s="22" t="e">
        <f t="shared" si="54"/>
        <v>#N/A</v>
      </c>
      <c r="R94" s="60" t="e">
        <f t="shared" si="55"/>
        <v>#N/A</v>
      </c>
      <c r="S94" s="60" t="e">
        <f ca="1">AVERAGE(OFFSET($R$3,0,0,'Données projet'!$E$9+1,1))-AVERAGE(OFFSET($H$3,0,0,'Données projet'!$E$9+1,1))</f>
        <v>#N/A</v>
      </c>
      <c r="T94" s="60" t="e">
        <f t="shared" si="88"/>
        <v>#N/A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 t="e">
        <f>EXP(-LN(2)/35)*Z93+(1-EXP(-LN(2)/35))/(LN(2)/35)*V94*W94*VLOOKUP('Données projet'!$B$9,Paramètres!$A$1:$I$89,3,0)*0.475*44/12</f>
        <v>#N/A</v>
      </c>
      <c r="AA94" s="23" t="e">
        <f>EXP(-LN(2)/25)*AA93+(1-EXP(-LN(2)/25))/(LN(2)/25)*Calculateur!V94*Calculateur!X94*VLOOKUP('Données projet'!$B$9,Paramètres!$A$1:$I$89,3,0)*0.475*44/12</f>
        <v>#N/A</v>
      </c>
      <c r="AB94" s="23" t="e">
        <f>EXP(-LN(2)/2)*AB93+(1-EXP(-LN(2)/2))/(LN(2)/2)*V94*Y94*VLOOKUP('Données projet'!$B$9,Paramètres!$A$1:$I$89,3,0)*0.475*44/12</f>
        <v>#N/A</v>
      </c>
      <c r="AC94" s="24" t="e">
        <f t="shared" si="57"/>
        <v>#N/A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0">
        <f t="shared" si="59"/>
        <v>800.94897376928998</v>
      </c>
      <c r="AN94" s="60">
        <f ca="1">AVERAGE(OFFSET($AM$3,0,0,'Données projet'!$E$10+1,1))-AVERAGE(OFFSET($H$3,0,0,'Données projet'!$E$10+1,1))</f>
        <v>428.8489304403459</v>
      </c>
      <c r="AO94" s="60">
        <f t="shared" si="90"/>
        <v>247.01165577562966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-3.4106051316484809E-13</v>
      </c>
      <c r="BE94" s="14">
        <f>BD94*VLOOKUP('Données projet'!$B$11,Paramètres!$A$1:$I$89,3,0)*VLOOKUP('Données projet'!$B$11,Paramètres!$A$1:$I$89,5,0)</f>
        <v>-1.9065282685915009E-13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374.79806286316051</v>
      </c>
      <c r="BJ94" s="60">
        <f t="shared" si="92"/>
        <v>350.01856672839466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4.1038904670206078</v>
      </c>
      <c r="BR94" s="23">
        <f>EXP(-LN(2)/2)*BR93+(1-EXP(-LN(2)/2))/(LN(2)/2)*BL94*BO94*VLOOKUP('Données projet'!$B$11,Paramètres!$A$1:$I$89,3,0)*0.475*44/12</f>
        <v>7.2491137500781561E-9</v>
      </c>
      <c r="BS94" s="24">
        <f t="shared" si="63"/>
        <v>4.1038904742697211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234.25272000000001</v>
      </c>
      <c r="CA94" s="14">
        <f t="shared" si="93"/>
        <v>57.201236231171301</v>
      </c>
      <c r="CB94" s="22">
        <f t="shared" si="64"/>
        <v>507.61564043595672</v>
      </c>
      <c r="CC94" s="60">
        <f t="shared" si="65"/>
        <v>800.94897376928998</v>
      </c>
      <c r="CD94" s="60">
        <f ca="1">AVERAGE(OFFSET($CC$3,0,0,'Données projet'!$E$12+1,1))-AVERAGE(OFFSET($H$3,0,0,'Données projet'!$E$12+1,1))</f>
        <v>428.8489304403459</v>
      </c>
      <c r="CE94" s="60">
        <f t="shared" si="94"/>
        <v>247.01165577562966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0.89743589743590069</v>
      </c>
      <c r="CT94" s="13">
        <f>IF('Données projet'!$A$140&gt;35,CT93+CS94-DB93,IF(A94&lt;'Données projet'!$A$140,$CQ$205^A94,IF(A94='Données projet'!$A$140,'Données projet'!$B$140,CT93+CS94-DB93)))</f>
        <v>230.38461538461533</v>
      </c>
      <c r="CU94" s="18">
        <f>CT94*VLOOKUP('Données projet'!$B$13,Paramètres!$A$1:$I$89,3,0)*VLOOKUP('Données projet'!$B$13,Paramètres!$A$1:$I$89,5,0)</f>
        <v>219.23399999999992</v>
      </c>
      <c r="CV94" s="14">
        <f t="shared" si="95"/>
        <v>53.948365624369728</v>
      </c>
      <c r="CW94" s="22">
        <f t="shared" si="67"/>
        <v>475.7926201291105</v>
      </c>
      <c r="CX94" s="60">
        <f t="shared" si="68"/>
        <v>769.12595346244382</v>
      </c>
      <c r="CY94" s="60">
        <f ca="1">AVERAGE(OFFSET($CX$3,0,0,'Données projet'!$E$13+1,1))-AVERAGE(OFFSET($H$3,0,0,'Données projet'!$E$13+1,1))</f>
        <v>354.63118425028898</v>
      </c>
      <c r="CZ94" s="60">
        <f t="shared" si="96"/>
        <v>244.7141066773861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250.40808000000004</v>
      </c>
      <c r="DQ94" s="14">
        <f t="shared" si="97"/>
        <v>60.67331674592576</v>
      </c>
      <c r="DR94" s="22">
        <f t="shared" si="70"/>
        <v>541.80009933248743</v>
      </c>
      <c r="DS94" s="60">
        <f t="shared" si="71"/>
        <v>835.13343266582069</v>
      </c>
      <c r="DT94" s="60">
        <f ca="1">AVERAGE(OFFSET($DS$3,0,0,'Données projet'!$E$14+1,1))-AVERAGE(OFFSET($H$3,0,0,'Données projet'!$E$14+1,1))</f>
        <v>455.50822833641354</v>
      </c>
      <c r="DU94" s="60">
        <f t="shared" si="98"/>
        <v>261.14722581688039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207.03241199974599</v>
      </c>
      <c r="EP94" s="60">
        <f t="shared" si="100"/>
        <v>314.188568589113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4.0337768150743232</v>
      </c>
      <c r="EW94" s="23">
        <f>EXP(-LN(2)/25)*EW93+(1-EXP(-LN(2)/25))/(LN(2)/25)*Calculateur!ER94*Calculateur!ET94*VLOOKUP('Données projet'!$B$15,Paramètres!$A$1:$I$89,3,0)*0.475*44/12</f>
        <v>1.7966575504374345</v>
      </c>
      <c r="EX94" s="23">
        <f>EXP(-LN(2)/2)*EX93+(1-EXP(-LN(2)/2))/(LN(2)/2)*ER94*EU94*VLOOKUP('Données projet'!$B$15,Paramètres!$A$1:$I$89,3,0)*0.475*44/12</f>
        <v>1.9258657987944831E-9</v>
      </c>
      <c r="EY94" s="24">
        <f t="shared" si="75"/>
        <v>5.8304343674376238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 t="e">
        <f>N95*VLOOKUP('Données projet'!$B$9,Paramètres!$A$1:$I$89,3,0)*VLOOKUP('Données projet'!$B$9,Paramètres!$A$1:$I$89,5,0)</f>
        <v>#N/A</v>
      </c>
      <c r="P95" s="14" t="e">
        <f t="shared" si="87"/>
        <v>#N/A</v>
      </c>
      <c r="Q95" s="22" t="e">
        <f t="shared" si="54"/>
        <v>#N/A</v>
      </c>
      <c r="R95" s="60" t="e">
        <f t="shared" si="55"/>
        <v>#N/A</v>
      </c>
      <c r="S95" s="60" t="e">
        <f ca="1">AVERAGE(OFFSET($R$3,0,0,'Données projet'!$E$9+1,1))-AVERAGE(OFFSET($H$3,0,0,'Données projet'!$E$9+1,1))</f>
        <v>#N/A</v>
      </c>
      <c r="T95" s="60" t="e">
        <f t="shared" si="88"/>
        <v>#N/A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 t="e">
        <f>EXP(-LN(2)/35)*Z94+(1-EXP(-LN(2)/35))/(LN(2)/35)*V95*W95*VLOOKUP('Données projet'!$B$9,Paramètres!$A$1:$I$89,3,0)*0.475*44/12</f>
        <v>#N/A</v>
      </c>
      <c r="AA95" s="23" t="e">
        <f>EXP(-LN(2)/25)*AA94+(1-EXP(-LN(2)/25))/(LN(2)/25)*Calculateur!V95*Calculateur!X95*VLOOKUP('Données projet'!$B$9,Paramètres!$A$1:$I$89,3,0)*0.475*44/12</f>
        <v>#N/A</v>
      </c>
      <c r="AB95" s="23" t="e">
        <f>EXP(-LN(2)/2)*AB94+(1-EXP(-LN(2)/2))/(LN(2)/2)*V95*Y95*VLOOKUP('Données projet'!$B$9,Paramètres!$A$1:$I$89,3,0)*0.475*44/12</f>
        <v>#N/A</v>
      </c>
      <c r="AC95" s="24" t="e">
        <f t="shared" si="57"/>
        <v>#N/A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0">
        <f t="shared" si="59"/>
        <v>810.33492368208931</v>
      </c>
      <c r="AN95" s="60">
        <f ca="1">AVERAGE(OFFSET($AM$3,0,0,'Données projet'!$E$10+1,1))-AVERAGE(OFFSET($H$3,0,0,'Données projet'!$E$10+1,1))</f>
        <v>428.8489304403459</v>
      </c>
      <c r="AO95" s="60">
        <f t="shared" si="90"/>
        <v>247.01165577562966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-3.4106051316484809E-13</v>
      </c>
      <c r="BE95" s="14">
        <f>BD95*VLOOKUP('Données projet'!$B$11,Paramètres!$A$1:$I$89,3,0)*VLOOKUP('Données projet'!$B$11,Paramètres!$A$1:$I$89,5,0)</f>
        <v>-1.9065282685915009E-13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374.79806286316051</v>
      </c>
      <c r="BJ95" s="60">
        <f t="shared" si="92"/>
        <v>350.01856672839466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3.9916693663857092</v>
      </c>
      <c r="BR95" s="23">
        <f>EXP(-LN(2)/2)*BR94+(1-EXP(-LN(2)/2))/(LN(2)/2)*BL95*BO95*VLOOKUP('Données projet'!$B$11,Paramètres!$A$1:$I$89,3,0)*0.475*44/12</f>
        <v>5.125897490272908E-9</v>
      </c>
      <c r="BS95" s="24">
        <f t="shared" si="63"/>
        <v>3.9916693715116067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238.68624</v>
      </c>
      <c r="CA95" s="14">
        <f t="shared" si="93"/>
        <v>58.156778382060871</v>
      </c>
      <c r="CB95" s="22">
        <f t="shared" si="64"/>
        <v>517.00159034875594</v>
      </c>
      <c r="CC95" s="60">
        <f t="shared" si="65"/>
        <v>810.33492368208931</v>
      </c>
      <c r="CD95" s="60">
        <f ca="1">AVERAGE(OFFSET($CC$3,0,0,'Données projet'!$E$12+1,1))-AVERAGE(OFFSET($H$3,0,0,'Données projet'!$E$12+1,1))</f>
        <v>428.8489304403459</v>
      </c>
      <c r="CE95" s="60">
        <f t="shared" si="94"/>
        <v>247.01165577562966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0.89743589743590069</v>
      </c>
      <c r="CT95" s="13">
        <f>IF('Données projet'!$A$140&gt;35,CT94+CS95-DB94,IF(A95&lt;'Données projet'!$A$140,$CQ$205^A95,IF(A95='Données projet'!$A$140,'Données projet'!$B$140,CT94+CS95-DB94)))</f>
        <v>231.28205128205124</v>
      </c>
      <c r="CU95" s="18">
        <f>CT95*VLOOKUP('Données projet'!$B$13,Paramètres!$A$1:$I$89,3,0)*VLOOKUP('Données projet'!$B$13,Paramètres!$A$1:$I$89,5,0)</f>
        <v>220.08799999999997</v>
      </c>
      <c r="CV95" s="14">
        <f t="shared" si="95"/>
        <v>54.134011640609543</v>
      </c>
      <c r="CW95" s="22">
        <f t="shared" si="67"/>
        <v>477.60333694072818</v>
      </c>
      <c r="CX95" s="60">
        <f t="shared" si="68"/>
        <v>770.9366702740615</v>
      </c>
      <c r="CY95" s="60">
        <f ca="1">AVERAGE(OFFSET($CX$3,0,0,'Données projet'!$E$13+1,1))-AVERAGE(OFFSET($H$3,0,0,'Données projet'!$E$13+1,1))</f>
        <v>354.63118425028898</v>
      </c>
      <c r="CZ95" s="60">
        <f t="shared" si="96"/>
        <v>244.7141066773861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255.14736000000002</v>
      </c>
      <c r="DQ95" s="14">
        <f t="shared" si="97"/>
        <v>61.686859728645651</v>
      </c>
      <c r="DR95" s="22">
        <f t="shared" si="70"/>
        <v>551.81959936072451</v>
      </c>
      <c r="DS95" s="60">
        <f t="shared" si="71"/>
        <v>845.15293269405788</v>
      </c>
      <c r="DT95" s="60">
        <f ca="1">AVERAGE(OFFSET($DS$3,0,0,'Données projet'!$E$14+1,1))-AVERAGE(OFFSET($H$3,0,0,'Données projet'!$E$14+1,1))</f>
        <v>455.50822833641354</v>
      </c>
      <c r="DU95" s="60">
        <f t="shared" si="98"/>
        <v>261.14722581688039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207.03241199974599</v>
      </c>
      <c r="EP95" s="60">
        <f t="shared" si="100"/>
        <v>314.188568589113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3.9546769120916325</v>
      </c>
      <c r="EW95" s="23">
        <f>EXP(-LN(2)/25)*EW94+(1-EXP(-LN(2)/25))/(LN(2)/25)*Calculateur!ER95*Calculateur!ET95*VLOOKUP('Données projet'!$B$15,Paramètres!$A$1:$I$89,3,0)*0.475*44/12</f>
        <v>1.7475278552386087</v>
      </c>
      <c r="EX95" s="23">
        <f>EXP(-LN(2)/2)*EX94+(1-EXP(-LN(2)/2))/(LN(2)/2)*ER95*EU95*VLOOKUP('Données projet'!$B$15,Paramètres!$A$1:$I$89,3,0)*0.475*44/12</f>
        <v>1.3617927659828261E-9</v>
      </c>
      <c r="EY95" s="24">
        <f t="shared" si="75"/>
        <v>5.7022047686920336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 t="e">
        <f>N96*VLOOKUP('Données projet'!$B$9,Paramètres!$A$1:$I$89,3,0)*VLOOKUP('Données projet'!$B$9,Paramètres!$A$1:$I$89,5,0)</f>
        <v>#N/A</v>
      </c>
      <c r="P96" s="14" t="e">
        <f t="shared" si="87"/>
        <v>#N/A</v>
      </c>
      <c r="Q96" s="22" t="e">
        <f t="shared" si="54"/>
        <v>#N/A</v>
      </c>
      <c r="R96" s="60" t="e">
        <f t="shared" si="55"/>
        <v>#N/A</v>
      </c>
      <c r="S96" s="60" t="e">
        <f ca="1">AVERAGE(OFFSET($R$3,0,0,'Données projet'!$E$9+1,1))-AVERAGE(OFFSET($H$3,0,0,'Données projet'!$E$9+1,1))</f>
        <v>#N/A</v>
      </c>
      <c r="T96" s="60" t="e">
        <f t="shared" si="88"/>
        <v>#N/A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 t="e">
        <f>EXP(-LN(2)/35)*Z95+(1-EXP(-LN(2)/35))/(LN(2)/35)*V96*W96*VLOOKUP('Données projet'!$B$9,Paramètres!$A$1:$I$89,3,0)*0.475*44/12</f>
        <v>#N/A</v>
      </c>
      <c r="AA96" s="23" t="e">
        <f>EXP(-LN(2)/25)*AA95+(1-EXP(-LN(2)/25))/(LN(2)/25)*Calculateur!V96*Calculateur!X96*VLOOKUP('Données projet'!$B$9,Paramètres!$A$1:$I$89,3,0)*0.475*44/12</f>
        <v>#N/A</v>
      </c>
      <c r="AB96" s="23" t="e">
        <f>EXP(-LN(2)/2)*AB95+(1-EXP(-LN(2)/2))/(LN(2)/2)*V96*Y96*VLOOKUP('Données projet'!$B$9,Paramètres!$A$1:$I$89,3,0)*0.475*44/12</f>
        <v>#N/A</v>
      </c>
      <c r="AC96" s="24" t="e">
        <f t="shared" si="57"/>
        <v>#N/A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0">
        <f t="shared" si="59"/>
        <v>819.71727903145597</v>
      </c>
      <c r="AN96" s="60">
        <f ca="1">AVERAGE(OFFSET($AM$3,0,0,'Données projet'!$E$10+1,1))-AVERAGE(OFFSET($H$3,0,0,'Données projet'!$E$10+1,1))</f>
        <v>428.8489304403459</v>
      </c>
      <c r="AO96" s="60">
        <f t="shared" si="90"/>
        <v>247.01165577562966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-3.4106051316484809E-13</v>
      </c>
      <c r="BE96" s="14">
        <f>BD96*VLOOKUP('Données projet'!$B$11,Paramètres!$A$1:$I$89,3,0)*VLOOKUP('Données projet'!$B$11,Paramètres!$A$1:$I$89,5,0)</f>
        <v>-1.9065282685915009E-13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374.79806286316051</v>
      </c>
      <c r="BJ96" s="60">
        <f t="shared" si="92"/>
        <v>350.01856672839466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3.882516957649123</v>
      </c>
      <c r="BR96" s="23">
        <f>EXP(-LN(2)/2)*BR95+(1-EXP(-LN(2)/2))/(LN(2)/2)*BL96*BO96*VLOOKUP('Données projet'!$B$11,Paramètres!$A$1:$I$89,3,0)*0.475*44/12</f>
        <v>3.6245568750390785E-9</v>
      </c>
      <c r="BS96" s="24">
        <f t="shared" si="63"/>
        <v>3.8825169612736796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243.11975999999996</v>
      </c>
      <c r="CA96" s="14">
        <f t="shared" si="93"/>
        <v>59.110256668778533</v>
      </c>
      <c r="CB96" s="22">
        <f t="shared" si="64"/>
        <v>526.3839456981226</v>
      </c>
      <c r="CC96" s="60">
        <f t="shared" si="65"/>
        <v>819.71727903145597</v>
      </c>
      <c r="CD96" s="60">
        <f ca="1">AVERAGE(OFFSET($CC$3,0,0,'Données projet'!$E$12+1,1))-AVERAGE(OFFSET($H$3,0,0,'Données projet'!$E$12+1,1))</f>
        <v>428.8489304403459</v>
      </c>
      <c r="CE96" s="60">
        <f t="shared" si="94"/>
        <v>247.01165577562966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0.89743589743590069</v>
      </c>
      <c r="CT96" s="13">
        <f>IF('Données projet'!$A$140&gt;35,CT95+CS96-DB95,IF(A96&lt;'Données projet'!$A$140,$CQ$205^A96,IF(A96='Données projet'!$A$140,'Données projet'!$B$140,CT95+CS96-DB95)))</f>
        <v>232.17948717948715</v>
      </c>
      <c r="CU96" s="18">
        <f>CT96*VLOOKUP('Données projet'!$B$13,Paramètres!$A$1:$I$89,3,0)*VLOOKUP('Données projet'!$B$13,Paramètres!$A$1:$I$89,5,0)</f>
        <v>220.94200000000001</v>
      </c>
      <c r="CV96" s="14">
        <f t="shared" si="95"/>
        <v>54.319573826128568</v>
      </c>
      <c r="CW96" s="22">
        <f t="shared" si="67"/>
        <v>479.41390774717394</v>
      </c>
      <c r="CX96" s="60">
        <f t="shared" si="68"/>
        <v>772.74724108050725</v>
      </c>
      <c r="CY96" s="60">
        <f ca="1">AVERAGE(OFFSET($CX$3,0,0,'Données projet'!$E$13+1,1))-AVERAGE(OFFSET($H$3,0,0,'Données projet'!$E$13+1,1))</f>
        <v>354.63118425028898</v>
      </c>
      <c r="CZ96" s="60">
        <f t="shared" si="96"/>
        <v>244.7141066773861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259.88664</v>
      </c>
      <c r="DQ96" s="14">
        <f t="shared" si="97"/>
        <v>62.698213571884004</v>
      </c>
      <c r="DR96" s="22">
        <f t="shared" si="70"/>
        <v>561.835286637698</v>
      </c>
      <c r="DS96" s="60">
        <f t="shared" si="71"/>
        <v>855.16861997103138</v>
      </c>
      <c r="DT96" s="60">
        <f ca="1">AVERAGE(OFFSET($DS$3,0,0,'Données projet'!$E$14+1,1))-AVERAGE(OFFSET($H$3,0,0,'Données projet'!$E$14+1,1))</f>
        <v>455.50822833641354</v>
      </c>
      <c r="DU96" s="60">
        <f t="shared" si="98"/>
        <v>261.14722581688039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207.03241199974599</v>
      </c>
      <c r="EP96" s="60">
        <f t="shared" si="100"/>
        <v>314.188568589113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3.8771281099602555</v>
      </c>
      <c r="EW96" s="23">
        <f>EXP(-LN(2)/25)*EW95+(1-EXP(-LN(2)/25))/(LN(2)/25)*Calculateur!ER96*Calculateur!ET96*VLOOKUP('Données projet'!$B$15,Paramètres!$A$1:$I$89,3,0)*0.475*44/12</f>
        <v>1.699741614138613</v>
      </c>
      <c r="EX96" s="23">
        <f>EXP(-LN(2)/2)*EX95+(1-EXP(-LN(2)/2))/(LN(2)/2)*ER96*EU96*VLOOKUP('Données projet'!$B$15,Paramètres!$A$1:$I$89,3,0)*0.475*44/12</f>
        <v>9.6293289939724155E-10</v>
      </c>
      <c r="EY96" s="24">
        <f t="shared" si="75"/>
        <v>5.5768697250618011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 t="e">
        <f>N97*VLOOKUP('Données projet'!$B$9,Paramètres!$A$1:$I$89,3,0)*VLOOKUP('Données projet'!$B$9,Paramètres!$A$1:$I$89,5,0)</f>
        <v>#N/A</v>
      </c>
      <c r="P97" s="14" t="e">
        <f t="shared" si="87"/>
        <v>#N/A</v>
      </c>
      <c r="Q97" s="22" t="e">
        <f t="shared" si="54"/>
        <v>#N/A</v>
      </c>
      <c r="R97" s="60" t="e">
        <f t="shared" si="55"/>
        <v>#N/A</v>
      </c>
      <c r="S97" s="60" t="e">
        <f ca="1">AVERAGE(OFFSET($R$3,0,0,'Données projet'!$E$9+1,1))-AVERAGE(OFFSET($H$3,0,0,'Données projet'!$E$9+1,1))</f>
        <v>#N/A</v>
      </c>
      <c r="T97" s="60" t="e">
        <f t="shared" si="88"/>
        <v>#N/A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 t="e">
        <f>EXP(-LN(2)/35)*Z96+(1-EXP(-LN(2)/35))/(LN(2)/35)*V97*W97*VLOOKUP('Données projet'!$B$9,Paramètres!$A$1:$I$89,3,0)*0.475*44/12</f>
        <v>#N/A</v>
      </c>
      <c r="AA97" s="23" t="e">
        <f>EXP(-LN(2)/25)*AA96+(1-EXP(-LN(2)/25))/(LN(2)/25)*Calculateur!V97*Calculateur!X97*VLOOKUP('Données projet'!$B$9,Paramètres!$A$1:$I$89,3,0)*0.475*44/12</f>
        <v>#N/A</v>
      </c>
      <c r="AB97" s="23" t="e">
        <f>EXP(-LN(2)/2)*AB96+(1-EXP(-LN(2)/2))/(LN(2)/2)*V97*Y97*VLOOKUP('Données projet'!$B$9,Paramètres!$A$1:$I$89,3,0)*0.475*44/12</f>
        <v>#N/A</v>
      </c>
      <c r="AC97" s="24" t="e">
        <f t="shared" si="57"/>
        <v>#N/A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0">
        <f t="shared" si="59"/>
        <v>829.09611292828231</v>
      </c>
      <c r="AN97" s="60">
        <f ca="1">AVERAGE(OFFSET($AM$3,0,0,'Données projet'!$E$10+1,1))-AVERAGE(OFFSET($H$3,0,0,'Données projet'!$E$10+1,1))</f>
        <v>428.8489304403459</v>
      </c>
      <c r="AO97" s="60">
        <f t="shared" si="90"/>
        <v>247.01165577562966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-3.4106051316484809E-13</v>
      </c>
      <c r="BE97" s="14">
        <f>BD97*VLOOKUP('Données projet'!$B$11,Paramètres!$A$1:$I$89,3,0)*VLOOKUP('Données projet'!$B$11,Paramètres!$A$1:$I$89,5,0)</f>
        <v>-1.9065282685915009E-13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374.79806286316051</v>
      </c>
      <c r="BJ97" s="60">
        <f t="shared" si="92"/>
        <v>350.01856672839466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3.7763493272695143</v>
      </c>
      <c r="BR97" s="23">
        <f>EXP(-LN(2)/2)*BR96+(1-EXP(-LN(2)/2))/(LN(2)/2)*BL97*BO97*VLOOKUP('Données projet'!$B$11,Paramètres!$A$1:$I$89,3,0)*0.475*44/12</f>
        <v>2.5629487451364544E-9</v>
      </c>
      <c r="BS97" s="24">
        <f t="shared" si="63"/>
        <v>3.7763493298324633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247.55327999999994</v>
      </c>
      <c r="CA97" s="14">
        <f t="shared" si="93"/>
        <v>60.061713068870255</v>
      </c>
      <c r="CB97" s="22">
        <f t="shared" si="64"/>
        <v>535.76277959494894</v>
      </c>
      <c r="CC97" s="60">
        <f t="shared" si="65"/>
        <v>829.09611292828231</v>
      </c>
      <c r="CD97" s="60">
        <f ca="1">AVERAGE(OFFSET($CC$3,0,0,'Données projet'!$E$12+1,1))-AVERAGE(OFFSET($H$3,0,0,'Données projet'!$E$12+1,1))</f>
        <v>428.8489304403459</v>
      </c>
      <c r="CE97" s="60">
        <f t="shared" si="94"/>
        <v>247.01165577562966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0.89743589743590069</v>
      </c>
      <c r="CT97" s="13">
        <f>IF('Données projet'!$A$140&gt;35,CT96+CS97-DB96,IF(A97&lt;'Données projet'!$A$140,$CQ$205^A97,IF(A97='Données projet'!$A$140,'Données projet'!$B$140,CT96+CS97-DB96)))</f>
        <v>233.07692307692307</v>
      </c>
      <c r="CU97" s="18">
        <f>CT97*VLOOKUP('Données projet'!$B$13,Paramètres!$A$1:$I$89,3,0)*VLOOKUP('Données projet'!$B$13,Paramètres!$A$1:$I$89,5,0)</f>
        <v>221.79599999999999</v>
      </c>
      <c r="CV97" s="14">
        <f t="shared" si="95"/>
        <v>54.505052542592175</v>
      </c>
      <c r="CW97" s="22">
        <f t="shared" si="67"/>
        <v>481.2243331783481</v>
      </c>
      <c r="CX97" s="60">
        <f t="shared" si="68"/>
        <v>774.55766651168142</v>
      </c>
      <c r="CY97" s="60">
        <f ca="1">AVERAGE(OFFSET($CX$3,0,0,'Données projet'!$E$13+1,1))-AVERAGE(OFFSET($H$3,0,0,'Données projet'!$E$13+1,1))</f>
        <v>354.63118425028898</v>
      </c>
      <c r="CZ97" s="60">
        <f t="shared" si="96"/>
        <v>244.7141066773861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264.62591999999995</v>
      </c>
      <c r="DQ97" s="14">
        <f t="shared" si="97"/>
        <v>63.707422801198604</v>
      </c>
      <c r="DR97" s="22">
        <f t="shared" si="70"/>
        <v>571.84723871208746</v>
      </c>
      <c r="DS97" s="60">
        <f t="shared" si="71"/>
        <v>865.18057204542083</v>
      </c>
      <c r="DT97" s="60">
        <f ca="1">AVERAGE(OFFSET($DS$3,0,0,'Données projet'!$E$14+1,1))-AVERAGE(OFFSET($H$3,0,0,'Données projet'!$E$14+1,1))</f>
        <v>455.50822833641354</v>
      </c>
      <c r="DU97" s="60">
        <f t="shared" si="98"/>
        <v>261.14722581688039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207.03241199974599</v>
      </c>
      <c r="EP97" s="60">
        <f t="shared" si="100"/>
        <v>314.188568589113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3.801099992538576</v>
      </c>
      <c r="EW97" s="23">
        <f>EXP(-LN(2)/25)*EW96+(1-EXP(-LN(2)/25))/(LN(2)/25)*Calculateur!ER97*Calculateur!ET97*VLOOKUP('Données projet'!$B$15,Paramètres!$A$1:$I$89,3,0)*0.475*44/12</f>
        <v>1.6532620903144659</v>
      </c>
      <c r="EX97" s="23">
        <f>EXP(-LN(2)/2)*EX96+(1-EXP(-LN(2)/2))/(LN(2)/2)*ER97*EU97*VLOOKUP('Données projet'!$B$15,Paramètres!$A$1:$I$89,3,0)*0.475*44/12</f>
        <v>6.8089638299141307E-10</v>
      </c>
      <c r="EY97" s="24">
        <f t="shared" si="75"/>
        <v>5.4543620835339377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 t="e">
        <f>N98*VLOOKUP('Données projet'!$B$9,Paramètres!$A$1:$I$89,3,0)*VLOOKUP('Données projet'!$B$9,Paramètres!$A$1:$I$89,5,0)</f>
        <v>#N/A</v>
      </c>
      <c r="P98" s="14" t="e">
        <f t="shared" si="87"/>
        <v>#N/A</v>
      </c>
      <c r="Q98" s="22" t="e">
        <f t="shared" si="54"/>
        <v>#N/A</v>
      </c>
      <c r="R98" s="60" t="e">
        <f t="shared" si="55"/>
        <v>#N/A</v>
      </c>
      <c r="S98" s="60" t="e">
        <f ca="1">AVERAGE(OFFSET($R$3,0,0,'Données projet'!$E$9+1,1))-AVERAGE(OFFSET($H$3,0,0,'Données projet'!$E$9+1,1))</f>
        <v>#N/A</v>
      </c>
      <c r="T98" s="60" t="e">
        <f t="shared" si="88"/>
        <v>#N/A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 t="e">
        <f>EXP(-LN(2)/35)*Z97+(1-EXP(-LN(2)/35))/(LN(2)/35)*V98*W98*VLOOKUP('Données projet'!$B$9,Paramètres!$A$1:$I$89,3,0)*0.475*44/12</f>
        <v>#N/A</v>
      </c>
      <c r="AA98" s="23" t="e">
        <f>EXP(-LN(2)/25)*AA97+(1-EXP(-LN(2)/25))/(LN(2)/25)*Calculateur!V98*Calculateur!X98*VLOOKUP('Données projet'!$B$9,Paramètres!$A$1:$I$89,3,0)*0.475*44/12</f>
        <v>#N/A</v>
      </c>
      <c r="AB98" s="23" t="e">
        <f>EXP(-LN(2)/2)*AB97+(1-EXP(-LN(2)/2))/(LN(2)/2)*V98*Y98*VLOOKUP('Données projet'!$B$9,Paramètres!$A$1:$I$89,3,0)*0.475*44/12</f>
        <v>#N/A</v>
      </c>
      <c r="AC98" s="24" t="e">
        <f t="shared" si="57"/>
        <v>#N/A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0">
        <f t="shared" si="59"/>
        <v>838.4714957147562</v>
      </c>
      <c r="AN98" s="60">
        <f ca="1">AVERAGE(OFFSET($AM$3,0,0,'Données projet'!$E$10+1,1))-AVERAGE(OFFSET($H$3,0,0,'Données projet'!$E$10+1,1))</f>
        <v>428.8489304403459</v>
      </c>
      <c r="AO98" s="60">
        <f t="shared" si="90"/>
        <v>247.01165577562966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-3.4106051316484809E-13</v>
      </c>
      <c r="BE98" s="14">
        <f>BD98*VLOOKUP('Données projet'!$B$11,Paramètres!$A$1:$I$89,3,0)*VLOOKUP('Données projet'!$B$11,Paramètres!$A$1:$I$89,5,0)</f>
        <v>-1.9065282685915009E-13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374.79806286316051</v>
      </c>
      <c r="BJ98" s="60">
        <f t="shared" si="92"/>
        <v>350.01856672839466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3.6730848563257492</v>
      </c>
      <c r="BR98" s="23">
        <f>EXP(-LN(2)/2)*BR97+(1-EXP(-LN(2)/2))/(LN(2)/2)*BL98*BO98*VLOOKUP('Données projet'!$B$11,Paramètres!$A$1:$I$89,3,0)*0.475*44/12</f>
        <v>1.8122784375195396E-9</v>
      </c>
      <c r="BS98" s="24">
        <f t="shared" si="63"/>
        <v>3.6730848581380275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251.98679999999993</v>
      </c>
      <c r="CA98" s="14">
        <f t="shared" si="93"/>
        <v>61.011187970195053</v>
      </c>
      <c r="CB98" s="22">
        <f t="shared" si="64"/>
        <v>545.13816238142283</v>
      </c>
      <c r="CC98" s="60">
        <f t="shared" si="65"/>
        <v>838.4714957147562</v>
      </c>
      <c r="CD98" s="60">
        <f ca="1">AVERAGE(OFFSET($CC$3,0,0,'Données projet'!$E$12+1,1))-AVERAGE(OFFSET($H$3,0,0,'Données projet'!$E$12+1,1))</f>
        <v>428.8489304403459</v>
      </c>
      <c r="CE98" s="60">
        <f t="shared" si="94"/>
        <v>247.01165577562966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233.97435897435898</v>
      </c>
      <c r="CR98" s="13">
        <f>VLOOKUP(A98,'Données projet'!$A$139:$I$159,9,0)</f>
        <v>0.89743589743590069</v>
      </c>
      <c r="CS98" s="13">
        <f t="array" ref="CS98">INDEX(CR:CR,MIN(IF(ISNUMBER(CR98:CR294),ROW(CR98:CR294),"")))</f>
        <v>0.89743589743590069</v>
      </c>
      <c r="CT98" s="13">
        <f>IF('Données projet'!$A$140&gt;35,CT97+CS98-DB97,IF(A98&lt;'Données projet'!$A$140,$CQ$205^A98,IF(A98='Données projet'!$A$140,'Données projet'!$B$140,CT97+CS98-DB97)))</f>
        <v>233.97435897435898</v>
      </c>
      <c r="CU98" s="18">
        <f>CT98*VLOOKUP('Données projet'!$B$13,Paramètres!$A$1:$I$89,3,0)*VLOOKUP('Données projet'!$B$13,Paramètres!$A$1:$I$89,5,0)</f>
        <v>222.65</v>
      </c>
      <c r="CV98" s="14">
        <f t="shared" si="95"/>
        <v>54.690448148719405</v>
      </c>
      <c r="CW98" s="22">
        <f t="shared" si="67"/>
        <v>483.03461385901966</v>
      </c>
      <c r="CX98" s="60">
        <f t="shared" si="68"/>
        <v>776.36794719235297</v>
      </c>
      <c r="CY98" s="60">
        <f ca="1">AVERAGE(OFFSET($CX$3,0,0,'Données projet'!$E$13+1,1))-AVERAGE(OFFSET($H$3,0,0,'Données projet'!$E$13+1,1))</f>
        <v>354.63118425028898</v>
      </c>
      <c r="CZ98" s="60">
        <f t="shared" si="96"/>
        <v>244.7141066773861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23.717948717948715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269.36519999999996</v>
      </c>
      <c r="DQ98" s="14">
        <f t="shared" si="97"/>
        <v>64.714530255967034</v>
      </c>
      <c r="DR98" s="22">
        <f t="shared" si="70"/>
        <v>581.85553019580914</v>
      </c>
      <c r="DS98" s="60">
        <f t="shared" si="71"/>
        <v>875.18886352914251</v>
      </c>
      <c r="DT98" s="60">
        <f ca="1">AVERAGE(OFFSET($DS$3,0,0,'Données projet'!$E$14+1,1))-AVERAGE(OFFSET($H$3,0,0,'Données projet'!$E$14+1,1))</f>
        <v>455.50822833641354</v>
      </c>
      <c r="DU98" s="60">
        <f t="shared" si="98"/>
        <v>261.14722581688039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207.03241199974599</v>
      </c>
      <c r="EP98" s="60">
        <f t="shared" si="100"/>
        <v>314.188568589113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3.7265627401269628</v>
      </c>
      <c r="EW98" s="23">
        <f>EXP(-LN(2)/25)*EW97+(1-EXP(-LN(2)/25))/(LN(2)/25)*Calculateur!ER98*Calculateur!ET98*VLOOKUP('Données projet'!$B$15,Paramètres!$A$1:$I$89,3,0)*0.475*44/12</f>
        <v>1.6080535515135421</v>
      </c>
      <c r="EX98" s="23">
        <f>EXP(-LN(2)/2)*EX97+(1-EXP(-LN(2)/2))/(LN(2)/2)*ER98*EU98*VLOOKUP('Données projet'!$B$15,Paramètres!$A$1:$I$89,3,0)*0.475*44/12</f>
        <v>4.8146644969862077E-10</v>
      </c>
      <c r="EY98" s="24">
        <f t="shared" si="75"/>
        <v>5.3346162921219715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 t="e">
        <f>N99*VLOOKUP('Données projet'!$B$9,Paramètres!$A$1:$I$89,3,0)*VLOOKUP('Données projet'!$B$9,Paramètres!$A$1:$I$89,5,0)</f>
        <v>#N/A</v>
      </c>
      <c r="P99" s="14" t="e">
        <f t="shared" si="87"/>
        <v>#N/A</v>
      </c>
      <c r="Q99" s="22" t="e">
        <f t="shared" ref="Q99:Q130" si="107">(O99+P99)*0.475*44/12</f>
        <v>#N/A</v>
      </c>
      <c r="R99" s="60" t="e">
        <f t="shared" si="55"/>
        <v>#N/A</v>
      </c>
      <c r="S99" s="60" t="e">
        <f ca="1">AVERAGE(OFFSET($R$3,0,0,'Données projet'!$E$9+1,1))-AVERAGE(OFFSET($H$3,0,0,'Données projet'!$E$9+1,1))</f>
        <v>#N/A</v>
      </c>
      <c r="T99" s="60" t="e">
        <f t="shared" si="88"/>
        <v>#N/A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 t="e">
        <f>EXP(-LN(2)/35)*Z98+(1-EXP(-LN(2)/35))/(LN(2)/35)*V99*W99*VLOOKUP('Données projet'!$B$9,Paramètres!$A$1:$I$89,3,0)*0.475*44/12</f>
        <v>#N/A</v>
      </c>
      <c r="AA99" s="23" t="e">
        <f>EXP(-LN(2)/25)*AA98+(1-EXP(-LN(2)/25))/(LN(2)/25)*Calculateur!V99*Calculateur!X99*VLOOKUP('Données projet'!$B$9,Paramètres!$A$1:$I$89,3,0)*0.475*44/12</f>
        <v>#N/A</v>
      </c>
      <c r="AB99" s="23" t="e">
        <f>EXP(-LN(2)/2)*AB98+(1-EXP(-LN(2)/2))/(LN(2)/2)*V99*Y99*VLOOKUP('Données projet'!$B$9,Paramètres!$A$1:$I$89,3,0)*0.475*44/12</f>
        <v>#N/A</v>
      </c>
      <c r="AC99" s="24" t="e">
        <f t="shared" si="57"/>
        <v>#N/A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0">
        <f t="shared" si="59"/>
        <v>847.84349511604591</v>
      </c>
      <c r="AN99" s="60">
        <f ca="1">AVERAGE(OFFSET($AM$3,0,0,'Données projet'!$E$10+1,1))-AVERAGE(OFFSET($H$3,0,0,'Données projet'!$E$10+1,1))</f>
        <v>428.8489304403459</v>
      </c>
      <c r="AO99" s="60">
        <f t="shared" si="90"/>
        <v>247.01165577562966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-3.4106051316484809E-13</v>
      </c>
      <c r="BE99" s="14">
        <f>BD99*VLOOKUP('Données projet'!$B$11,Paramètres!$A$1:$I$89,3,0)*VLOOKUP('Données projet'!$B$11,Paramètres!$A$1:$I$89,5,0)</f>
        <v>-1.9065282685915009E-13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374.79806286316051</v>
      </c>
      <c r="BJ99" s="60">
        <f t="shared" si="92"/>
        <v>350.01856672839466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3.5726441577703838</v>
      </c>
      <c r="BR99" s="23">
        <f>EXP(-LN(2)/2)*BR98+(1-EXP(-LN(2)/2))/(LN(2)/2)*BL99*BO99*VLOOKUP('Données projet'!$B$11,Paramètres!$A$1:$I$89,3,0)*0.475*44/12</f>
        <v>1.2814743725682274E-9</v>
      </c>
      <c r="BS99" s="24">
        <f t="shared" si="63"/>
        <v>3.5726441590518583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256.42031999999989</v>
      </c>
      <c r="CA99" s="14">
        <f t="shared" si="93"/>
        <v>61.958720258016918</v>
      </c>
      <c r="CB99" s="22">
        <f t="shared" si="64"/>
        <v>554.51016178271254</v>
      </c>
      <c r="CC99" s="60">
        <f t="shared" si="65"/>
        <v>847.84349511604591</v>
      </c>
      <c r="CD99" s="60">
        <f ca="1">AVERAGE(OFFSET($CC$3,0,0,'Données projet'!$E$12+1,1))-AVERAGE(OFFSET($H$3,0,0,'Données projet'!$E$12+1,1))</f>
        <v>428.8489304403459</v>
      </c>
      <c r="CE99" s="60">
        <f t="shared" si="94"/>
        <v>247.01165577562966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3.2051282051281986</v>
      </c>
      <c r="CT99" s="13">
        <f>IF('Données projet'!$A$140&gt;35,CT98+CS99-DB98,IF(A99&lt;'Données projet'!$A$140,$CQ$205^A99,IF(A99='Données projet'!$A$140,'Données projet'!$B$140,CT98+CS99-DB98)))</f>
        <v>213.46153846153845</v>
      </c>
      <c r="CU99" s="18">
        <f>CT99*VLOOKUP('Données projet'!$B$13,Paramètres!$A$1:$I$89,3,0)*VLOOKUP('Données projet'!$B$13,Paramètres!$A$1:$I$89,5,0)</f>
        <v>203.13</v>
      </c>
      <c r="CV99" s="14">
        <f t="shared" si="95"/>
        <v>50.431424067617797</v>
      </c>
      <c r="CW99" s="22">
        <f t="shared" si="67"/>
        <v>441.61948025110092</v>
      </c>
      <c r="CX99" s="60">
        <f t="shared" si="68"/>
        <v>734.95281358443424</v>
      </c>
      <c r="CY99" s="60">
        <f ca="1">AVERAGE(OFFSET($CX$3,0,0,'Données projet'!$E$13+1,1))-AVERAGE(OFFSET($H$3,0,0,'Données projet'!$E$13+1,1))</f>
        <v>354.63118425028898</v>
      </c>
      <c r="CZ99" s="60">
        <f t="shared" si="96"/>
        <v>244.7141066773861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274.10447999999991</v>
      </c>
      <c r="DQ99" s="14">
        <f t="shared" si="97"/>
        <v>65.719577181765516</v>
      </c>
      <c r="DR99" s="22">
        <f t="shared" si="70"/>
        <v>591.86023292490802</v>
      </c>
      <c r="DS99" s="60">
        <f t="shared" si="71"/>
        <v>885.19356625824139</v>
      </c>
      <c r="DT99" s="60">
        <f ca="1">AVERAGE(OFFSET($DS$3,0,0,'Données projet'!$E$14+1,1))-AVERAGE(OFFSET($H$3,0,0,'Données projet'!$E$14+1,1))</f>
        <v>455.50822833641354</v>
      </c>
      <c r="DU99" s="60">
        <f t="shared" si="98"/>
        <v>261.14722581688039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207.03241199974599</v>
      </c>
      <c r="EP99" s="60">
        <f t="shared" si="100"/>
        <v>314.188568589113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3.6534871177719066</v>
      </c>
      <c r="EW99" s="23">
        <f>EXP(-LN(2)/25)*EW98+(1-EXP(-LN(2)/25))/(LN(2)/25)*Calculateur!ER99*Calculateur!ET99*VLOOKUP('Données projet'!$B$15,Paramètres!$A$1:$I$89,3,0)*0.475*44/12</f>
        <v>1.5640812425835433</v>
      </c>
      <c r="EX99" s="23">
        <f>EXP(-LN(2)/2)*EX98+(1-EXP(-LN(2)/2))/(LN(2)/2)*ER99*EU99*VLOOKUP('Données projet'!$B$15,Paramètres!$A$1:$I$89,3,0)*0.475*44/12</f>
        <v>3.4044819149570654E-10</v>
      </c>
      <c r="EY99" s="24">
        <f t="shared" si="75"/>
        <v>5.2175683606958989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 t="e">
        <f>N100*VLOOKUP('Données projet'!$B$9,Paramètres!$A$1:$I$89,3,0)*VLOOKUP('Données projet'!$B$9,Paramètres!$A$1:$I$89,5,0)</f>
        <v>#N/A</v>
      </c>
      <c r="P100" s="14" t="e">
        <f t="shared" si="87"/>
        <v>#N/A</v>
      </c>
      <c r="Q100" s="22" t="e">
        <f t="shared" si="107"/>
        <v>#N/A</v>
      </c>
      <c r="R100" s="60" t="e">
        <f t="shared" si="55"/>
        <v>#N/A</v>
      </c>
      <c r="S100" s="60" t="e">
        <f ca="1">AVERAGE(OFFSET($R$3,0,0,'Données projet'!$E$9+1,1))-AVERAGE(OFFSET($H$3,0,0,'Données projet'!$E$9+1,1))</f>
        <v>#N/A</v>
      </c>
      <c r="T100" s="60" t="e">
        <f t="shared" si="88"/>
        <v>#N/A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 t="e">
        <f>EXP(-LN(2)/35)*Z99+(1-EXP(-LN(2)/35))/(LN(2)/35)*V100*W100*VLOOKUP('Données projet'!$B$9,Paramètres!$A$1:$I$89,3,0)*0.475*44/12</f>
        <v>#N/A</v>
      </c>
      <c r="AA100" s="23" t="e">
        <f>EXP(-LN(2)/25)*AA99+(1-EXP(-LN(2)/25))/(LN(2)/25)*Calculateur!V100*Calculateur!X100*VLOOKUP('Données projet'!$B$9,Paramètres!$A$1:$I$89,3,0)*0.475*44/12</f>
        <v>#N/A</v>
      </c>
      <c r="AB100" s="23" t="e">
        <f>EXP(-LN(2)/2)*AB99+(1-EXP(-LN(2)/2))/(LN(2)/2)*V100*Y100*VLOOKUP('Données projet'!$B$9,Paramètres!$A$1:$I$89,3,0)*0.475*44/12</f>
        <v>#N/A</v>
      </c>
      <c r="AC100" s="24" t="e">
        <f t="shared" si="57"/>
        <v>#N/A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0">
        <f t="shared" si="59"/>
        <v>857.21217638119901</v>
      </c>
      <c r="AN100" s="60">
        <f ca="1">AVERAGE(OFFSET($AM$3,0,0,'Données projet'!$E$10+1,1))-AVERAGE(OFFSET($H$3,0,0,'Données projet'!$E$10+1,1))</f>
        <v>428.8489304403459</v>
      </c>
      <c r="AO100" s="60">
        <f t="shared" si="90"/>
        <v>247.01165577562966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-3.4106051316484809E-13</v>
      </c>
      <c r="BE100" s="14">
        <f>BD100*VLOOKUP('Données projet'!$B$11,Paramètres!$A$1:$I$89,3,0)*VLOOKUP('Données projet'!$B$11,Paramètres!$A$1:$I$89,5,0)</f>
        <v>-1.9065282685915009E-13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374.79806286316051</v>
      </c>
      <c r="BJ100" s="60">
        <f t="shared" si="92"/>
        <v>350.01856672839466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3.4749500153989619</v>
      </c>
      <c r="BR100" s="23">
        <f>EXP(-LN(2)/2)*BR99+(1-EXP(-LN(2)/2))/(LN(2)/2)*BL100*BO100*VLOOKUP('Données projet'!$B$11,Paramètres!$A$1:$I$89,3,0)*0.475*44/12</f>
        <v>9.0613921875976993E-10</v>
      </c>
      <c r="BS100" s="24">
        <f t="shared" si="63"/>
        <v>3.474950016305101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260.85383999999993</v>
      </c>
      <c r="CA100" s="14">
        <f t="shared" si="93"/>
        <v>62.904347395903763</v>
      </c>
      <c r="CB100" s="22">
        <f t="shared" si="64"/>
        <v>563.87884304786564</v>
      </c>
      <c r="CC100" s="60">
        <f t="shared" si="65"/>
        <v>857.21217638119901</v>
      </c>
      <c r="CD100" s="60">
        <f ca="1">AVERAGE(OFFSET($CC$3,0,0,'Données projet'!$E$12+1,1))-AVERAGE(OFFSET($H$3,0,0,'Données projet'!$E$12+1,1))</f>
        <v>428.8489304403459</v>
      </c>
      <c r="CE100" s="60">
        <f t="shared" si="94"/>
        <v>247.01165577562966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3.2051282051281986</v>
      </c>
      <c r="CT100" s="13">
        <f>IF('Données projet'!$A$140&gt;35,CT99+CS100-DB99,IF(A100&lt;'Données projet'!$A$140,$CQ$205^A100,IF(A100='Données projet'!$A$140,'Données projet'!$B$140,CT99+CS100-DB99)))</f>
        <v>216.66666666666666</v>
      </c>
      <c r="CU100" s="18">
        <f>CT100*VLOOKUP('Données projet'!$B$13,Paramètres!$A$1:$I$89,3,0)*VLOOKUP('Données projet'!$B$13,Paramètres!$A$1:$I$89,5,0)</f>
        <v>206.17999999999998</v>
      </c>
      <c r="CV100" s="14">
        <f t="shared" si="95"/>
        <v>51.09992979292003</v>
      </c>
      <c r="CW100" s="22">
        <f t="shared" si="67"/>
        <v>448.095877722669</v>
      </c>
      <c r="CX100" s="60">
        <f t="shared" si="68"/>
        <v>741.42921105600226</v>
      </c>
      <c r="CY100" s="60">
        <f ca="1">AVERAGE(OFFSET($CX$3,0,0,'Données projet'!$E$13+1,1))-AVERAGE(OFFSET($H$3,0,0,'Données projet'!$E$13+1,1))</f>
        <v>354.63118425028898</v>
      </c>
      <c r="CZ100" s="60">
        <f t="shared" si="96"/>
        <v>244.7141066773861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278.84375999999992</v>
      </c>
      <c r="DQ100" s="14">
        <f t="shared" si="97"/>
        <v>66.722603316177725</v>
      </c>
      <c r="DR100" s="22">
        <f t="shared" si="70"/>
        <v>601.86141610900938</v>
      </c>
      <c r="DS100" s="60">
        <f t="shared" si="71"/>
        <v>895.19474944234275</v>
      </c>
      <c r="DT100" s="60">
        <f ca="1">AVERAGE(OFFSET($DS$3,0,0,'Données projet'!$E$14+1,1))-AVERAGE(OFFSET($H$3,0,0,'Données projet'!$E$14+1,1))</f>
        <v>455.50822833641354</v>
      </c>
      <c r="DU100" s="60">
        <f t="shared" si="98"/>
        <v>261.14722581688039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207.03241199974599</v>
      </c>
      <c r="EP100" s="60">
        <f t="shared" si="100"/>
        <v>314.188568589113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3.5818444637995044</v>
      </c>
      <c r="EW100" s="23">
        <f>EXP(-LN(2)/25)*EW99+(1-EXP(-LN(2)/25))/(LN(2)/25)*Calculateur!ER100*Calculateur!ET100*VLOOKUP('Données projet'!$B$15,Paramètres!$A$1:$I$89,3,0)*0.475*44/12</f>
        <v>1.5213113587536384</v>
      </c>
      <c r="EX100" s="23">
        <f>EXP(-LN(2)/2)*EX99+(1-EXP(-LN(2)/2))/(LN(2)/2)*ER100*EU100*VLOOKUP('Données projet'!$B$15,Paramètres!$A$1:$I$89,3,0)*0.475*44/12</f>
        <v>2.4073322484931039E-10</v>
      </c>
      <c r="EY100" s="24">
        <f t="shared" si="75"/>
        <v>5.1031558227938767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 t="e">
        <f>N101*VLOOKUP('Données projet'!$B$9,Paramètres!$A$1:$I$89,3,0)*VLOOKUP('Données projet'!$B$9,Paramètres!$A$1:$I$89,5,0)</f>
        <v>#N/A</v>
      </c>
      <c r="P101" s="14" t="e">
        <f t="shared" si="87"/>
        <v>#N/A</v>
      </c>
      <c r="Q101" s="22" t="e">
        <f t="shared" si="107"/>
        <v>#N/A</v>
      </c>
      <c r="R101" s="60" t="e">
        <f t="shared" si="55"/>
        <v>#N/A</v>
      </c>
      <c r="S101" s="60" t="e">
        <f ca="1">AVERAGE(OFFSET($R$3,0,0,'Données projet'!$E$9+1,1))-AVERAGE(OFFSET($H$3,0,0,'Données projet'!$E$9+1,1))</f>
        <v>#N/A</v>
      </c>
      <c r="T101" s="60" t="e">
        <f t="shared" si="88"/>
        <v>#N/A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 t="e">
        <f>EXP(-LN(2)/35)*Z100+(1-EXP(-LN(2)/35))/(LN(2)/35)*V101*W101*VLOOKUP('Données projet'!$B$9,Paramètres!$A$1:$I$89,3,0)*0.475*44/12</f>
        <v>#N/A</v>
      </c>
      <c r="AA101" s="23" t="e">
        <f>EXP(-LN(2)/25)*AA100+(1-EXP(-LN(2)/25))/(LN(2)/25)*Calculateur!V101*Calculateur!X101*VLOOKUP('Données projet'!$B$9,Paramètres!$A$1:$I$89,3,0)*0.475*44/12</f>
        <v>#N/A</v>
      </c>
      <c r="AB101" s="23" t="e">
        <f>EXP(-LN(2)/2)*AB100+(1-EXP(-LN(2)/2))/(LN(2)/2)*V101*Y101*VLOOKUP('Données projet'!$B$9,Paramètres!$A$1:$I$89,3,0)*0.475*44/12</f>
        <v>#N/A</v>
      </c>
      <c r="AC101" s="24" t="e">
        <f t="shared" si="57"/>
        <v>#N/A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0">
        <f t="shared" si="59"/>
        <v>866.57760241418919</v>
      </c>
      <c r="AN101" s="60">
        <f ca="1">AVERAGE(OFFSET($AM$3,0,0,'Données projet'!$E$10+1,1))-AVERAGE(OFFSET($H$3,0,0,'Données projet'!$E$10+1,1))</f>
        <v>428.8489304403459</v>
      </c>
      <c r="AO101" s="60">
        <f t="shared" si="90"/>
        <v>247.01165577562966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-3.4106051316484809E-13</v>
      </c>
      <c r="BE101" s="14">
        <f>BD101*VLOOKUP('Données projet'!$B$11,Paramètres!$A$1:$I$89,3,0)*VLOOKUP('Données projet'!$B$11,Paramètres!$A$1:$I$89,5,0)</f>
        <v>-1.9065282685915009E-13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374.79806286316051</v>
      </c>
      <c r="BJ101" s="60">
        <f t="shared" si="92"/>
        <v>350.01856672839466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3.379927324488198</v>
      </c>
      <c r="BR101" s="23">
        <f>EXP(-LN(2)/2)*BR100+(1-EXP(-LN(2)/2))/(LN(2)/2)*BL101*BO101*VLOOKUP('Données projet'!$B$11,Paramètres!$A$1:$I$89,3,0)*0.475*44/12</f>
        <v>6.4073718628411381E-10</v>
      </c>
      <c r="BS101" s="24">
        <f t="shared" si="63"/>
        <v>3.3799273251289352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265.28735999999992</v>
      </c>
      <c r="CA101" s="14">
        <f t="shared" si="93"/>
        <v>63.84810550096995</v>
      </c>
      <c r="CB101" s="22">
        <f t="shared" si="64"/>
        <v>573.24426908085582</v>
      </c>
      <c r="CC101" s="60">
        <f t="shared" si="65"/>
        <v>866.57760241418919</v>
      </c>
      <c r="CD101" s="60">
        <f ca="1">AVERAGE(OFFSET($CC$3,0,0,'Données projet'!$E$12+1,1))-AVERAGE(OFFSET($H$3,0,0,'Données projet'!$E$12+1,1))</f>
        <v>428.8489304403459</v>
      </c>
      <c r="CE101" s="60">
        <f t="shared" si="94"/>
        <v>247.01165577562966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3.2051282051281986</v>
      </c>
      <c r="CT101" s="13">
        <f>IF('Données projet'!$A$140&gt;35,CT100+CS101-DB100,IF(A101&lt;'Données projet'!$A$140,$CQ$205^A101,IF(A101='Données projet'!$A$140,'Données projet'!$B$140,CT100+CS101-DB100)))</f>
        <v>219.87179487179486</v>
      </c>
      <c r="CU101" s="18">
        <f>CT101*VLOOKUP('Données projet'!$B$13,Paramètres!$A$1:$I$89,3,0)*VLOOKUP('Données projet'!$B$13,Paramètres!$A$1:$I$89,5,0)</f>
        <v>209.23</v>
      </c>
      <c r="CV101" s="14">
        <f t="shared" si="95"/>
        <v>51.767285368675203</v>
      </c>
      <c r="CW101" s="22">
        <f t="shared" si="67"/>
        <v>454.57027201710929</v>
      </c>
      <c r="CX101" s="60">
        <f t="shared" si="68"/>
        <v>747.9036053504426</v>
      </c>
      <c r="CY101" s="60">
        <f ca="1">AVERAGE(OFFSET($CX$3,0,0,'Données projet'!$E$13+1,1))-AVERAGE(OFFSET($H$3,0,0,'Données projet'!$E$13+1,1))</f>
        <v>354.63118425028898</v>
      </c>
      <c r="CZ101" s="60">
        <f t="shared" si="96"/>
        <v>244.7141066773861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283.58303999999993</v>
      </c>
      <c r="DQ101" s="14">
        <f t="shared" si="97"/>
        <v>67.723646968605209</v>
      </c>
      <c r="DR101" s="22">
        <f t="shared" si="70"/>
        <v>611.85914647032064</v>
      </c>
      <c r="DS101" s="60">
        <f t="shared" si="71"/>
        <v>905.1924798036539</v>
      </c>
      <c r="DT101" s="60">
        <f ca="1">AVERAGE(OFFSET($DS$3,0,0,'Données projet'!$E$14+1,1))-AVERAGE(OFFSET($H$3,0,0,'Données projet'!$E$14+1,1))</f>
        <v>455.50822833641354</v>
      </c>
      <c r="DU101" s="60">
        <f t="shared" si="98"/>
        <v>261.14722581688039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207.03241199974599</v>
      </c>
      <c r="EP101" s="60">
        <f t="shared" si="100"/>
        <v>314.188568589113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3.5116066785737967</v>
      </c>
      <c r="EW101" s="23">
        <f>EXP(-LN(2)/25)*EW100+(1-EXP(-LN(2)/25))/(LN(2)/25)*Calculateur!ER101*Calculateur!ET101*VLOOKUP('Données projet'!$B$15,Paramètres!$A$1:$I$89,3,0)*0.475*44/12</f>
        <v>1.4797110196462329</v>
      </c>
      <c r="EX101" s="23">
        <f>EXP(-LN(2)/2)*EX100+(1-EXP(-LN(2)/2))/(LN(2)/2)*ER101*EU101*VLOOKUP('Données projet'!$B$15,Paramètres!$A$1:$I$89,3,0)*0.475*44/12</f>
        <v>1.7022409574785327E-10</v>
      </c>
      <c r="EY101" s="24">
        <f t="shared" si="75"/>
        <v>4.9913176983902536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 t="e">
        <f>N102*VLOOKUP('Données projet'!$B$9,Paramètres!$A$1:$I$89,3,0)*VLOOKUP('Données projet'!$B$9,Paramètres!$A$1:$I$89,5,0)</f>
        <v>#N/A</v>
      </c>
      <c r="P102" s="14" t="e">
        <f t="shared" si="87"/>
        <v>#N/A</v>
      </c>
      <c r="Q102" s="22" t="e">
        <f t="shared" si="107"/>
        <v>#N/A</v>
      </c>
      <c r="R102" s="60" t="e">
        <f t="shared" si="55"/>
        <v>#N/A</v>
      </c>
      <c r="S102" s="60" t="e">
        <f ca="1">AVERAGE(OFFSET($R$3,0,0,'Données projet'!$E$9+1,1))-AVERAGE(OFFSET($H$3,0,0,'Données projet'!$E$9+1,1))</f>
        <v>#N/A</v>
      </c>
      <c r="T102" s="60" t="e">
        <f t="shared" si="88"/>
        <v>#N/A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 t="e">
        <f>EXP(-LN(2)/35)*Z101+(1-EXP(-LN(2)/35))/(LN(2)/35)*V102*W102*VLOOKUP('Données projet'!$B$9,Paramètres!$A$1:$I$89,3,0)*0.475*44/12</f>
        <v>#N/A</v>
      </c>
      <c r="AA102" s="23" t="e">
        <f>EXP(-LN(2)/25)*AA101+(1-EXP(-LN(2)/25))/(LN(2)/25)*Calculateur!V102*Calculateur!X102*VLOOKUP('Données projet'!$B$9,Paramètres!$A$1:$I$89,3,0)*0.475*44/12</f>
        <v>#N/A</v>
      </c>
      <c r="AB102" s="23" t="e">
        <f>EXP(-LN(2)/2)*AB101+(1-EXP(-LN(2)/2))/(LN(2)/2)*V102*Y102*VLOOKUP('Données projet'!$B$9,Paramètres!$A$1:$I$89,3,0)*0.475*44/12</f>
        <v>#N/A</v>
      </c>
      <c r="AC102" s="24" t="e">
        <f t="shared" si="57"/>
        <v>#N/A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0">
        <f t="shared" si="59"/>
        <v>875.93983389595746</v>
      </c>
      <c r="AN102" s="60">
        <f ca="1">AVERAGE(OFFSET($AM$3,0,0,'Données projet'!$E$10+1,1))-AVERAGE(OFFSET($H$3,0,0,'Données projet'!$E$10+1,1))</f>
        <v>428.8489304403459</v>
      </c>
      <c r="AO102" s="60">
        <f t="shared" si="90"/>
        <v>247.01165577562966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-3.4106051316484809E-13</v>
      </c>
      <c r="BE102" s="14">
        <f>BD102*VLOOKUP('Données projet'!$B$11,Paramètres!$A$1:$I$89,3,0)*VLOOKUP('Données projet'!$B$11,Paramètres!$A$1:$I$89,5,0)</f>
        <v>-1.9065282685915009E-13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374.79806286316051</v>
      </c>
      <c r="BJ102" s="60">
        <f t="shared" si="92"/>
        <v>350.01856672839466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3.2875030340574152</v>
      </c>
      <c r="BR102" s="23">
        <f>EXP(-LN(2)/2)*BR101+(1-EXP(-LN(2)/2))/(LN(2)/2)*BL102*BO102*VLOOKUP('Données projet'!$B$11,Paramètres!$A$1:$I$89,3,0)*0.475*44/12</f>
        <v>4.5306960937988502E-10</v>
      </c>
      <c r="BS102" s="24">
        <f t="shared" si="63"/>
        <v>3.2875030345104848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269.72087999999985</v>
      </c>
      <c r="CA102" s="14">
        <f t="shared" si="93"/>
        <v>64.790029413946939</v>
      </c>
      <c r="CB102" s="22">
        <f t="shared" si="64"/>
        <v>582.60650056262409</v>
      </c>
      <c r="CC102" s="60">
        <f t="shared" si="65"/>
        <v>875.93983389595746</v>
      </c>
      <c r="CD102" s="60">
        <f ca="1">AVERAGE(OFFSET($CC$3,0,0,'Données projet'!$E$12+1,1))-AVERAGE(OFFSET($H$3,0,0,'Données projet'!$E$12+1,1))</f>
        <v>428.8489304403459</v>
      </c>
      <c r="CE102" s="60">
        <f t="shared" si="94"/>
        <v>247.01165577562966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3.2051282051281986</v>
      </c>
      <c r="CT102" s="13">
        <f>IF('Données projet'!$A$140&gt;35,CT101+CS102-DB101,IF(A102&lt;'Données projet'!$A$140,$CQ$205^A102,IF(A102='Données projet'!$A$140,'Données projet'!$B$140,CT101+CS102-DB101)))</f>
        <v>223.07692307692307</v>
      </c>
      <c r="CU102" s="18">
        <f>CT102*VLOOKUP('Données projet'!$B$13,Paramètres!$A$1:$I$89,3,0)*VLOOKUP('Données projet'!$B$13,Paramètres!$A$1:$I$89,5,0)</f>
        <v>212.28</v>
      </c>
      <c r="CV102" s="14">
        <f t="shared" si="95"/>
        <v>52.433509497939937</v>
      </c>
      <c r="CW102" s="22">
        <f t="shared" si="67"/>
        <v>461.04269570891194</v>
      </c>
      <c r="CX102" s="60">
        <f t="shared" si="68"/>
        <v>754.37602904224525</v>
      </c>
      <c r="CY102" s="60">
        <f ca="1">AVERAGE(OFFSET($CX$3,0,0,'Données projet'!$E$13+1,1))-AVERAGE(OFFSET($H$3,0,0,'Données projet'!$E$13+1,1))</f>
        <v>354.63118425028898</v>
      </c>
      <c r="CZ102" s="60">
        <f t="shared" si="96"/>
        <v>244.7141066773861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288.32231999999988</v>
      </c>
      <c r="DQ102" s="14">
        <f t="shared" si="97"/>
        <v>68.722745094590621</v>
      </c>
      <c r="DR102" s="22">
        <f t="shared" si="70"/>
        <v>621.85348837307845</v>
      </c>
      <c r="DS102" s="60">
        <f t="shared" si="71"/>
        <v>915.18682170641182</v>
      </c>
      <c r="DT102" s="60">
        <f ca="1">AVERAGE(OFFSET($DS$3,0,0,'Données projet'!$E$14+1,1))-AVERAGE(OFFSET($H$3,0,0,'Données projet'!$E$14+1,1))</f>
        <v>455.50822833641354</v>
      </c>
      <c r="DU102" s="60">
        <f t="shared" si="98"/>
        <v>261.14722581688039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207.03241199974599</v>
      </c>
      <c r="EP102" s="60">
        <f t="shared" si="100"/>
        <v>314.188568589113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3.4427462134755467</v>
      </c>
      <c r="EW102" s="23">
        <f>EXP(-LN(2)/25)*EW101+(1-EXP(-LN(2)/25))/(LN(2)/25)*Calculateur!ER102*Calculateur!ET102*VLOOKUP('Données projet'!$B$15,Paramètres!$A$1:$I$89,3,0)*0.475*44/12</f>
        <v>1.4392482439993861</v>
      </c>
      <c r="EX102" s="23">
        <f>EXP(-LN(2)/2)*EX101+(1-EXP(-LN(2)/2))/(LN(2)/2)*ER102*EU102*VLOOKUP('Données projet'!$B$15,Paramètres!$A$1:$I$89,3,0)*0.475*44/12</f>
        <v>1.2036661242465519E-10</v>
      </c>
      <c r="EY102" s="24">
        <f t="shared" si="75"/>
        <v>4.8819944575953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 t="e">
        <f>N103*VLOOKUP('Données projet'!$B$9,Paramètres!$A$1:$I$89,3,0)*VLOOKUP('Données projet'!$B$9,Paramètres!$A$1:$I$89,5,0)</f>
        <v>#N/A</v>
      </c>
      <c r="P103" s="14" t="e">
        <f t="shared" si="87"/>
        <v>#N/A</v>
      </c>
      <c r="Q103" s="22" t="e">
        <f t="shared" si="107"/>
        <v>#N/A</v>
      </c>
      <c r="R103" s="60" t="e">
        <f t="shared" si="55"/>
        <v>#N/A</v>
      </c>
      <c r="S103" s="60" t="e">
        <f ca="1">AVERAGE(OFFSET($R$3,0,0,'Données projet'!$E$9+1,1))-AVERAGE(OFFSET($H$3,0,0,'Données projet'!$E$9+1,1))</f>
        <v>#N/A</v>
      </c>
      <c r="T103" s="60" t="e">
        <f t="shared" si="88"/>
        <v>#N/A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 t="e">
        <f>EXP(-LN(2)/35)*Z102+(1-EXP(-LN(2)/35))/(LN(2)/35)*V103*W103*VLOOKUP('Données projet'!$B$9,Paramètres!$A$1:$I$89,3,0)*0.475*44/12</f>
        <v>#N/A</v>
      </c>
      <c r="AA103" s="23" t="e">
        <f>EXP(-LN(2)/25)*AA102+(1-EXP(-LN(2)/25))/(LN(2)/25)*Calculateur!V103*Calculateur!X103*VLOOKUP('Données projet'!$B$9,Paramètres!$A$1:$I$89,3,0)*0.475*44/12</f>
        <v>#N/A</v>
      </c>
      <c r="AB103" s="23" t="e">
        <f>EXP(-LN(2)/2)*AB102+(1-EXP(-LN(2)/2))/(LN(2)/2)*V103*Y103*VLOOKUP('Données projet'!$B$9,Paramètres!$A$1:$I$89,3,0)*0.475*44/12</f>
        <v>#N/A</v>
      </c>
      <c r="AC103" s="24" t="e">
        <f t="shared" si="57"/>
        <v>#N/A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0">
        <f t="shared" si="59"/>
        <v>885.29892939819797</v>
      </c>
      <c r="AN103" s="60">
        <f ca="1">AVERAGE(OFFSET($AM$3,0,0,'Données projet'!$E$10+1,1))-AVERAGE(OFFSET($H$3,0,0,'Données projet'!$E$10+1,1))</f>
        <v>428.8489304403459</v>
      </c>
      <c r="AO103" s="60">
        <f t="shared" si="90"/>
        <v>247.01165577562966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-3.4106051316484809E-13</v>
      </c>
      <c r="BE103" s="14">
        <f>BD103*VLOOKUP('Données projet'!$B$11,Paramètres!$A$1:$I$89,3,0)*VLOOKUP('Données projet'!$B$11,Paramètres!$A$1:$I$89,5,0)</f>
        <v>-1.9065282685915009E-13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374.79806286316051</v>
      </c>
      <c r="BJ103" s="60">
        <f t="shared" si="92"/>
        <v>350.01856672839466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3.1976060907088444</v>
      </c>
      <c r="BR103" s="23">
        <f>EXP(-LN(2)/2)*BR102+(1-EXP(-LN(2)/2))/(LN(2)/2)*BL103*BO103*VLOOKUP('Données projet'!$B$11,Paramètres!$A$1:$I$89,3,0)*0.475*44/12</f>
        <v>3.2036859314205696E-10</v>
      </c>
      <c r="BS103" s="24">
        <f t="shared" si="63"/>
        <v>3.197606091029213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274.15439999999984</v>
      </c>
      <c r="CA103" s="14">
        <f t="shared" si="93"/>
        <v>65.730152764515779</v>
      </c>
      <c r="CB103" s="22">
        <f t="shared" si="64"/>
        <v>591.9655960648646</v>
      </c>
      <c r="CC103" s="60">
        <f t="shared" si="65"/>
        <v>885.29892939819797</v>
      </c>
      <c r="CD103" s="60">
        <f ca="1">AVERAGE(OFFSET($CC$3,0,0,'Données projet'!$E$12+1,1))-AVERAGE(OFFSET($H$3,0,0,'Données projet'!$E$12+1,1))</f>
        <v>428.8489304403459</v>
      </c>
      <c r="CE103" s="60">
        <f t="shared" si="94"/>
        <v>247.01165577562966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226.28205128205127</v>
      </c>
      <c r="CR103" s="13">
        <f>VLOOKUP(A103,'Données projet'!$A$139:$I$159,9,0)</f>
        <v>3.2051282051281986</v>
      </c>
      <c r="CS103" s="13">
        <f t="array" ref="CS103">INDEX(CR:CR,MIN(IF(ISNUMBER(CR103:CR299),ROW(CR103:CR299),"")))</f>
        <v>3.2051282051281986</v>
      </c>
      <c r="CT103" s="13">
        <f>IF('Données projet'!$A$140&gt;35,CT102+CS103-DB102,IF(A103&lt;'Données projet'!$A$140,$CQ$205^A103,IF(A103='Données projet'!$A$140,'Données projet'!$B$140,CT102+CS103-DB102)))</f>
        <v>226.28205128205127</v>
      </c>
      <c r="CU103" s="18">
        <f>CT103*VLOOKUP('Données projet'!$B$13,Paramètres!$A$1:$I$89,3,0)*VLOOKUP('Données projet'!$B$13,Paramètres!$A$1:$I$89,5,0)</f>
        <v>215.32999999999998</v>
      </c>
      <c r="CV103" s="14">
        <f t="shared" si="95"/>
        <v>53.098620315464494</v>
      </c>
      <c r="CW103" s="22">
        <f t="shared" si="67"/>
        <v>467.51318038276719</v>
      </c>
      <c r="CX103" s="60">
        <f t="shared" si="68"/>
        <v>760.8465137161005</v>
      </c>
      <c r="CY103" s="60">
        <f ca="1">AVERAGE(OFFSET($CX$3,0,0,'Données projet'!$E$13+1,1))-AVERAGE(OFFSET($H$3,0,0,'Données projet'!$E$13+1,1))</f>
        <v>354.63118425028898</v>
      </c>
      <c r="CZ103" s="60">
        <f t="shared" si="96"/>
        <v>244.7141066773861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293.06159999999983</v>
      </c>
      <c r="DQ103" s="14">
        <f t="shared" si="97"/>
        <v>69.719933365116546</v>
      </c>
      <c r="DR103" s="22">
        <f t="shared" si="70"/>
        <v>631.84450394424437</v>
      </c>
      <c r="DS103" s="60">
        <f t="shared" si="71"/>
        <v>925.17783727757774</v>
      </c>
      <c r="DT103" s="60">
        <f ca="1">AVERAGE(OFFSET($DS$3,0,0,'Données projet'!$E$14+1,1))-AVERAGE(OFFSET($H$3,0,0,'Données projet'!$E$14+1,1))</f>
        <v>455.50822833641354</v>
      </c>
      <c r="DU103" s="60">
        <f t="shared" si="98"/>
        <v>261.14722581688039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207.03241199974599</v>
      </c>
      <c r="EP103" s="60">
        <f t="shared" si="100"/>
        <v>314.188568589113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3.3752360600971367</v>
      </c>
      <c r="EW103" s="23">
        <f>EXP(-LN(2)/25)*EW102+(1-EXP(-LN(2)/25))/(LN(2)/25)*Calculateur!ER103*Calculateur!ET103*VLOOKUP('Données projet'!$B$15,Paramètres!$A$1:$I$89,3,0)*0.475*44/12</f>
        <v>1.3998919250804471</v>
      </c>
      <c r="EX103" s="23">
        <f>EXP(-LN(2)/2)*EX102+(1-EXP(-LN(2)/2))/(LN(2)/2)*ER103*EU103*VLOOKUP('Données projet'!$B$15,Paramètres!$A$1:$I$89,3,0)*0.475*44/12</f>
        <v>8.5112047873926634E-11</v>
      </c>
      <c r="EY103" s="24">
        <f t="shared" si="75"/>
        <v>4.7751279852626958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 t="e">
        <f>N104*VLOOKUP('Données projet'!$B$9,Paramètres!$A$1:$I$89,3,0)*VLOOKUP('Données projet'!$B$9,Paramètres!$A$1:$I$89,5,0)</f>
        <v>#N/A</v>
      </c>
      <c r="P104" s="14" t="e">
        <f t="shared" si="87"/>
        <v>#N/A</v>
      </c>
      <c r="Q104" s="22" t="e">
        <f t="shared" si="107"/>
        <v>#N/A</v>
      </c>
      <c r="R104" s="60" t="e">
        <f t="shared" si="55"/>
        <v>#N/A</v>
      </c>
      <c r="S104" s="60" t="e">
        <f ca="1">AVERAGE(OFFSET($R$3,0,0,'Données projet'!$E$9+1,1))-AVERAGE(OFFSET($H$3,0,0,'Données projet'!$E$9+1,1))</f>
        <v>#N/A</v>
      </c>
      <c r="T104" s="60" t="e">
        <f t="shared" si="88"/>
        <v>#N/A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 t="e">
        <f>EXP(-LN(2)/35)*Z103+(1-EXP(-LN(2)/35))/(LN(2)/35)*V104*W104*VLOOKUP('Données projet'!$B$9,Paramètres!$A$1:$I$89,3,0)*0.475*44/12</f>
        <v>#N/A</v>
      </c>
      <c r="AA104" s="23" t="e">
        <f>EXP(-LN(2)/25)*AA103+(1-EXP(-LN(2)/25))/(LN(2)/25)*Calculateur!V104*Calculateur!X104*VLOOKUP('Données projet'!$B$9,Paramètres!$A$1:$I$89,3,0)*0.475*44/12</f>
        <v>#N/A</v>
      </c>
      <c r="AB104" s="23" t="e">
        <f>EXP(-LN(2)/2)*AB103+(1-EXP(-LN(2)/2))/(LN(2)/2)*V104*Y104*VLOOKUP('Données projet'!$B$9,Paramètres!$A$1:$I$89,3,0)*0.475*44/12</f>
        <v>#N/A</v>
      </c>
      <c r="AC104" s="24" t="e">
        <f t="shared" si="57"/>
        <v>#N/A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0">
        <f t="shared" si="59"/>
        <v>813.3989415432759</v>
      </c>
      <c r="AN104" s="60">
        <f ca="1">AVERAGE(OFFSET($AM$3,0,0,'Données projet'!$E$10+1,1))-AVERAGE(OFFSET($H$3,0,0,'Données projet'!$E$10+1,1))</f>
        <v>428.8489304403459</v>
      </c>
      <c r="AO104" s="60">
        <f t="shared" si="90"/>
        <v>247.01165577562966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-3.4106051316484809E-13</v>
      </c>
      <c r="BE104" s="14">
        <f>BD104*VLOOKUP('Données projet'!$B$11,Paramètres!$A$1:$I$89,3,0)*VLOOKUP('Données projet'!$B$11,Paramètres!$A$1:$I$89,5,0)</f>
        <v>-1.9065282685915009E-13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374.79806286316051</v>
      </c>
      <c r="BJ104" s="60">
        <f t="shared" si="92"/>
        <v>350.01856672839466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3.1101673840036148</v>
      </c>
      <c r="BR104" s="23">
        <f>EXP(-LN(2)/2)*BR103+(1-EXP(-LN(2)/2))/(LN(2)/2)*BL104*BO104*VLOOKUP('Données projet'!$B$11,Paramètres!$A$1:$I$89,3,0)*0.475*44/12</f>
        <v>2.2653480468994256E-10</v>
      </c>
      <c r="BS104" s="24">
        <f t="shared" si="63"/>
        <v>3.1101673842301496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240.13391999999982</v>
      </c>
      <c r="CA104" s="14">
        <f t="shared" si="93"/>
        <v>58.468343087048559</v>
      </c>
      <c r="CB104" s="22">
        <f t="shared" si="64"/>
        <v>520.06560820994252</v>
      </c>
      <c r="CC104" s="60">
        <f t="shared" si="65"/>
        <v>813.3989415432759</v>
      </c>
      <c r="CD104" s="60">
        <f ca="1">AVERAGE(OFFSET($CC$3,0,0,'Données projet'!$E$12+1,1))-AVERAGE(OFFSET($H$3,0,0,'Données projet'!$E$12+1,1))</f>
        <v>428.8489304403459</v>
      </c>
      <c r="CE104" s="60">
        <f t="shared" si="94"/>
        <v>247.01165577562966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3.0769230769230775</v>
      </c>
      <c r="CT104" s="13">
        <f>IF('Données projet'!$A$140&gt;35,CT103+CS104-DB103,IF(A104&lt;'Données projet'!$A$140,$CQ$205^A104,IF(A104='Données projet'!$A$140,'Données projet'!$B$140,CT103+CS104-DB103)))</f>
        <v>229.35897435897434</v>
      </c>
      <c r="CU104" s="18">
        <f>CT104*VLOOKUP('Données projet'!$B$13,Paramètres!$A$1:$I$89,3,0)*VLOOKUP('Données projet'!$B$13,Paramètres!$A$1:$I$89,5,0)</f>
        <v>218.25799999999998</v>
      </c>
      <c r="CV104" s="14">
        <f t="shared" si="95"/>
        <v>53.736095630897005</v>
      </c>
      <c r="CW104" s="22">
        <f t="shared" si="67"/>
        <v>473.72304989047893</v>
      </c>
      <c r="CX104" s="60">
        <f t="shared" si="68"/>
        <v>767.05638322381219</v>
      </c>
      <c r="CY104" s="60">
        <f ca="1">AVERAGE(OFFSET($CX$3,0,0,'Données projet'!$E$13+1,1))-AVERAGE(OFFSET($H$3,0,0,'Données projet'!$E$13+1,1))</f>
        <v>354.63118425028898</v>
      </c>
      <c r="CZ104" s="60">
        <f t="shared" si="96"/>
        <v>244.7141066773861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256.69487999999984</v>
      </c>
      <c r="DQ104" s="14">
        <f t="shared" si="97"/>
        <v>62.017336223177502</v>
      </c>
      <c r="DR104" s="22">
        <f t="shared" si="70"/>
        <v>555.09044325536718</v>
      </c>
      <c r="DS104" s="60">
        <f t="shared" si="71"/>
        <v>848.42377658870055</v>
      </c>
      <c r="DT104" s="60">
        <f ca="1">AVERAGE(OFFSET($DS$3,0,0,'Données projet'!$E$14+1,1))-AVERAGE(OFFSET($H$3,0,0,'Données projet'!$E$14+1,1))</f>
        <v>455.50822833641354</v>
      </c>
      <c r="DU104" s="60">
        <f t="shared" si="98"/>
        <v>261.14722581688039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207.03241199974599</v>
      </c>
      <c r="EP104" s="60">
        <f t="shared" si="100"/>
        <v>314.188568589113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3.3090497396493497</v>
      </c>
      <c r="EW104" s="23">
        <f>EXP(-LN(2)/25)*EW103+(1-EXP(-LN(2)/25))/(LN(2)/25)*Calculateur!ER104*Calculateur!ET104*VLOOKUP('Données projet'!$B$15,Paramètres!$A$1:$I$89,3,0)*0.475*44/12</f>
        <v>1.3616118067720056</v>
      </c>
      <c r="EX104" s="23">
        <f>EXP(-LN(2)/2)*EX103+(1-EXP(-LN(2)/2))/(LN(2)/2)*ER104*EU104*VLOOKUP('Données projet'!$B$15,Paramètres!$A$1:$I$89,3,0)*0.475*44/12</f>
        <v>6.0183306212327597E-11</v>
      </c>
      <c r="EY104" s="24">
        <f t="shared" si="75"/>
        <v>4.6706615464815382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 t="e">
        <f>N105*VLOOKUP('Données projet'!$B$9,Paramètres!$A$1:$I$89,3,0)*VLOOKUP('Données projet'!$B$9,Paramètres!$A$1:$I$89,5,0)</f>
        <v>#N/A</v>
      </c>
      <c r="P105" s="14" t="e">
        <f t="shared" si="87"/>
        <v>#N/A</v>
      </c>
      <c r="Q105" s="22" t="e">
        <f t="shared" si="107"/>
        <v>#N/A</v>
      </c>
      <c r="R105" s="60" t="e">
        <f t="shared" si="55"/>
        <v>#N/A</v>
      </c>
      <c r="S105" s="60" t="e">
        <f ca="1">AVERAGE(OFFSET($R$3,0,0,'Données projet'!$E$9+1,1))-AVERAGE(OFFSET($H$3,0,0,'Données projet'!$E$9+1,1))</f>
        <v>#N/A</v>
      </c>
      <c r="T105" s="60" t="e">
        <f t="shared" si="88"/>
        <v>#N/A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 t="e">
        <f>EXP(-LN(2)/35)*Z104+(1-EXP(-LN(2)/35))/(LN(2)/35)*V105*W105*VLOOKUP('Données projet'!$B$9,Paramètres!$A$1:$I$89,3,0)*0.475*44/12</f>
        <v>#N/A</v>
      </c>
      <c r="AA105" s="23" t="e">
        <f>EXP(-LN(2)/25)*AA104+(1-EXP(-LN(2)/25))/(LN(2)/25)*Calculateur!V105*Calculateur!X105*VLOOKUP('Données projet'!$B$9,Paramètres!$A$1:$I$89,3,0)*0.475*44/12</f>
        <v>#N/A</v>
      </c>
      <c r="AB105" s="23" t="e">
        <f>EXP(-LN(2)/2)*AB104+(1-EXP(-LN(2)/2))/(LN(2)/2)*V105*Y105*VLOOKUP('Données projet'!$B$9,Paramètres!$A$1:$I$89,3,0)*0.475*44/12</f>
        <v>#N/A</v>
      </c>
      <c r="AC105" s="24" t="e">
        <f t="shared" si="57"/>
        <v>#N/A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0">
        <f t="shared" si="59"/>
        <v>821.82303552922986</v>
      </c>
      <c r="AN105" s="60">
        <f ca="1">AVERAGE(OFFSET($AM$3,0,0,'Données projet'!$E$10+1,1))-AVERAGE(OFFSET($H$3,0,0,'Données projet'!$E$10+1,1))</f>
        <v>428.8489304403459</v>
      </c>
      <c r="AO105" s="60">
        <f t="shared" si="90"/>
        <v>247.01165577562966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-3.4106051316484809E-13</v>
      </c>
      <c r="BE105" s="14">
        <f>BD105*VLOOKUP('Données projet'!$B$11,Paramètres!$A$1:$I$89,3,0)*VLOOKUP('Données projet'!$B$11,Paramètres!$A$1:$I$89,5,0)</f>
        <v>-1.9065282685915009E-13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374.79806286316051</v>
      </c>
      <c r="BJ105" s="60">
        <f t="shared" si="92"/>
        <v>350.01856672839466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3.0251196933314417</v>
      </c>
      <c r="BR105" s="23">
        <f>EXP(-LN(2)/2)*BR104+(1-EXP(-LN(2)/2))/(LN(2)/2)*BL105*BO105*VLOOKUP('Données projet'!$B$11,Paramètres!$A$1:$I$89,3,0)*0.475*44/12</f>
        <v>1.601842965710285E-10</v>
      </c>
      <c r="BS105" s="24">
        <f t="shared" si="63"/>
        <v>3.025119693491626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244.11503999999979</v>
      </c>
      <c r="CA105" s="14">
        <f t="shared" si="93"/>
        <v>59.324023461759012</v>
      </c>
      <c r="CB105" s="22">
        <f t="shared" si="64"/>
        <v>528.48970219589648</v>
      </c>
      <c r="CC105" s="60">
        <f t="shared" si="65"/>
        <v>821.82303552922986</v>
      </c>
      <c r="CD105" s="60">
        <f ca="1">AVERAGE(OFFSET($CC$3,0,0,'Données projet'!$E$12+1,1))-AVERAGE(OFFSET($H$3,0,0,'Données projet'!$E$12+1,1))</f>
        <v>428.8489304403459</v>
      </c>
      <c r="CE105" s="60">
        <f t="shared" si="94"/>
        <v>247.01165577562966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3.0769230769230775</v>
      </c>
      <c r="CT105" s="13">
        <f>IF('Données projet'!$A$140&gt;35,CT104+CS105-DB104,IF(A105&lt;'Données projet'!$A$140,$CQ$205^A105,IF(A105='Données projet'!$A$140,'Données projet'!$B$140,CT104+CS105-DB104)))</f>
        <v>232.4358974358974</v>
      </c>
      <c r="CU105" s="18">
        <f>CT105*VLOOKUP('Données projet'!$B$13,Paramètres!$A$1:$I$89,3,0)*VLOOKUP('Données projet'!$B$13,Paramètres!$A$1:$I$89,5,0)</f>
        <v>221.18599999999998</v>
      </c>
      <c r="CV105" s="14">
        <f t="shared" si="95"/>
        <v>54.372576246626387</v>
      </c>
      <c r="CW105" s="22">
        <f t="shared" si="67"/>
        <v>479.93118696287434</v>
      </c>
      <c r="CX105" s="60">
        <f t="shared" si="68"/>
        <v>773.26452029620759</v>
      </c>
      <c r="CY105" s="60">
        <f ca="1">AVERAGE(OFFSET($CX$3,0,0,'Données projet'!$E$13+1,1))-AVERAGE(OFFSET($H$3,0,0,'Données projet'!$E$13+1,1))</f>
        <v>354.63118425028898</v>
      </c>
      <c r="CZ105" s="60">
        <f t="shared" si="96"/>
        <v>244.7141066773861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260.95055999999983</v>
      </c>
      <c r="DQ105" s="14">
        <f t="shared" si="97"/>
        <v>62.924955880176938</v>
      </c>
      <c r="DR105" s="22">
        <f t="shared" si="70"/>
        <v>564.08319015797451</v>
      </c>
      <c r="DS105" s="60">
        <f t="shared" si="71"/>
        <v>857.41652349130777</v>
      </c>
      <c r="DT105" s="60">
        <f ca="1">AVERAGE(OFFSET($DS$3,0,0,'Données projet'!$E$14+1,1))-AVERAGE(OFFSET($H$3,0,0,'Données projet'!$E$14+1,1))</f>
        <v>455.50822833641354</v>
      </c>
      <c r="DU105" s="60">
        <f t="shared" si="98"/>
        <v>261.14722581688039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207.03241199974599</v>
      </c>
      <c r="EP105" s="60">
        <f t="shared" si="100"/>
        <v>314.188568589113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3.2441612925758743</v>
      </c>
      <c r="EW105" s="23">
        <f>EXP(-LN(2)/25)*EW104+(1-EXP(-LN(2)/25))/(LN(2)/25)*Calculateur!ER105*Calculateur!ET105*VLOOKUP('Données projet'!$B$15,Paramètres!$A$1:$I$89,3,0)*0.475*44/12</f>
        <v>1.3243784603117721</v>
      </c>
      <c r="EX105" s="23">
        <f>EXP(-LN(2)/2)*EX104+(1-EXP(-LN(2)/2))/(LN(2)/2)*ER105*EU105*VLOOKUP('Données projet'!$B$15,Paramètres!$A$1:$I$89,3,0)*0.475*44/12</f>
        <v>4.2556023936963317E-11</v>
      </c>
      <c r="EY105" s="24">
        <f t="shared" si="75"/>
        <v>4.568539752930203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 t="e">
        <f>N106*VLOOKUP('Données projet'!$B$9,Paramètres!$A$1:$I$89,3,0)*VLOOKUP('Données projet'!$B$9,Paramètres!$A$1:$I$89,5,0)</f>
        <v>#N/A</v>
      </c>
      <c r="P106" s="14" t="e">
        <f t="shared" si="87"/>
        <v>#N/A</v>
      </c>
      <c r="Q106" s="22" t="e">
        <f t="shared" si="107"/>
        <v>#N/A</v>
      </c>
      <c r="R106" s="60" t="e">
        <f t="shared" si="55"/>
        <v>#N/A</v>
      </c>
      <c r="S106" s="60" t="e">
        <f ca="1">AVERAGE(OFFSET($R$3,0,0,'Données projet'!$E$9+1,1))-AVERAGE(OFFSET($H$3,0,0,'Données projet'!$E$9+1,1))</f>
        <v>#N/A</v>
      </c>
      <c r="T106" s="60" t="e">
        <f t="shared" si="88"/>
        <v>#N/A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 t="e">
        <f>EXP(-LN(2)/35)*Z105+(1-EXP(-LN(2)/35))/(LN(2)/35)*V106*W106*VLOOKUP('Données projet'!$B$9,Paramètres!$A$1:$I$89,3,0)*0.475*44/12</f>
        <v>#N/A</v>
      </c>
      <c r="AA106" s="23" t="e">
        <f>EXP(-LN(2)/25)*AA105+(1-EXP(-LN(2)/25))/(LN(2)/25)*Calculateur!V106*Calculateur!X106*VLOOKUP('Données projet'!$B$9,Paramètres!$A$1:$I$89,3,0)*0.475*44/12</f>
        <v>#N/A</v>
      </c>
      <c r="AB106" s="23" t="e">
        <f>EXP(-LN(2)/2)*AB105+(1-EXP(-LN(2)/2))/(LN(2)/2)*V106*Y106*VLOOKUP('Données projet'!$B$9,Paramètres!$A$1:$I$89,3,0)*0.475*44/12</f>
        <v>#N/A</v>
      </c>
      <c r="AC106" s="24" t="e">
        <f t="shared" si="57"/>
        <v>#N/A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0">
        <f t="shared" si="59"/>
        <v>830.24430301815983</v>
      </c>
      <c r="AN106" s="60">
        <f ca="1">AVERAGE(OFFSET($AM$3,0,0,'Données projet'!$E$10+1,1))-AVERAGE(OFFSET($H$3,0,0,'Données projet'!$E$10+1,1))</f>
        <v>428.8489304403459</v>
      </c>
      <c r="AO106" s="60">
        <f t="shared" si="90"/>
        <v>247.01165577562966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-3.4106051316484809E-13</v>
      </c>
      <c r="BE106" s="14">
        <f>BD106*VLOOKUP('Données projet'!$B$11,Paramètres!$A$1:$I$89,3,0)*VLOOKUP('Données projet'!$B$11,Paramètres!$A$1:$I$89,5,0)</f>
        <v>-1.9065282685915009E-13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374.79806286316051</v>
      </c>
      <c r="BJ106" s="60">
        <f t="shared" si="92"/>
        <v>350.01856672839466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2.9423976362331627</v>
      </c>
      <c r="BR106" s="23">
        <f>EXP(-LN(2)/2)*BR105+(1-EXP(-LN(2)/2))/(LN(2)/2)*BL106*BO106*VLOOKUP('Données projet'!$B$11,Paramètres!$A$1:$I$89,3,0)*0.475*44/12</f>
        <v>1.1326740234497129E-10</v>
      </c>
      <c r="BS106" s="24">
        <f t="shared" si="63"/>
        <v>2.9423976363464304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248.0961599999998</v>
      </c>
      <c r="CA106" s="14">
        <f t="shared" si="93"/>
        <v>60.178080967364686</v>
      </c>
      <c r="CB106" s="22">
        <f t="shared" si="64"/>
        <v>536.91096968482657</v>
      </c>
      <c r="CC106" s="60">
        <f t="shared" si="65"/>
        <v>830.24430301815983</v>
      </c>
      <c r="CD106" s="60">
        <f ca="1">AVERAGE(OFFSET($CC$3,0,0,'Données projet'!$E$12+1,1))-AVERAGE(OFFSET($H$3,0,0,'Données projet'!$E$12+1,1))</f>
        <v>428.8489304403459</v>
      </c>
      <c r="CE106" s="60">
        <f t="shared" si="94"/>
        <v>247.01165577562966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3.0769230769230775</v>
      </c>
      <c r="CT106" s="13">
        <f>IF('Données projet'!$A$140&gt;35,CT105+CS106-DB105,IF(A106&lt;'Données projet'!$A$140,$CQ$205^A106,IF(A106='Données projet'!$A$140,'Données projet'!$B$140,CT105+CS106-DB105)))</f>
        <v>235.51282051282047</v>
      </c>
      <c r="CU106" s="18">
        <f>CT106*VLOOKUP('Données projet'!$B$13,Paramètres!$A$1:$I$89,3,0)*VLOOKUP('Données projet'!$B$13,Paramètres!$A$1:$I$89,5,0)</f>
        <v>224.11399999999995</v>
      </c>
      <c r="CV106" s="14">
        <f t="shared" si="95"/>
        <v>55.008076852464058</v>
      </c>
      <c r="CW106" s="22">
        <f t="shared" si="67"/>
        <v>486.13761718470818</v>
      </c>
      <c r="CX106" s="60">
        <f t="shared" si="68"/>
        <v>779.47095051804149</v>
      </c>
      <c r="CY106" s="60">
        <f ca="1">AVERAGE(OFFSET($CX$3,0,0,'Données projet'!$E$13+1,1))-AVERAGE(OFFSET($H$3,0,0,'Données projet'!$E$13+1,1))</f>
        <v>354.63118425028898</v>
      </c>
      <c r="CZ106" s="60">
        <f t="shared" si="96"/>
        <v>244.7141066773861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265.20623999999975</v>
      </c>
      <c r="DQ106" s="14">
        <f t="shared" si="97"/>
        <v>63.830854160896386</v>
      </c>
      <c r="DR106" s="22">
        <f t="shared" si="70"/>
        <v>573.07293899689409</v>
      </c>
      <c r="DS106" s="60">
        <f t="shared" si="71"/>
        <v>866.40627233022747</v>
      </c>
      <c r="DT106" s="60">
        <f ca="1">AVERAGE(OFFSET($DS$3,0,0,'Données projet'!$E$14+1,1))-AVERAGE(OFFSET($H$3,0,0,'Données projet'!$E$14+1,1))</f>
        <v>455.50822833641354</v>
      </c>
      <c r="DU106" s="60">
        <f t="shared" si="98"/>
        <v>261.14722581688039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207.03241199974599</v>
      </c>
      <c r="EP106" s="60">
        <f t="shared" si="100"/>
        <v>314.188568589113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3.180545268371465</v>
      </c>
      <c r="EW106" s="23">
        <f>EXP(-LN(2)/25)*EW105+(1-EXP(-LN(2)/25))/(LN(2)/25)*Calculateur!ER106*Calculateur!ET106*VLOOKUP('Données projet'!$B$15,Paramètres!$A$1:$I$89,3,0)*0.475*44/12</f>
        <v>1.2881632616685104</v>
      </c>
      <c r="EX106" s="23">
        <f>EXP(-LN(2)/2)*EX105+(1-EXP(-LN(2)/2))/(LN(2)/2)*ER106*EU106*VLOOKUP('Données projet'!$B$15,Paramètres!$A$1:$I$89,3,0)*0.475*44/12</f>
        <v>3.0091653106163798E-11</v>
      </c>
      <c r="EY106" s="24">
        <f t="shared" si="75"/>
        <v>4.4687085300700673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 t="e">
        <f>N107*VLOOKUP('Données projet'!$B$9,Paramètres!$A$1:$I$89,3,0)*VLOOKUP('Données projet'!$B$9,Paramètres!$A$1:$I$89,5,0)</f>
        <v>#N/A</v>
      </c>
      <c r="P107" s="14" t="e">
        <f t="shared" si="87"/>
        <v>#N/A</v>
      </c>
      <c r="Q107" s="22" t="e">
        <f t="shared" si="107"/>
        <v>#N/A</v>
      </c>
      <c r="R107" s="60" t="e">
        <f t="shared" si="55"/>
        <v>#N/A</v>
      </c>
      <c r="S107" s="60" t="e">
        <f ca="1">AVERAGE(OFFSET($R$3,0,0,'Données projet'!$E$9+1,1))-AVERAGE(OFFSET($H$3,0,0,'Données projet'!$E$9+1,1))</f>
        <v>#N/A</v>
      </c>
      <c r="T107" s="60" t="e">
        <f t="shared" si="88"/>
        <v>#N/A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 t="e">
        <f>EXP(-LN(2)/35)*Z106+(1-EXP(-LN(2)/35))/(LN(2)/35)*V107*W107*VLOOKUP('Données projet'!$B$9,Paramètres!$A$1:$I$89,3,0)*0.475*44/12</f>
        <v>#N/A</v>
      </c>
      <c r="AA107" s="23" t="e">
        <f>EXP(-LN(2)/25)*AA106+(1-EXP(-LN(2)/25))/(LN(2)/25)*Calculateur!V107*Calculateur!X107*VLOOKUP('Données projet'!$B$9,Paramètres!$A$1:$I$89,3,0)*0.475*44/12</f>
        <v>#N/A</v>
      </c>
      <c r="AB107" s="23" t="e">
        <f>EXP(-LN(2)/2)*AB106+(1-EXP(-LN(2)/2))/(LN(2)/2)*V107*Y107*VLOOKUP('Données projet'!$B$9,Paramètres!$A$1:$I$89,3,0)*0.475*44/12</f>
        <v>#N/A</v>
      </c>
      <c r="AC107" s="24" t="e">
        <f t="shared" si="57"/>
        <v>#N/A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0">
        <f t="shared" si="59"/>
        <v>838.6627946025028</v>
      </c>
      <c r="AN107" s="60">
        <f ca="1">AVERAGE(OFFSET($AM$3,0,0,'Données projet'!$E$10+1,1))-AVERAGE(OFFSET($H$3,0,0,'Données projet'!$E$10+1,1))</f>
        <v>428.8489304403459</v>
      </c>
      <c r="AO107" s="60">
        <f t="shared" si="90"/>
        <v>247.01165577562966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-3.4106051316484809E-13</v>
      </c>
      <c r="BE107" s="14">
        <f>BD107*VLOOKUP('Données projet'!$B$11,Paramètres!$A$1:$I$89,3,0)*VLOOKUP('Données projet'!$B$11,Paramètres!$A$1:$I$89,5,0)</f>
        <v>-1.9065282685915009E-13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374.79806286316051</v>
      </c>
      <c r="BJ107" s="60">
        <f t="shared" si="92"/>
        <v>350.01856672839466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2.8619376181364</v>
      </c>
      <c r="BR107" s="23">
        <f>EXP(-LN(2)/2)*BR106+(1-EXP(-LN(2)/2))/(LN(2)/2)*BL107*BO107*VLOOKUP('Données projet'!$B$11,Paramètres!$A$1:$I$89,3,0)*0.475*44/12</f>
        <v>8.0092148285514265E-11</v>
      </c>
      <c r="BS107" s="24">
        <f t="shared" si="63"/>
        <v>2.861937618216492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252.07727999999975</v>
      </c>
      <c r="CA107" s="14">
        <f t="shared" si="93"/>
        <v>61.03054465215493</v>
      </c>
      <c r="CB107" s="22">
        <f t="shared" si="64"/>
        <v>545.32946126916943</v>
      </c>
      <c r="CC107" s="60">
        <f t="shared" si="65"/>
        <v>838.6627946025028</v>
      </c>
      <c r="CD107" s="60">
        <f ca="1">AVERAGE(OFFSET($CC$3,0,0,'Données projet'!$E$12+1,1))-AVERAGE(OFFSET($H$3,0,0,'Données projet'!$E$12+1,1))</f>
        <v>428.8489304403459</v>
      </c>
      <c r="CE107" s="60">
        <f t="shared" si="94"/>
        <v>247.01165577562966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3.0769230769230775</v>
      </c>
      <c r="CT107" s="13">
        <f>IF('Données projet'!$A$140&gt;35,CT106+CS107-DB106,IF(A107&lt;'Données projet'!$A$140,$CQ$205^A107,IF(A107='Données projet'!$A$140,'Données projet'!$B$140,CT106+CS107-DB106)))</f>
        <v>238.58974358974353</v>
      </c>
      <c r="CU107" s="18">
        <f>CT107*VLOOKUP('Données projet'!$B$13,Paramètres!$A$1:$I$89,3,0)*VLOOKUP('Données projet'!$B$13,Paramètres!$A$1:$I$89,5,0)</f>
        <v>227.04199999999994</v>
      </c>
      <c r="CV107" s="14">
        <f t="shared" si="95"/>
        <v>55.642611732318088</v>
      </c>
      <c r="CW107" s="22">
        <f t="shared" si="67"/>
        <v>492.34236543378728</v>
      </c>
      <c r="CX107" s="60">
        <f t="shared" si="68"/>
        <v>785.67569876712059</v>
      </c>
      <c r="CY107" s="60">
        <f ca="1">AVERAGE(OFFSET($CX$3,0,0,'Données projet'!$E$13+1,1))-AVERAGE(OFFSET($H$3,0,0,'Données projet'!$E$13+1,1))</f>
        <v>354.63118425028898</v>
      </c>
      <c r="CZ107" s="60">
        <f t="shared" si="96"/>
        <v>244.7141066773861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269.46191999999974</v>
      </c>
      <c r="DQ107" s="14">
        <f t="shared" si="97"/>
        <v>64.735061876839055</v>
      </c>
      <c r="DR107" s="22">
        <f t="shared" si="70"/>
        <v>582.05974343549417</v>
      </c>
      <c r="DS107" s="60">
        <f t="shared" si="71"/>
        <v>875.39307676882754</v>
      </c>
      <c r="DT107" s="60">
        <f ca="1">AVERAGE(OFFSET($DS$3,0,0,'Données projet'!$E$14+1,1))-AVERAGE(OFFSET($H$3,0,0,'Données projet'!$E$14+1,1))</f>
        <v>455.50822833641354</v>
      </c>
      <c r="DU107" s="60">
        <f t="shared" si="98"/>
        <v>261.14722581688039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207.03241199974599</v>
      </c>
      <c r="EP107" s="60">
        <f t="shared" si="100"/>
        <v>314.188568589113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3.1181767155997608</v>
      </c>
      <c r="EW107" s="23">
        <f>EXP(-LN(2)/25)*EW106+(1-EXP(-LN(2)/25))/(LN(2)/25)*Calculateur!ER107*Calculateur!ET107*VLOOKUP('Données projet'!$B$15,Paramètres!$A$1:$I$89,3,0)*0.475*44/12</f>
        <v>1.2529383695366232</v>
      </c>
      <c r="EX107" s="23">
        <f>EXP(-LN(2)/2)*EX106+(1-EXP(-LN(2)/2))/(LN(2)/2)*ER107*EU107*VLOOKUP('Données projet'!$B$15,Paramètres!$A$1:$I$89,3,0)*0.475*44/12</f>
        <v>2.1278011968481659E-11</v>
      </c>
      <c r="EY107" s="24">
        <f t="shared" si="75"/>
        <v>4.3711150851576619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 t="e">
        <f>N108*VLOOKUP('Données projet'!$B$9,Paramètres!$A$1:$I$89,3,0)*VLOOKUP('Données projet'!$B$9,Paramètres!$A$1:$I$89,5,0)</f>
        <v>#N/A</v>
      </c>
      <c r="P108" s="14" t="e">
        <f t="shared" si="87"/>
        <v>#N/A</v>
      </c>
      <c r="Q108" s="22" t="e">
        <f t="shared" si="107"/>
        <v>#N/A</v>
      </c>
      <c r="R108" s="60" t="e">
        <f t="shared" si="55"/>
        <v>#N/A</v>
      </c>
      <c r="S108" s="60" t="e">
        <f ca="1">AVERAGE(OFFSET($R$3,0,0,'Données projet'!$E$9+1,1))-AVERAGE(OFFSET($H$3,0,0,'Données projet'!$E$9+1,1))</f>
        <v>#N/A</v>
      </c>
      <c r="T108" s="60" t="e">
        <f t="shared" si="88"/>
        <v>#N/A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 t="e">
        <f>EXP(-LN(2)/35)*Z107+(1-EXP(-LN(2)/35))/(LN(2)/35)*V108*W108*VLOOKUP('Données projet'!$B$9,Paramètres!$A$1:$I$89,3,0)*0.475*44/12</f>
        <v>#N/A</v>
      </c>
      <c r="AA108" s="23" t="e">
        <f>EXP(-LN(2)/25)*AA107+(1-EXP(-LN(2)/25))/(LN(2)/25)*Calculateur!V108*Calculateur!X108*VLOOKUP('Données projet'!$B$9,Paramètres!$A$1:$I$89,3,0)*0.475*44/12</f>
        <v>#N/A</v>
      </c>
      <c r="AB108" s="23" t="e">
        <f>EXP(-LN(2)/2)*AB107+(1-EXP(-LN(2)/2))/(LN(2)/2)*V108*Y108*VLOOKUP('Données projet'!$B$9,Paramètres!$A$1:$I$89,3,0)*0.475*44/12</f>
        <v>#N/A</v>
      </c>
      <c r="AC108" s="24" t="e">
        <f t="shared" si="57"/>
        <v>#N/A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0">
        <f t="shared" si="59"/>
        <v>847.07855918499604</v>
      </c>
      <c r="AN108" s="60">
        <f ca="1">AVERAGE(OFFSET($AM$3,0,0,'Données projet'!$E$10+1,1))-AVERAGE(OFFSET($H$3,0,0,'Données projet'!$E$10+1,1))</f>
        <v>428.8489304403459</v>
      </c>
      <c r="AO108" s="60">
        <f t="shared" si="90"/>
        <v>247.01165577562966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-3.4106051316484809E-13</v>
      </c>
      <c r="BE108" s="14">
        <f>BD108*VLOOKUP('Données projet'!$B$11,Paramètres!$A$1:$I$89,3,0)*VLOOKUP('Données projet'!$B$11,Paramètres!$A$1:$I$89,5,0)</f>
        <v>-1.9065282685915009E-13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374.79806286316051</v>
      </c>
      <c r="BJ108" s="60">
        <f t="shared" si="92"/>
        <v>350.01856672839466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2.783677783465702</v>
      </c>
      <c r="BR108" s="23">
        <f>EXP(-LN(2)/2)*BR107+(1-EXP(-LN(2)/2))/(LN(2)/2)*BL108*BO108*VLOOKUP('Données projet'!$B$11,Paramètres!$A$1:$I$89,3,0)*0.475*44/12</f>
        <v>5.6633701172485659E-11</v>
      </c>
      <c r="BS108" s="24">
        <f t="shared" si="63"/>
        <v>2.7836777835223359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256.05839999999972</v>
      </c>
      <c r="CA108" s="14">
        <f t="shared" si="93"/>
        <v>61.881442594256434</v>
      </c>
      <c r="CB108" s="22">
        <f t="shared" si="64"/>
        <v>553.74522585166278</v>
      </c>
      <c r="CC108" s="60">
        <f t="shared" si="65"/>
        <v>847.07855918499604</v>
      </c>
      <c r="CD108" s="60">
        <f ca="1">AVERAGE(OFFSET($CC$3,0,0,'Données projet'!$E$12+1,1))-AVERAGE(OFFSET($H$3,0,0,'Données projet'!$E$12+1,1))</f>
        <v>428.8489304403459</v>
      </c>
      <c r="CE108" s="60">
        <f t="shared" si="94"/>
        <v>247.01165577562966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3.0769230769230775</v>
      </c>
      <c r="CT108" s="13">
        <f>IF('Données projet'!$A$140&gt;35,CT107+CS108-DB107,IF(A108&lt;'Données projet'!$A$140,$CQ$205^A108,IF(A108='Données projet'!$A$140,'Données projet'!$B$140,CT107+CS108-DB107)))</f>
        <v>241.6666666666666</v>
      </c>
      <c r="CU108" s="18">
        <f>CT108*VLOOKUP('Données projet'!$B$13,Paramètres!$A$1:$I$89,3,0)*VLOOKUP('Données projet'!$B$13,Paramètres!$A$1:$I$89,5,0)</f>
        <v>229.96999999999994</v>
      </c>
      <c r="CV108" s="14">
        <f t="shared" si="95"/>
        <v>56.276194780495985</v>
      </c>
      <c r="CW108" s="22">
        <f t="shared" si="67"/>
        <v>498.54545590936368</v>
      </c>
      <c r="CX108" s="60">
        <f t="shared" si="68"/>
        <v>791.87878924269694</v>
      </c>
      <c r="CY108" s="60">
        <f ca="1">AVERAGE(OFFSET($CX$3,0,0,'Données projet'!$E$13+1,1))-AVERAGE(OFFSET($H$3,0,0,'Données projet'!$E$13+1,1))</f>
        <v>354.63118425028898</v>
      </c>
      <c r="CZ108" s="60">
        <f t="shared" si="96"/>
        <v>244.7141066773861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273.71759999999972</v>
      </c>
      <c r="DQ108" s="14">
        <f t="shared" si="97"/>
        <v>65.637608810456612</v>
      </c>
      <c r="DR108" s="22">
        <f t="shared" si="70"/>
        <v>591.04365534487806</v>
      </c>
      <c r="DS108" s="60">
        <f t="shared" si="71"/>
        <v>884.37698867821132</v>
      </c>
      <c r="DT108" s="60">
        <f ca="1">AVERAGE(OFFSET($DS$3,0,0,'Données projet'!$E$14+1,1))-AVERAGE(OFFSET($H$3,0,0,'Données projet'!$E$14+1,1))</f>
        <v>455.50822833641354</v>
      </c>
      <c r="DU108" s="60">
        <f t="shared" si="98"/>
        <v>261.14722581688039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207.03241199974599</v>
      </c>
      <c r="EP108" s="60">
        <f t="shared" si="100"/>
        <v>314.188568589113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3.057031172106849</v>
      </c>
      <c r="EW108" s="23">
        <f>EXP(-LN(2)/25)*EW107+(1-EXP(-LN(2)/25))/(LN(2)/25)*Calculateur!ER108*Calculateur!ET108*VLOOKUP('Données projet'!$B$15,Paramètres!$A$1:$I$89,3,0)*0.475*44/12</f>
        <v>1.2186767039324791</v>
      </c>
      <c r="EX108" s="23">
        <f>EXP(-LN(2)/2)*EX107+(1-EXP(-LN(2)/2))/(LN(2)/2)*ER108*EU108*VLOOKUP('Données projet'!$B$15,Paramètres!$A$1:$I$89,3,0)*0.475*44/12</f>
        <v>1.5045826553081899E-11</v>
      </c>
      <c r="EY108" s="24">
        <f t="shared" si="75"/>
        <v>4.2757078760543736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 t="e">
        <f>N109*VLOOKUP('Données projet'!$B$9,Paramètres!$A$1:$I$89,3,0)*VLOOKUP('Données projet'!$B$9,Paramètres!$A$1:$I$89,5,0)</f>
        <v>#N/A</v>
      </c>
      <c r="P109" s="14" t="e">
        <f t="shared" si="87"/>
        <v>#N/A</v>
      </c>
      <c r="Q109" s="22" t="e">
        <f t="shared" si="107"/>
        <v>#N/A</v>
      </c>
      <c r="R109" s="60" t="e">
        <f t="shared" si="55"/>
        <v>#N/A</v>
      </c>
      <c r="S109" s="60" t="e">
        <f ca="1">AVERAGE(OFFSET($R$3,0,0,'Données projet'!$E$9+1,1))-AVERAGE(OFFSET($H$3,0,0,'Données projet'!$E$9+1,1))</f>
        <v>#N/A</v>
      </c>
      <c r="T109" s="60" t="e">
        <f t="shared" si="88"/>
        <v>#N/A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 t="e">
        <f>EXP(-LN(2)/35)*Z108+(1-EXP(-LN(2)/35))/(LN(2)/35)*V109*W109*VLOOKUP('Données projet'!$B$9,Paramètres!$A$1:$I$89,3,0)*0.475*44/12</f>
        <v>#N/A</v>
      </c>
      <c r="AA109" s="23" t="e">
        <f>EXP(-LN(2)/25)*AA108+(1-EXP(-LN(2)/25))/(LN(2)/25)*Calculateur!V109*Calculateur!X109*VLOOKUP('Données projet'!$B$9,Paramètres!$A$1:$I$89,3,0)*0.475*44/12</f>
        <v>#N/A</v>
      </c>
      <c r="AB109" s="23" t="e">
        <f>EXP(-LN(2)/2)*AB108+(1-EXP(-LN(2)/2))/(LN(2)/2)*V109*Y109*VLOOKUP('Données projet'!$B$9,Paramètres!$A$1:$I$89,3,0)*0.475*44/12</f>
        <v>#N/A</v>
      </c>
      <c r="AC109" s="24" t="e">
        <f t="shared" si="57"/>
        <v>#N/A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0">
        <f t="shared" si="59"/>
        <v>855.49164406048612</v>
      </c>
      <c r="AN109" s="60">
        <f ca="1">AVERAGE(OFFSET($AM$3,0,0,'Données projet'!$E$10+1,1))-AVERAGE(OFFSET($H$3,0,0,'Données projet'!$E$10+1,1))</f>
        <v>428.8489304403459</v>
      </c>
      <c r="AO109" s="60">
        <f t="shared" si="90"/>
        <v>247.01165577562966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-3.4106051316484809E-13</v>
      </c>
      <c r="BE109" s="14">
        <f>BD109*VLOOKUP('Données projet'!$B$11,Paramètres!$A$1:$I$89,3,0)*VLOOKUP('Données projet'!$B$11,Paramètres!$A$1:$I$89,5,0)</f>
        <v>-1.9065282685915009E-13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374.79806286316051</v>
      </c>
      <c r="BJ109" s="60">
        <f t="shared" si="92"/>
        <v>350.01856672839466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2.70755796808958</v>
      </c>
      <c r="BR109" s="23">
        <f>EXP(-LN(2)/2)*BR108+(1-EXP(-LN(2)/2))/(LN(2)/2)*BL109*BO109*VLOOKUP('Données projet'!$B$11,Paramètres!$A$1:$I$89,3,0)*0.475*44/12</f>
        <v>4.0046074142757139E-11</v>
      </c>
      <c r="BS109" s="24">
        <f t="shared" si="63"/>
        <v>2.7075579681296262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260.0395199999997</v>
      </c>
      <c r="CA109" s="14">
        <f t="shared" si="93"/>
        <v>62.730801948604821</v>
      </c>
      <c r="CB109" s="22">
        <f t="shared" si="64"/>
        <v>562.15831072715287</v>
      </c>
      <c r="CC109" s="60">
        <f t="shared" si="65"/>
        <v>855.49164406048612</v>
      </c>
      <c r="CD109" s="60">
        <f ca="1">AVERAGE(OFFSET($CC$3,0,0,'Données projet'!$E$12+1,1))-AVERAGE(OFFSET($H$3,0,0,'Données projet'!$E$12+1,1))</f>
        <v>428.8489304403459</v>
      </c>
      <c r="CE109" s="60">
        <f t="shared" si="94"/>
        <v>247.01165577562966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3.0769230769230775</v>
      </c>
      <c r="CT109" s="13">
        <f>IF('Données projet'!$A$140&gt;35,CT108+CS109-DB108,IF(A109&lt;'Données projet'!$A$140,$CQ$205^A109,IF(A109='Données projet'!$A$140,'Données projet'!$B$140,CT108+CS109-DB108)))</f>
        <v>244.74358974358967</v>
      </c>
      <c r="CU109" s="18">
        <f>CT109*VLOOKUP('Données projet'!$B$13,Paramètres!$A$1:$I$89,3,0)*VLOOKUP('Données projet'!$B$13,Paramètres!$A$1:$I$89,5,0)</f>
        <v>232.89799999999994</v>
      </c>
      <c r="CV109" s="14">
        <f t="shared" si="95"/>
        <v>56.908839517153446</v>
      </c>
      <c r="CW109" s="22">
        <f t="shared" si="67"/>
        <v>504.7469121590421</v>
      </c>
      <c r="CX109" s="60">
        <f t="shared" si="68"/>
        <v>798.08024549237541</v>
      </c>
      <c r="CY109" s="60">
        <f ca="1">AVERAGE(OFFSET($CX$3,0,0,'Données projet'!$E$13+1,1))-AVERAGE(OFFSET($H$3,0,0,'Données projet'!$E$13+1,1))</f>
        <v>354.63118425028898</v>
      </c>
      <c r="CZ109" s="60">
        <f t="shared" si="96"/>
        <v>244.7141066773861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277.9732799999997</v>
      </c>
      <c r="DQ109" s="14">
        <f t="shared" si="97"/>
        <v>66.538523764973135</v>
      </c>
      <c r="DR109" s="22">
        <f t="shared" si="70"/>
        <v>600.0247248906611</v>
      </c>
      <c r="DS109" s="60">
        <f t="shared" si="71"/>
        <v>893.35805822399448</v>
      </c>
      <c r="DT109" s="60">
        <f ca="1">AVERAGE(OFFSET($DS$3,0,0,'Données projet'!$E$14+1,1))-AVERAGE(OFFSET($H$3,0,0,'Données projet'!$E$14+1,1))</f>
        <v>455.50822833641354</v>
      </c>
      <c r="DU109" s="60">
        <f t="shared" si="98"/>
        <v>261.14722581688039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207.03241199974599</v>
      </c>
      <c r="EP109" s="60">
        <f t="shared" si="100"/>
        <v>314.188568589113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2.9970846554267343</v>
      </c>
      <c r="EW109" s="23">
        <f>EXP(-LN(2)/25)*EW108+(1-EXP(-LN(2)/25))/(LN(2)/25)*Calculateur!ER109*Calculateur!ET109*VLOOKUP('Données projet'!$B$15,Paramètres!$A$1:$I$89,3,0)*0.475*44/12</f>
        <v>1.185351925376023</v>
      </c>
      <c r="EX109" s="23">
        <f>EXP(-LN(2)/2)*EX108+(1-EXP(-LN(2)/2))/(LN(2)/2)*ER109*EU109*VLOOKUP('Données projet'!$B$15,Paramètres!$A$1:$I$89,3,0)*0.475*44/12</f>
        <v>1.0639005984240829E-11</v>
      </c>
      <c r="EY109" s="24">
        <f t="shared" si="75"/>
        <v>4.1824365808133956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 t="e">
        <f>N110*VLOOKUP('Données projet'!$B$9,Paramètres!$A$1:$I$89,3,0)*VLOOKUP('Données projet'!$B$9,Paramètres!$A$1:$I$89,5,0)</f>
        <v>#N/A</v>
      </c>
      <c r="P110" s="14" t="e">
        <f t="shared" si="87"/>
        <v>#N/A</v>
      </c>
      <c r="Q110" s="22" t="e">
        <f t="shared" si="107"/>
        <v>#N/A</v>
      </c>
      <c r="R110" s="60" t="e">
        <f t="shared" si="55"/>
        <v>#N/A</v>
      </c>
      <c r="S110" s="60" t="e">
        <f ca="1">AVERAGE(OFFSET($R$3,0,0,'Données projet'!$E$9+1,1))-AVERAGE(OFFSET($H$3,0,0,'Données projet'!$E$9+1,1))</f>
        <v>#N/A</v>
      </c>
      <c r="T110" s="60" t="e">
        <f t="shared" si="88"/>
        <v>#N/A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 t="e">
        <f>EXP(-LN(2)/35)*Z109+(1-EXP(-LN(2)/35))/(LN(2)/35)*V110*W110*VLOOKUP('Données projet'!$B$9,Paramètres!$A$1:$I$89,3,0)*0.475*44/12</f>
        <v>#N/A</v>
      </c>
      <c r="AA110" s="23" t="e">
        <f>EXP(-LN(2)/25)*AA109+(1-EXP(-LN(2)/25))/(LN(2)/25)*Calculateur!V110*Calculateur!X110*VLOOKUP('Données projet'!$B$9,Paramètres!$A$1:$I$89,3,0)*0.475*44/12</f>
        <v>#N/A</v>
      </c>
      <c r="AB110" s="23" t="e">
        <f>EXP(-LN(2)/2)*AB109+(1-EXP(-LN(2)/2))/(LN(2)/2)*V110*Y110*VLOOKUP('Données projet'!$B$9,Paramètres!$A$1:$I$89,3,0)*0.475*44/12</f>
        <v>#N/A</v>
      </c>
      <c r="AC110" s="24" t="e">
        <f t="shared" si="57"/>
        <v>#N/A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0">
        <f t="shared" si="59"/>
        <v>863.9020949925864</v>
      </c>
      <c r="AN110" s="60">
        <f ca="1">AVERAGE(OFFSET($AM$3,0,0,'Données projet'!$E$10+1,1))-AVERAGE(OFFSET($H$3,0,0,'Données projet'!$E$10+1,1))</f>
        <v>428.8489304403459</v>
      </c>
      <c r="AO110" s="60">
        <f t="shared" si="90"/>
        <v>247.01165577562966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-3.4106051316484809E-13</v>
      </c>
      <c r="BE110" s="14">
        <f>BD110*VLOOKUP('Données projet'!$B$11,Paramètres!$A$1:$I$89,3,0)*VLOOKUP('Données projet'!$B$11,Paramètres!$A$1:$I$89,5,0)</f>
        <v>-1.9065282685915009E-13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374.79806286316051</v>
      </c>
      <c r="BJ110" s="60">
        <f t="shared" si="92"/>
        <v>350.01856672839466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2.6335196530678853</v>
      </c>
      <c r="BR110" s="23">
        <f>EXP(-LN(2)/2)*BR109+(1-EXP(-LN(2)/2))/(LN(2)/2)*BL110*BO110*VLOOKUP('Données projet'!$B$11,Paramètres!$A$1:$I$89,3,0)*0.475*44/12</f>
        <v>2.8316850586242833E-11</v>
      </c>
      <c r="BS110" s="24">
        <f t="shared" si="63"/>
        <v>2.6335196530962022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264.02063999999967</v>
      </c>
      <c r="CA110" s="14">
        <f t="shared" si="93"/>
        <v>63.57864899095906</v>
      </c>
      <c r="CB110" s="22">
        <f t="shared" si="64"/>
        <v>570.56876165925303</v>
      </c>
      <c r="CC110" s="60">
        <f t="shared" si="65"/>
        <v>863.9020949925864</v>
      </c>
      <c r="CD110" s="60">
        <f ca="1">AVERAGE(OFFSET($CC$3,0,0,'Données projet'!$E$12+1,1))-AVERAGE(OFFSET($H$3,0,0,'Données projet'!$E$12+1,1))</f>
        <v>428.8489304403459</v>
      </c>
      <c r="CE110" s="60">
        <f t="shared" si="94"/>
        <v>247.01165577562966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3.0769230769230775</v>
      </c>
      <c r="CT110" s="13">
        <f>IF('Données projet'!$A$140&gt;35,CT109+CS110-DB109,IF(A110&lt;'Données projet'!$A$140,$CQ$205^A110,IF(A110='Données projet'!$A$140,'Données projet'!$B$140,CT109+CS110-DB109)))</f>
        <v>247.82051282051273</v>
      </c>
      <c r="CU110" s="18">
        <f>CT110*VLOOKUP('Données projet'!$B$13,Paramètres!$A$1:$I$89,3,0)*VLOOKUP('Données projet'!$B$13,Paramètres!$A$1:$I$89,5,0)</f>
        <v>235.82599999999991</v>
      </c>
      <c r="CV110" s="14">
        <f t="shared" si="95"/>
        <v>57.540559102944393</v>
      </c>
      <c r="CW110" s="22">
        <f t="shared" si="67"/>
        <v>510.94675710429465</v>
      </c>
      <c r="CX110" s="60">
        <f t="shared" si="68"/>
        <v>804.2800904376279</v>
      </c>
      <c r="CY110" s="60">
        <f ca="1">AVERAGE(OFFSET($CX$3,0,0,'Données projet'!$E$13+1,1))-AVERAGE(OFFSET($H$3,0,0,'Données projet'!$E$13+1,1))</f>
        <v>354.63118425028898</v>
      </c>
      <c r="CZ110" s="60">
        <f t="shared" si="96"/>
        <v>244.7141066773861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282.22895999999969</v>
      </c>
      <c r="DQ110" s="14">
        <f t="shared" si="97"/>
        <v>67.437834611070301</v>
      </c>
      <c r="DR110" s="22">
        <f t="shared" si="70"/>
        <v>609.00300061428027</v>
      </c>
      <c r="DS110" s="60">
        <f t="shared" si="71"/>
        <v>902.33633394761364</v>
      </c>
      <c r="DT110" s="60">
        <f ca="1">AVERAGE(OFFSET($DS$3,0,0,'Données projet'!$E$14+1,1))-AVERAGE(OFFSET($H$3,0,0,'Données projet'!$E$14+1,1))</f>
        <v>455.50822833641354</v>
      </c>
      <c r="DU110" s="60">
        <f t="shared" si="98"/>
        <v>261.14722581688039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207.03241199974599</v>
      </c>
      <c r="EP110" s="60">
        <f t="shared" si="100"/>
        <v>314.188568589113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2.9383136533749519</v>
      </c>
      <c r="EW110" s="23">
        <f>EXP(-LN(2)/25)*EW109+(1-EXP(-LN(2)/25))/(LN(2)/25)*Calculateur!ER110*Calculateur!ET110*VLOOKUP('Données projet'!$B$15,Paramètres!$A$1:$I$89,3,0)*0.475*44/12</f>
        <v>1.152938414641667</v>
      </c>
      <c r="EX110" s="23">
        <f>EXP(-LN(2)/2)*EX109+(1-EXP(-LN(2)/2))/(LN(2)/2)*ER110*EU110*VLOOKUP('Données projet'!$B$15,Paramètres!$A$1:$I$89,3,0)*0.475*44/12</f>
        <v>7.5229132765409496E-12</v>
      </c>
      <c r="EY110" s="24">
        <f t="shared" si="75"/>
        <v>4.0912520680241418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 t="e">
        <f>N111*VLOOKUP('Données projet'!$B$9,Paramètres!$A$1:$I$89,3,0)*VLOOKUP('Données projet'!$B$9,Paramètres!$A$1:$I$89,5,0)</f>
        <v>#N/A</v>
      </c>
      <c r="P111" s="14" t="e">
        <f t="shared" si="87"/>
        <v>#N/A</v>
      </c>
      <c r="Q111" s="22" t="e">
        <f t="shared" si="107"/>
        <v>#N/A</v>
      </c>
      <c r="R111" s="60" t="e">
        <f t="shared" si="55"/>
        <v>#N/A</v>
      </c>
      <c r="S111" s="60" t="e">
        <f ca="1">AVERAGE(OFFSET($R$3,0,0,'Données projet'!$E$9+1,1))-AVERAGE(OFFSET($H$3,0,0,'Données projet'!$E$9+1,1))</f>
        <v>#N/A</v>
      </c>
      <c r="T111" s="60" t="e">
        <f t="shared" si="88"/>
        <v>#N/A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 t="e">
        <f>EXP(-LN(2)/35)*Z110+(1-EXP(-LN(2)/35))/(LN(2)/35)*V111*W111*VLOOKUP('Données projet'!$B$9,Paramètres!$A$1:$I$89,3,0)*0.475*44/12</f>
        <v>#N/A</v>
      </c>
      <c r="AA111" s="23" t="e">
        <f>EXP(-LN(2)/25)*AA110+(1-EXP(-LN(2)/25))/(LN(2)/25)*Calculateur!V111*Calculateur!X111*VLOOKUP('Données projet'!$B$9,Paramètres!$A$1:$I$89,3,0)*0.475*44/12</f>
        <v>#N/A</v>
      </c>
      <c r="AB111" s="23" t="e">
        <f>EXP(-LN(2)/2)*AB110+(1-EXP(-LN(2)/2))/(LN(2)/2)*V111*Y111*VLOOKUP('Données projet'!$B$9,Paramètres!$A$1:$I$89,3,0)*0.475*44/12</f>
        <v>#N/A</v>
      </c>
      <c r="AC111" s="24" t="e">
        <f t="shared" si="57"/>
        <v>#N/A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0">
        <f t="shared" si="59"/>
        <v>872.30995628558094</v>
      </c>
      <c r="AN111" s="60">
        <f ca="1">AVERAGE(OFFSET($AM$3,0,0,'Données projet'!$E$10+1,1))-AVERAGE(OFFSET($H$3,0,0,'Données projet'!$E$10+1,1))</f>
        <v>428.8489304403459</v>
      </c>
      <c r="AO111" s="60">
        <f t="shared" si="90"/>
        <v>247.01165577562966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-3.4106051316484809E-13</v>
      </c>
      <c r="BE111" s="14">
        <f>BD111*VLOOKUP('Données projet'!$B$11,Paramètres!$A$1:$I$89,3,0)*VLOOKUP('Données projet'!$B$11,Paramètres!$A$1:$I$89,5,0)</f>
        <v>-1.9065282685915009E-13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374.79806286316051</v>
      </c>
      <c r="BJ111" s="60">
        <f t="shared" si="92"/>
        <v>350.01856672839466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2.5615059196639645</v>
      </c>
      <c r="BR111" s="23">
        <f>EXP(-LN(2)/2)*BR110+(1-EXP(-LN(2)/2))/(LN(2)/2)*BL111*BO111*VLOOKUP('Données projet'!$B$11,Paramètres!$A$1:$I$89,3,0)*0.475*44/12</f>
        <v>2.0023037071378573E-11</v>
      </c>
      <c r="BS111" s="24">
        <f t="shared" si="63"/>
        <v>2.5615059196839876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268.00175999999971</v>
      </c>
      <c r="CA111" s="14">
        <f t="shared" si="93"/>
        <v>64.425009159185521</v>
      </c>
      <c r="CB111" s="22">
        <f t="shared" si="64"/>
        <v>578.97662295224757</v>
      </c>
      <c r="CC111" s="60">
        <f t="shared" si="65"/>
        <v>872.30995628558094</v>
      </c>
      <c r="CD111" s="60">
        <f ca="1">AVERAGE(OFFSET($CC$3,0,0,'Données projet'!$E$12+1,1))-AVERAGE(OFFSET($H$3,0,0,'Données projet'!$E$12+1,1))</f>
        <v>428.8489304403459</v>
      </c>
      <c r="CE111" s="60">
        <f t="shared" si="94"/>
        <v>247.01165577562966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3.0769230769230775</v>
      </c>
      <c r="CT111" s="13">
        <f>IF('Données projet'!$A$140&gt;35,CT110+CS111-DB110,IF(A111&lt;'Données projet'!$A$140,$CQ$205^A111,IF(A111='Données projet'!$A$140,'Données projet'!$B$140,CT110+CS111-DB110)))</f>
        <v>250.8974358974358</v>
      </c>
      <c r="CU111" s="18">
        <f>CT111*VLOOKUP('Données projet'!$B$13,Paramètres!$A$1:$I$89,3,0)*VLOOKUP('Données projet'!$B$13,Paramètres!$A$1:$I$89,5,0)</f>
        <v>238.75399999999991</v>
      </c>
      <c r="CV111" s="14">
        <f t="shared" si="95"/>
        <v>58.171366352922625</v>
      </c>
      <c r="CW111" s="22">
        <f t="shared" si="67"/>
        <v>517.14501306467344</v>
      </c>
      <c r="CX111" s="60">
        <f t="shared" si="68"/>
        <v>810.47834639800681</v>
      </c>
      <c r="CY111" s="60">
        <f ca="1">AVERAGE(OFFSET($CX$3,0,0,'Données projet'!$E$13+1,1))-AVERAGE(OFFSET($H$3,0,0,'Données projet'!$E$13+1,1))</f>
        <v>354.63118425028898</v>
      </c>
      <c r="CZ111" s="60">
        <f t="shared" si="96"/>
        <v>244.7141066773861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286.48463999999967</v>
      </c>
      <c r="DQ111" s="14">
        <f t="shared" si="97"/>
        <v>68.335568330677432</v>
      </c>
      <c r="DR111" s="22">
        <f t="shared" si="70"/>
        <v>617.97852950926267</v>
      </c>
      <c r="DS111" s="60">
        <f t="shared" si="71"/>
        <v>911.31186284259593</v>
      </c>
      <c r="DT111" s="60">
        <f ca="1">AVERAGE(OFFSET($DS$3,0,0,'Données projet'!$E$14+1,1))-AVERAGE(OFFSET($H$3,0,0,'Données projet'!$E$14+1,1))</f>
        <v>455.50822833641354</v>
      </c>
      <c r="DU111" s="60">
        <f t="shared" si="98"/>
        <v>261.14722581688039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207.03241199974599</v>
      </c>
      <c r="EP111" s="60">
        <f t="shared" si="100"/>
        <v>314.188568589113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2.8806951148266333</v>
      </c>
      <c r="EW111" s="23">
        <f>EXP(-LN(2)/25)*EW110+(1-EXP(-LN(2)/25))/(LN(2)/25)*Calculateur!ER111*Calculateur!ET111*VLOOKUP('Données projet'!$B$15,Paramètres!$A$1:$I$89,3,0)*0.475*44/12</f>
        <v>1.1214112530628946</v>
      </c>
      <c r="EX111" s="23">
        <f>EXP(-LN(2)/2)*EX110+(1-EXP(-LN(2)/2))/(LN(2)/2)*ER111*EU111*VLOOKUP('Données projet'!$B$15,Paramètres!$A$1:$I$89,3,0)*0.475*44/12</f>
        <v>5.3195029921204146E-12</v>
      </c>
      <c r="EY111" s="24">
        <f t="shared" si="75"/>
        <v>4.0021063678948474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 t="e">
        <f>N112*VLOOKUP('Données projet'!$B$9,Paramètres!$A$1:$I$89,3,0)*VLOOKUP('Données projet'!$B$9,Paramètres!$A$1:$I$89,5,0)</f>
        <v>#N/A</v>
      </c>
      <c r="P112" s="14" t="e">
        <f t="shared" si="87"/>
        <v>#N/A</v>
      </c>
      <c r="Q112" s="22" t="e">
        <f t="shared" si="107"/>
        <v>#N/A</v>
      </c>
      <c r="R112" s="60" t="e">
        <f t="shared" si="55"/>
        <v>#N/A</v>
      </c>
      <c r="S112" s="60" t="e">
        <f ca="1">AVERAGE(OFFSET($R$3,0,0,'Données projet'!$E$9+1,1))-AVERAGE(OFFSET($H$3,0,0,'Données projet'!$E$9+1,1))</f>
        <v>#N/A</v>
      </c>
      <c r="T112" s="60" t="e">
        <f t="shared" si="88"/>
        <v>#N/A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 t="e">
        <f>EXP(-LN(2)/35)*Z111+(1-EXP(-LN(2)/35))/(LN(2)/35)*V112*W112*VLOOKUP('Données projet'!$B$9,Paramètres!$A$1:$I$89,3,0)*0.475*44/12</f>
        <v>#N/A</v>
      </c>
      <c r="AA112" s="23" t="e">
        <f>EXP(-LN(2)/25)*AA111+(1-EXP(-LN(2)/25))/(LN(2)/25)*Calculateur!V112*Calculateur!X112*VLOOKUP('Données projet'!$B$9,Paramètres!$A$1:$I$89,3,0)*0.475*44/12</f>
        <v>#N/A</v>
      </c>
      <c r="AB112" s="23" t="e">
        <f>EXP(-LN(2)/2)*AB111+(1-EXP(-LN(2)/2))/(LN(2)/2)*V112*Y112*VLOOKUP('Données projet'!$B$9,Paramètres!$A$1:$I$89,3,0)*0.475*44/12</f>
        <v>#N/A</v>
      </c>
      <c r="AC112" s="24" t="e">
        <f t="shared" si="57"/>
        <v>#N/A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0">
        <f t="shared" si="59"/>
        <v>880.71527085193179</v>
      </c>
      <c r="AN112" s="60">
        <f ca="1">AVERAGE(OFFSET($AM$3,0,0,'Données projet'!$E$10+1,1))-AVERAGE(OFFSET($H$3,0,0,'Données projet'!$E$10+1,1))</f>
        <v>428.8489304403459</v>
      </c>
      <c r="AO112" s="60">
        <f t="shared" si="90"/>
        <v>247.01165577562966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-3.4106051316484809E-13</v>
      </c>
      <c r="BE112" s="14">
        <f>BD112*VLOOKUP('Données projet'!$B$11,Paramètres!$A$1:$I$89,3,0)*VLOOKUP('Données projet'!$B$11,Paramètres!$A$1:$I$89,5,0)</f>
        <v>-1.9065282685915009E-13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374.79806286316051</v>
      </c>
      <c r="BJ112" s="60">
        <f t="shared" si="92"/>
        <v>350.01856672839466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2.4914614055870112</v>
      </c>
      <c r="BR112" s="23">
        <f>EXP(-LN(2)/2)*BR111+(1-EXP(-LN(2)/2))/(LN(2)/2)*BL112*BO112*VLOOKUP('Données projet'!$B$11,Paramètres!$A$1:$I$89,3,0)*0.475*44/12</f>
        <v>1.4158425293121418E-11</v>
      </c>
      <c r="BS112" s="24">
        <f t="shared" si="63"/>
        <v>2.4914614056011697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271.98287999999962</v>
      </c>
      <c r="CA112" s="14">
        <f t="shared" si="93"/>
        <v>65.269907092018684</v>
      </c>
      <c r="CB112" s="22">
        <f t="shared" si="64"/>
        <v>587.38193751859842</v>
      </c>
      <c r="CC112" s="60">
        <f t="shared" si="65"/>
        <v>880.71527085193179</v>
      </c>
      <c r="CD112" s="60">
        <f ca="1">AVERAGE(OFFSET($CC$3,0,0,'Données projet'!$E$12+1,1))-AVERAGE(OFFSET($H$3,0,0,'Données projet'!$E$12+1,1))</f>
        <v>428.8489304403459</v>
      </c>
      <c r="CE112" s="60">
        <f t="shared" si="94"/>
        <v>247.01165577562966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3.0769230769230775</v>
      </c>
      <c r="CT112" s="13">
        <f>IF('Données projet'!$A$140&gt;35,CT111+CS112-DB111,IF(A112&lt;'Données projet'!$A$140,$CQ$205^A112,IF(A112='Données projet'!$A$140,'Données projet'!$B$140,CT111+CS112-DB111)))</f>
        <v>253.97435897435886</v>
      </c>
      <c r="CU112" s="18">
        <f>CT112*VLOOKUP('Données projet'!$B$13,Paramètres!$A$1:$I$89,3,0)*VLOOKUP('Données projet'!$B$13,Paramètres!$A$1:$I$89,5,0)</f>
        <v>241.6819999999999</v>
      </c>
      <c r="CV112" s="14">
        <f t="shared" si="95"/>
        <v>58.801273749741775</v>
      </c>
      <c r="CW112" s="22">
        <f t="shared" si="67"/>
        <v>523.34170178080001</v>
      </c>
      <c r="CX112" s="60">
        <f t="shared" si="68"/>
        <v>816.67503511413338</v>
      </c>
      <c r="CY112" s="60">
        <f ca="1">AVERAGE(OFFSET($CX$3,0,0,'Données projet'!$E$13+1,1))-AVERAGE(OFFSET($H$3,0,0,'Données projet'!$E$13+1,1))</f>
        <v>354.63118425028898</v>
      </c>
      <c r="CZ112" s="60">
        <f t="shared" si="96"/>
        <v>244.7141066773861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290.74031999999966</v>
      </c>
      <c r="DQ112" s="14">
        <f t="shared" si="97"/>
        <v>69.231751058085507</v>
      </c>
      <c r="DR112" s="22">
        <f t="shared" si="70"/>
        <v>626.95135709283159</v>
      </c>
      <c r="DS112" s="60">
        <f t="shared" si="71"/>
        <v>920.28469042616484</v>
      </c>
      <c r="DT112" s="60">
        <f ca="1">AVERAGE(OFFSET($DS$3,0,0,'Données projet'!$E$14+1,1))-AVERAGE(OFFSET($H$3,0,0,'Données projet'!$E$14+1,1))</f>
        <v>455.50822833641354</v>
      </c>
      <c r="DU112" s="60">
        <f t="shared" si="98"/>
        <v>261.14722581688039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207.03241199974599</v>
      </c>
      <c r="EP112" s="60">
        <f t="shared" si="100"/>
        <v>314.188568589113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2.8242064406754088</v>
      </c>
      <c r="EW112" s="23">
        <f>EXP(-LN(2)/25)*EW111+(1-EXP(-LN(2)/25))/(LN(2)/25)*Calculateur!ER112*Calculateur!ET112*VLOOKUP('Données projet'!$B$15,Paramètres!$A$1:$I$89,3,0)*0.475*44/12</f>
        <v>1.0907462033754349</v>
      </c>
      <c r="EX112" s="23">
        <f>EXP(-LN(2)/2)*EX111+(1-EXP(-LN(2)/2))/(LN(2)/2)*ER112*EU112*VLOOKUP('Données projet'!$B$15,Paramètres!$A$1:$I$89,3,0)*0.475*44/12</f>
        <v>3.7614566382704748E-12</v>
      </c>
      <c r="EY112" s="24">
        <f t="shared" si="75"/>
        <v>3.9149526440546052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 t="e">
        <f>N113*VLOOKUP('Données projet'!$B$9,Paramètres!$A$1:$I$89,3,0)*VLOOKUP('Données projet'!$B$9,Paramètres!$A$1:$I$89,5,0)</f>
        <v>#N/A</v>
      </c>
      <c r="P113" s="14" t="e">
        <f t="shared" si="87"/>
        <v>#N/A</v>
      </c>
      <c r="Q113" s="22" t="e">
        <f t="shared" si="107"/>
        <v>#N/A</v>
      </c>
      <c r="R113" s="60" t="e">
        <f t="shared" si="55"/>
        <v>#N/A</v>
      </c>
      <c r="S113" s="60" t="e">
        <f ca="1">AVERAGE(OFFSET($R$3,0,0,'Données projet'!$E$9+1,1))-AVERAGE(OFFSET($H$3,0,0,'Données projet'!$E$9+1,1))</f>
        <v>#N/A</v>
      </c>
      <c r="T113" s="60" t="e">
        <f t="shared" si="88"/>
        <v>#N/A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 t="e">
        <f>EXP(-LN(2)/35)*Z112+(1-EXP(-LN(2)/35))/(LN(2)/35)*V113*W113*VLOOKUP('Données projet'!$B$9,Paramètres!$A$1:$I$89,3,0)*0.475*44/12</f>
        <v>#N/A</v>
      </c>
      <c r="AA113" s="23" t="e">
        <f>EXP(-LN(2)/25)*AA112+(1-EXP(-LN(2)/25))/(LN(2)/25)*Calculateur!V113*Calculateur!X113*VLOOKUP('Données projet'!$B$9,Paramètres!$A$1:$I$89,3,0)*0.475*44/12</f>
        <v>#N/A</v>
      </c>
      <c r="AB113" s="23" t="e">
        <f>EXP(-LN(2)/2)*AB112+(1-EXP(-LN(2)/2))/(LN(2)/2)*V113*Y113*VLOOKUP('Données projet'!$B$9,Paramètres!$A$1:$I$89,3,0)*0.475*44/12</f>
        <v>#N/A</v>
      </c>
      <c r="AC113" s="24" t="e">
        <f t="shared" si="57"/>
        <v>#N/A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0">
        <f t="shared" si="59"/>
        <v>889.11808027572556</v>
      </c>
      <c r="AN113" s="60">
        <f ca="1">AVERAGE(OFFSET($AM$3,0,0,'Données projet'!$E$10+1,1))-AVERAGE(OFFSET($H$3,0,0,'Données projet'!$E$10+1,1))</f>
        <v>428.8489304403459</v>
      </c>
      <c r="AO113" s="60">
        <f t="shared" si="90"/>
        <v>247.01165577562966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-3.4106051316484809E-13</v>
      </c>
      <c r="BE113" s="14">
        <f>BD113*VLOOKUP('Données projet'!$B$11,Paramètres!$A$1:$I$89,3,0)*VLOOKUP('Données projet'!$B$11,Paramètres!$A$1:$I$89,5,0)</f>
        <v>-1.9065282685915009E-13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374.79806286316051</v>
      </c>
      <c r="BJ113" s="60">
        <f t="shared" si="92"/>
        <v>350.01856672839466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2.4233322624309732</v>
      </c>
      <c r="BR113" s="23">
        <f>EXP(-LN(2)/2)*BR112+(1-EXP(-LN(2)/2))/(LN(2)/2)*BL113*BO113*VLOOKUP('Données projet'!$B$11,Paramètres!$A$1:$I$89,3,0)*0.475*44/12</f>
        <v>1.0011518535689288E-11</v>
      </c>
      <c r="BS113" s="24">
        <f t="shared" si="63"/>
        <v>2.4233322624409848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275.9639999999996</v>
      </c>
      <c r="CA113" s="14">
        <f t="shared" si="93"/>
        <v>66.113366665488797</v>
      </c>
      <c r="CB113" s="22">
        <f t="shared" si="64"/>
        <v>595.7847469423923</v>
      </c>
      <c r="CC113" s="60">
        <f t="shared" si="65"/>
        <v>889.11808027572556</v>
      </c>
      <c r="CD113" s="60">
        <f ca="1">AVERAGE(OFFSET($CC$3,0,0,'Données projet'!$E$12+1,1))-AVERAGE(OFFSET($H$3,0,0,'Données projet'!$E$12+1,1))</f>
        <v>428.8489304403459</v>
      </c>
      <c r="CE113" s="60">
        <f t="shared" si="94"/>
        <v>247.01165577562966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257.05128205128204</v>
      </c>
      <c r="CR113" s="13">
        <f>VLOOKUP(A113,'Données projet'!$A$139:$I$159,9,0)</f>
        <v>3.0769230769230775</v>
      </c>
      <c r="CS113" s="13">
        <f t="array" ref="CS113">INDEX(CR:CR,MIN(IF(ISNUMBER(CR113:CR309),ROW(CR113:CR309),"")))</f>
        <v>3.0769230769230775</v>
      </c>
      <c r="CT113" s="13">
        <f>IF('Données projet'!$A$140&gt;35,CT112+CS113-DB112,IF(A113&lt;'Données projet'!$A$140,$CQ$205^A113,IF(A113='Données projet'!$A$140,'Données projet'!$B$140,CT112+CS113-DB112)))</f>
        <v>257.05128205128193</v>
      </c>
      <c r="CU113" s="18">
        <f>CT113*VLOOKUP('Données projet'!$B$13,Paramètres!$A$1:$I$89,3,0)*VLOOKUP('Données projet'!$B$13,Paramètres!$A$1:$I$89,5,0)</f>
        <v>244.6099999999999</v>
      </c>
      <c r="CV113" s="14">
        <f t="shared" si="95"/>
        <v>59.430293456197688</v>
      </c>
      <c r="CW113" s="22">
        <f t="shared" si="67"/>
        <v>529.5368444362108</v>
      </c>
      <c r="CX113" s="60">
        <f t="shared" si="68"/>
        <v>822.87017776954417</v>
      </c>
      <c r="CY113" s="60">
        <f ca="1">AVERAGE(OFFSET($CX$3,0,0,'Données projet'!$E$13+1,1))-AVERAGE(OFFSET($H$3,0,0,'Données projet'!$E$13+1,1))</f>
        <v>354.63118425028898</v>
      </c>
      <c r="CZ113" s="60">
        <f t="shared" si="96"/>
        <v>244.7141066773861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33.333333333333336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294.99599999999958</v>
      </c>
      <c r="DQ113" s="14">
        <f t="shared" si="97"/>
        <v>70.126408118585317</v>
      </c>
      <c r="DR113" s="22">
        <f t="shared" si="70"/>
        <v>635.92152747320199</v>
      </c>
      <c r="DS113" s="60">
        <f t="shared" si="71"/>
        <v>929.25486080653536</v>
      </c>
      <c r="DT113" s="60">
        <f ca="1">AVERAGE(OFFSET($DS$3,0,0,'Données projet'!$E$14+1,1))-AVERAGE(OFFSET($H$3,0,0,'Données projet'!$E$14+1,1))</f>
        <v>455.50822833641354</v>
      </c>
      <c r="DU113" s="60">
        <f t="shared" si="98"/>
        <v>261.14722581688039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207.03241199974599</v>
      </c>
      <c r="EP113" s="60">
        <f t="shared" si="100"/>
        <v>314.188568589113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2.7688254749696006</v>
      </c>
      <c r="EW113" s="23">
        <f>EXP(-LN(2)/25)*EW112+(1-EXP(-LN(2)/25))/(LN(2)/25)*Calculateur!ER113*Calculateur!ET113*VLOOKUP('Données projet'!$B$15,Paramètres!$A$1:$I$89,3,0)*0.475*44/12</f>
        <v>1.0609196910842837</v>
      </c>
      <c r="EX113" s="23">
        <f>EXP(-LN(2)/2)*EX112+(1-EXP(-LN(2)/2))/(LN(2)/2)*ER113*EU113*VLOOKUP('Données projet'!$B$15,Paramètres!$A$1:$I$89,3,0)*0.475*44/12</f>
        <v>2.6597514960602073E-12</v>
      </c>
      <c r="EY113" s="24">
        <f t="shared" si="75"/>
        <v>3.829745166056544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 t="e">
        <f>N114*VLOOKUP('Données projet'!$B$9,Paramètres!$A$1:$I$89,3,0)*VLOOKUP('Données projet'!$B$9,Paramètres!$A$1:$I$89,5,0)</f>
        <v>#N/A</v>
      </c>
      <c r="P114" s="14" t="e">
        <f t="shared" si="87"/>
        <v>#N/A</v>
      </c>
      <c r="Q114" s="22" t="e">
        <f t="shared" si="107"/>
        <v>#N/A</v>
      </c>
      <c r="R114" s="60" t="e">
        <f t="shared" si="55"/>
        <v>#N/A</v>
      </c>
      <c r="S114" s="60" t="e">
        <f ca="1">AVERAGE(OFFSET($R$3,0,0,'Données projet'!$E$9+1,1))-AVERAGE(OFFSET($H$3,0,0,'Données projet'!$E$9+1,1))</f>
        <v>#N/A</v>
      </c>
      <c r="T114" s="60" t="e">
        <f t="shared" si="88"/>
        <v>#N/A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 t="e">
        <f>EXP(-LN(2)/35)*Z113+(1-EXP(-LN(2)/35))/(LN(2)/35)*V114*W114*VLOOKUP('Données projet'!$B$9,Paramètres!$A$1:$I$89,3,0)*0.475*44/12</f>
        <v>#N/A</v>
      </c>
      <c r="AA114" s="23" t="e">
        <f>EXP(-LN(2)/25)*AA113+(1-EXP(-LN(2)/25))/(LN(2)/25)*Calculateur!V114*Calculateur!X114*VLOOKUP('Données projet'!$B$9,Paramètres!$A$1:$I$89,3,0)*0.475*44/12</f>
        <v>#N/A</v>
      </c>
      <c r="AB114" s="23" t="e">
        <f>EXP(-LN(2)/2)*AB113+(1-EXP(-LN(2)/2))/(LN(2)/2)*V114*Y114*VLOOKUP('Données projet'!$B$9,Paramètres!$A$1:$I$89,3,0)*0.475*44/12</f>
        <v>#N/A</v>
      </c>
      <c r="AC114" s="24" t="e">
        <f t="shared" si="57"/>
        <v>#N/A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0">
        <f t="shared" si="59"/>
        <v>821.63161043190416</v>
      </c>
      <c r="AN114" s="60">
        <f ca="1">AVERAGE(OFFSET($AM$3,0,0,'Données projet'!$E$10+1,1))-AVERAGE(OFFSET($H$3,0,0,'Données projet'!$E$10+1,1))</f>
        <v>428.8489304403459</v>
      </c>
      <c r="AO114" s="60">
        <f t="shared" si="90"/>
        <v>247.01165577562966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-3.4106051316484809E-13</v>
      </c>
      <c r="BE114" s="14">
        <f>BD114*VLOOKUP('Données projet'!$B$11,Paramètres!$A$1:$I$89,3,0)*VLOOKUP('Données projet'!$B$11,Paramètres!$A$1:$I$89,5,0)</f>
        <v>-1.9065282685915009E-13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374.79806286316051</v>
      </c>
      <c r="BJ114" s="60">
        <f t="shared" si="92"/>
        <v>350.01856672839466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2.3570661142772931</v>
      </c>
      <c r="BR114" s="23">
        <f>EXP(-LN(2)/2)*BR113+(1-EXP(-LN(2)/2))/(LN(2)/2)*BL114*BO114*VLOOKUP('Données projet'!$B$11,Paramètres!$A$1:$I$89,3,0)*0.475*44/12</f>
        <v>7.0792126465607106E-12</v>
      </c>
      <c r="BS114" s="24">
        <f t="shared" si="63"/>
        <v>2.3570661142843723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244.02455999999964</v>
      </c>
      <c r="CA114" s="14">
        <f t="shared" si="93"/>
        <v>59.304594314969229</v>
      </c>
      <c r="CB114" s="22">
        <f t="shared" si="64"/>
        <v>528.29827709857079</v>
      </c>
      <c r="CC114" s="60">
        <f t="shared" si="65"/>
        <v>821.63161043190416</v>
      </c>
      <c r="CD114" s="60">
        <f ca="1">AVERAGE(OFFSET($CC$3,0,0,'Données projet'!$E$12+1,1))-AVERAGE(OFFSET($H$3,0,0,'Données projet'!$E$12+1,1))</f>
        <v>428.8489304403459</v>
      </c>
      <c r="CE114" s="60">
        <f t="shared" si="94"/>
        <v>247.01165577562966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2.7564102564102568</v>
      </c>
      <c r="CT114" s="13">
        <f>IF('Données projet'!$A$140&gt;35,CT113+CS114-DB113,IF(A114&lt;'Données projet'!$A$140,$CQ$205^A114,IF(A114='Données projet'!$A$140,'Données projet'!$B$140,CT113+CS114-DB113)))</f>
        <v>226.47435897435886</v>
      </c>
      <c r="CU114" s="18">
        <f>CT114*VLOOKUP('Données projet'!$B$13,Paramètres!$A$1:$I$89,3,0)*VLOOKUP('Données projet'!$B$13,Paramètres!$A$1:$I$89,5,0)</f>
        <v>215.51299999999989</v>
      </c>
      <c r="CV114" s="14">
        <f t="shared" si="95"/>
        <v>53.138491948042898</v>
      </c>
      <c r="CW114" s="22">
        <f t="shared" si="67"/>
        <v>467.90134847617452</v>
      </c>
      <c r="CX114" s="60">
        <f t="shared" si="68"/>
        <v>761.23468180950783</v>
      </c>
      <c r="CY114" s="60">
        <f ca="1">AVERAGE(OFFSET($CX$3,0,0,'Données projet'!$E$13+1,1))-AVERAGE(OFFSET($H$3,0,0,'Données projet'!$E$13+1,1))</f>
        <v>354.63118425028898</v>
      </c>
      <c r="CZ114" s="60">
        <f t="shared" si="96"/>
        <v>244.7141066773861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260.85383999999959</v>
      </c>
      <c r="DQ114" s="14">
        <f t="shared" si="97"/>
        <v>62.904347395903649</v>
      </c>
      <c r="DR114" s="22">
        <f t="shared" si="70"/>
        <v>563.87884304786473</v>
      </c>
      <c r="DS114" s="60">
        <f t="shared" si="71"/>
        <v>857.21217638119811</v>
      </c>
      <c r="DT114" s="60">
        <f ca="1">AVERAGE(OFFSET($DS$3,0,0,'Données projet'!$E$14+1,1))-AVERAGE(OFFSET($H$3,0,0,'Données projet'!$E$14+1,1))</f>
        <v>455.50822833641354</v>
      </c>
      <c r="DU114" s="60">
        <f t="shared" si="98"/>
        <v>261.14722581688039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207.03241199974599</v>
      </c>
      <c r="EP114" s="60">
        <f t="shared" si="100"/>
        <v>314.188568589113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2.7145304962222299</v>
      </c>
      <c r="EW114" s="23">
        <f>EXP(-LN(2)/25)*EW113+(1-EXP(-LN(2)/25))/(LN(2)/25)*Calculateur!ER114*Calculateur!ET114*VLOOKUP('Données projet'!$B$15,Paramètres!$A$1:$I$89,3,0)*0.475*44/12</f>
        <v>1.0319087863402423</v>
      </c>
      <c r="EX114" s="23">
        <f>EXP(-LN(2)/2)*EX113+(1-EXP(-LN(2)/2))/(LN(2)/2)*ER114*EU114*VLOOKUP('Données projet'!$B$15,Paramètres!$A$1:$I$89,3,0)*0.475*44/12</f>
        <v>1.8807283191352374E-12</v>
      </c>
      <c r="EY114" s="24">
        <f t="shared" si="75"/>
        <v>3.7464392825643529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 t="e">
        <f>N115*VLOOKUP('Données projet'!$B$9,Paramètres!$A$1:$I$89,3,0)*VLOOKUP('Données projet'!$B$9,Paramètres!$A$1:$I$89,5,0)</f>
        <v>#N/A</v>
      </c>
      <c r="P115" s="14" t="e">
        <f t="shared" si="87"/>
        <v>#N/A</v>
      </c>
      <c r="Q115" s="22" t="e">
        <f t="shared" si="107"/>
        <v>#N/A</v>
      </c>
      <c r="R115" s="60" t="e">
        <f t="shared" si="55"/>
        <v>#N/A</v>
      </c>
      <c r="S115" s="60" t="e">
        <f ca="1">AVERAGE(OFFSET($R$3,0,0,'Données projet'!$E$9+1,1))-AVERAGE(OFFSET($H$3,0,0,'Données projet'!$E$9+1,1))</f>
        <v>#N/A</v>
      </c>
      <c r="T115" s="60" t="e">
        <f t="shared" si="88"/>
        <v>#N/A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 t="e">
        <f>EXP(-LN(2)/35)*Z114+(1-EXP(-LN(2)/35))/(LN(2)/35)*V115*W115*VLOOKUP('Données projet'!$B$9,Paramètres!$A$1:$I$89,3,0)*0.475*44/12</f>
        <v>#N/A</v>
      </c>
      <c r="AA115" s="23" t="e">
        <f>EXP(-LN(2)/25)*AA114+(1-EXP(-LN(2)/25))/(LN(2)/25)*Calculateur!V115*Calculateur!X115*VLOOKUP('Données projet'!$B$9,Paramètres!$A$1:$I$89,3,0)*0.475*44/12</f>
        <v>#N/A</v>
      </c>
      <c r="AB115" s="23" t="e">
        <f>EXP(-LN(2)/2)*AB114+(1-EXP(-LN(2)/2))/(LN(2)/2)*V115*Y115*VLOOKUP('Données projet'!$B$9,Paramètres!$A$1:$I$89,3,0)*0.475*44/12</f>
        <v>#N/A</v>
      </c>
      <c r="AC115" s="24" t="e">
        <f t="shared" si="57"/>
        <v>#N/A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0">
        <f t="shared" si="59"/>
        <v>828.7133714063857</v>
      </c>
      <c r="AN115" s="60">
        <f ca="1">AVERAGE(OFFSET($AM$3,0,0,'Données projet'!$E$10+1,1))-AVERAGE(OFFSET($H$3,0,0,'Données projet'!$E$10+1,1))</f>
        <v>428.8489304403459</v>
      </c>
      <c r="AO115" s="60">
        <f t="shared" si="90"/>
        <v>247.01165577562966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-3.4106051316484809E-13</v>
      </c>
      <c r="BE115" s="14">
        <f>BD115*VLOOKUP('Données projet'!$B$11,Paramètres!$A$1:$I$89,3,0)*VLOOKUP('Données projet'!$B$11,Paramètres!$A$1:$I$89,5,0)</f>
        <v>-1.9065282685915009E-13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374.79806286316051</v>
      </c>
      <c r="BJ115" s="60">
        <f t="shared" si="92"/>
        <v>350.01856672839466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2.2926120174296605</v>
      </c>
      <c r="BR115" s="23">
        <f>EXP(-LN(2)/2)*BR114+(1-EXP(-LN(2)/2))/(LN(2)/2)*BL115*BO115*VLOOKUP('Données projet'!$B$11,Paramètres!$A$1:$I$89,3,0)*0.475*44/12</f>
        <v>5.0057592678446448E-12</v>
      </c>
      <c r="BS115" s="24">
        <f t="shared" si="63"/>
        <v>2.2926120174346662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247.3723199999996</v>
      </c>
      <c r="CA115" s="14">
        <f t="shared" si="93"/>
        <v>60.022917171130942</v>
      </c>
      <c r="CB115" s="22">
        <f t="shared" si="64"/>
        <v>535.38003807305233</v>
      </c>
      <c r="CC115" s="60">
        <f t="shared" si="65"/>
        <v>828.7133714063857</v>
      </c>
      <c r="CD115" s="60">
        <f ca="1">AVERAGE(OFFSET($CC$3,0,0,'Données projet'!$E$12+1,1))-AVERAGE(OFFSET($H$3,0,0,'Données projet'!$E$12+1,1))</f>
        <v>428.8489304403459</v>
      </c>
      <c r="CE115" s="60">
        <f t="shared" si="94"/>
        <v>247.01165577562966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2.7564102564102568</v>
      </c>
      <c r="CT115" s="13">
        <f>IF('Données projet'!$A$140&gt;35,CT114+CS115-DB114,IF(A115&lt;'Données projet'!$A$140,$CQ$205^A115,IF(A115='Données projet'!$A$140,'Données projet'!$B$140,CT114+CS115-DB114)))</f>
        <v>229.23076923076911</v>
      </c>
      <c r="CU115" s="18">
        <f>CT115*VLOOKUP('Données projet'!$B$13,Paramètres!$A$1:$I$89,3,0)*VLOOKUP('Données projet'!$B$13,Paramètres!$A$1:$I$89,5,0)</f>
        <v>218.13599999999991</v>
      </c>
      <c r="CV115" s="14">
        <f t="shared" si="95"/>
        <v>53.709554122184592</v>
      </c>
      <c r="CW115" s="22">
        <f t="shared" si="67"/>
        <v>473.46434009613796</v>
      </c>
      <c r="CX115" s="60">
        <f t="shared" si="68"/>
        <v>766.79767342947127</v>
      </c>
      <c r="CY115" s="60">
        <f ca="1">AVERAGE(OFFSET($CX$3,0,0,'Données projet'!$E$13+1,1))-AVERAGE(OFFSET($H$3,0,0,'Données projet'!$E$13+1,1))</f>
        <v>354.63118425028898</v>
      </c>
      <c r="CZ115" s="60">
        <f t="shared" si="96"/>
        <v>244.7141066773861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264.4324799999996</v>
      </c>
      <c r="DQ115" s="14">
        <f t="shared" si="97"/>
        <v>63.666272015882292</v>
      </c>
      <c r="DR115" s="22">
        <f t="shared" si="70"/>
        <v>571.43865976099426</v>
      </c>
      <c r="DS115" s="60">
        <f t="shared" si="71"/>
        <v>864.77199309432763</v>
      </c>
      <c r="DT115" s="60">
        <f ca="1">AVERAGE(OFFSET($DS$3,0,0,'Données projet'!$E$14+1,1))-AVERAGE(OFFSET($H$3,0,0,'Données projet'!$E$14+1,1))</f>
        <v>455.50822833641354</v>
      </c>
      <c r="DU115" s="60">
        <f t="shared" si="98"/>
        <v>261.14722581688039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207.03241199974599</v>
      </c>
      <c r="EP115" s="60">
        <f t="shared" si="100"/>
        <v>314.188568589113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2.6613002088914279</v>
      </c>
      <c r="EW115" s="23">
        <f>EXP(-LN(2)/25)*EW114+(1-EXP(-LN(2)/25))/(LN(2)/25)*Calculateur!ER115*Calculateur!ET115*VLOOKUP('Données projet'!$B$15,Paramètres!$A$1:$I$89,3,0)*0.475*44/12</f>
        <v>1.0036911863120437</v>
      </c>
      <c r="EX115" s="23">
        <f>EXP(-LN(2)/2)*EX114+(1-EXP(-LN(2)/2))/(LN(2)/2)*ER115*EU115*VLOOKUP('Données projet'!$B$15,Paramètres!$A$1:$I$89,3,0)*0.475*44/12</f>
        <v>1.3298757480301037E-12</v>
      </c>
      <c r="EY115" s="24">
        <f t="shared" si="75"/>
        <v>3.6649913952048014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 t="e">
        <f>N116*VLOOKUP('Données projet'!$B$9,Paramètres!$A$1:$I$89,3,0)*VLOOKUP('Données projet'!$B$9,Paramètres!$A$1:$I$89,5,0)</f>
        <v>#N/A</v>
      </c>
      <c r="P116" s="14" t="e">
        <f t="shared" si="87"/>
        <v>#N/A</v>
      </c>
      <c r="Q116" s="22" t="e">
        <f t="shared" si="107"/>
        <v>#N/A</v>
      </c>
      <c r="R116" s="60" t="e">
        <f t="shared" si="55"/>
        <v>#N/A</v>
      </c>
      <c r="S116" s="60" t="e">
        <f ca="1">AVERAGE(OFFSET($R$3,0,0,'Données projet'!$E$9+1,1))-AVERAGE(OFFSET($H$3,0,0,'Données projet'!$E$9+1,1))</f>
        <v>#N/A</v>
      </c>
      <c r="T116" s="60" t="e">
        <f t="shared" si="88"/>
        <v>#N/A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 t="e">
        <f>EXP(-LN(2)/35)*Z115+(1-EXP(-LN(2)/35))/(LN(2)/35)*V116*W116*VLOOKUP('Données projet'!$B$9,Paramètres!$A$1:$I$89,3,0)*0.475*44/12</f>
        <v>#N/A</v>
      </c>
      <c r="AA116" s="23" t="e">
        <f>EXP(-LN(2)/25)*AA115+(1-EXP(-LN(2)/25))/(LN(2)/25)*Calculateur!V116*Calculateur!X116*VLOOKUP('Données projet'!$B$9,Paramètres!$A$1:$I$89,3,0)*0.475*44/12</f>
        <v>#N/A</v>
      </c>
      <c r="AB116" s="23" t="e">
        <f>EXP(-LN(2)/2)*AB115+(1-EXP(-LN(2)/2))/(LN(2)/2)*V116*Y116*VLOOKUP('Données projet'!$B$9,Paramètres!$A$1:$I$89,3,0)*0.475*44/12</f>
        <v>#N/A</v>
      </c>
      <c r="AC116" s="24" t="e">
        <f t="shared" si="57"/>
        <v>#N/A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0">
        <f t="shared" si="59"/>
        <v>835.79316307617296</v>
      </c>
      <c r="AN116" s="60">
        <f ca="1">AVERAGE(OFFSET($AM$3,0,0,'Données projet'!$E$10+1,1))-AVERAGE(OFFSET($H$3,0,0,'Données projet'!$E$10+1,1))</f>
        <v>428.8489304403459</v>
      </c>
      <c r="AO116" s="60">
        <f t="shared" si="90"/>
        <v>247.01165577562966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-3.4106051316484809E-13</v>
      </c>
      <c r="BE116" s="14">
        <f>BD116*VLOOKUP('Données projet'!$B$11,Paramètres!$A$1:$I$89,3,0)*VLOOKUP('Données projet'!$B$11,Paramètres!$A$1:$I$89,5,0)</f>
        <v>-1.9065282685915009E-13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374.79806286316051</v>
      </c>
      <c r="BJ116" s="60">
        <f t="shared" si="92"/>
        <v>350.01856672839466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2.2299204212498203</v>
      </c>
      <c r="BR116" s="23">
        <f>EXP(-LN(2)/2)*BR115+(1-EXP(-LN(2)/2))/(LN(2)/2)*BL116*BO116*VLOOKUP('Données projet'!$B$11,Paramètres!$A$1:$I$89,3,0)*0.475*44/12</f>
        <v>3.5396063232803557E-12</v>
      </c>
      <c r="BS116" s="24">
        <f t="shared" si="63"/>
        <v>2.2299204212533597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250.7200799999996</v>
      </c>
      <c r="CA116" s="14">
        <f t="shared" si="93"/>
        <v>60.740109326032709</v>
      </c>
      <c r="CB116" s="22">
        <f t="shared" si="64"/>
        <v>542.45982974283959</v>
      </c>
      <c r="CC116" s="60">
        <f t="shared" si="65"/>
        <v>835.79316307617296</v>
      </c>
      <c r="CD116" s="60">
        <f ca="1">AVERAGE(OFFSET($CC$3,0,0,'Données projet'!$E$12+1,1))-AVERAGE(OFFSET($H$3,0,0,'Données projet'!$E$12+1,1))</f>
        <v>428.8489304403459</v>
      </c>
      <c r="CE116" s="60">
        <f t="shared" si="94"/>
        <v>247.01165577562966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2.7564102564102568</v>
      </c>
      <c r="CT116" s="13">
        <f>IF('Données projet'!$A$140&gt;35,CT115+CS116-DB115,IF(A116&lt;'Données projet'!$A$140,$CQ$205^A116,IF(A116='Données projet'!$A$140,'Données projet'!$B$140,CT115+CS116-DB115)))</f>
        <v>231.98717948717936</v>
      </c>
      <c r="CU116" s="18">
        <f>CT116*VLOOKUP('Données projet'!$B$13,Paramètres!$A$1:$I$89,3,0)*VLOOKUP('Données projet'!$B$13,Paramètres!$A$1:$I$89,5,0)</f>
        <v>220.75899999999987</v>
      </c>
      <c r="CV116" s="14">
        <f t="shared" si="95"/>
        <v>54.279817539670319</v>
      </c>
      <c r="CW116" s="22">
        <f t="shared" si="67"/>
        <v>479.02594054825886</v>
      </c>
      <c r="CX116" s="60">
        <f t="shared" si="68"/>
        <v>772.35927388159212</v>
      </c>
      <c r="CY116" s="60">
        <f ca="1">AVERAGE(OFFSET($CX$3,0,0,'Données projet'!$E$13+1,1))-AVERAGE(OFFSET($H$3,0,0,'Données projet'!$E$13+1,1))</f>
        <v>354.63118425028898</v>
      </c>
      <c r="CZ116" s="60">
        <f t="shared" si="96"/>
        <v>244.7141066773861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268.01111999999961</v>
      </c>
      <c r="DQ116" s="14">
        <f t="shared" si="97"/>
        <v>64.426997301716796</v>
      </c>
      <c r="DR116" s="22">
        <f t="shared" si="70"/>
        <v>578.99638763382268</v>
      </c>
      <c r="DS116" s="60">
        <f t="shared" si="71"/>
        <v>872.32972096715594</v>
      </c>
      <c r="DT116" s="60">
        <f ca="1">AVERAGE(OFFSET($DS$3,0,0,'Données projet'!$E$14+1,1))-AVERAGE(OFFSET($H$3,0,0,'Données projet'!$E$14+1,1))</f>
        <v>455.50822833641354</v>
      </c>
      <c r="DU116" s="60">
        <f t="shared" si="98"/>
        <v>261.14722581688039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207.03241199974599</v>
      </c>
      <c r="EP116" s="60">
        <f t="shared" si="100"/>
        <v>314.188568589113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2.6091137350279134</v>
      </c>
      <c r="EW116" s="23">
        <f>EXP(-LN(2)/25)*EW115+(1-EXP(-LN(2)/25))/(LN(2)/25)*Calculateur!ER116*Calculateur!ET116*VLOOKUP('Données projet'!$B$15,Paramètres!$A$1:$I$89,3,0)*0.475*44/12</f>
        <v>0.97624519804051535</v>
      </c>
      <c r="EX116" s="23">
        <f>EXP(-LN(2)/2)*EX115+(1-EXP(-LN(2)/2))/(LN(2)/2)*ER116*EU116*VLOOKUP('Données projet'!$B$15,Paramètres!$A$1:$I$89,3,0)*0.475*44/12</f>
        <v>9.403641595676187E-13</v>
      </c>
      <c r="EY116" s="24">
        <f t="shared" si="75"/>
        <v>3.5853589330693696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 t="e">
        <f>N117*VLOOKUP('Données projet'!$B$9,Paramètres!$A$1:$I$89,3,0)*VLOOKUP('Données projet'!$B$9,Paramètres!$A$1:$I$89,5,0)</f>
        <v>#N/A</v>
      </c>
      <c r="P117" s="14" t="e">
        <f t="shared" si="87"/>
        <v>#N/A</v>
      </c>
      <c r="Q117" s="22" t="e">
        <f t="shared" si="107"/>
        <v>#N/A</v>
      </c>
      <c r="R117" s="60" t="e">
        <f t="shared" si="55"/>
        <v>#N/A</v>
      </c>
      <c r="S117" s="60" t="e">
        <f ca="1">AVERAGE(OFFSET($R$3,0,0,'Données projet'!$E$9+1,1))-AVERAGE(OFFSET($H$3,0,0,'Données projet'!$E$9+1,1))</f>
        <v>#N/A</v>
      </c>
      <c r="T117" s="60" t="e">
        <f t="shared" si="88"/>
        <v>#N/A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 t="e">
        <f>EXP(-LN(2)/35)*Z116+(1-EXP(-LN(2)/35))/(LN(2)/35)*V117*W117*VLOOKUP('Données projet'!$B$9,Paramètres!$A$1:$I$89,3,0)*0.475*44/12</f>
        <v>#N/A</v>
      </c>
      <c r="AA117" s="23" t="e">
        <f>EXP(-LN(2)/25)*AA116+(1-EXP(-LN(2)/25))/(LN(2)/25)*Calculateur!V117*Calculateur!X117*VLOOKUP('Données projet'!$B$9,Paramètres!$A$1:$I$89,3,0)*0.475*44/12</f>
        <v>#N/A</v>
      </c>
      <c r="AB117" s="23" t="e">
        <f>EXP(-LN(2)/2)*AB116+(1-EXP(-LN(2)/2))/(LN(2)/2)*V117*Y117*VLOOKUP('Données projet'!$B$9,Paramètres!$A$1:$I$89,3,0)*0.475*44/12</f>
        <v>#N/A</v>
      </c>
      <c r="AC117" s="24" t="e">
        <f t="shared" si="57"/>
        <v>#N/A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0">
        <f t="shared" si="59"/>
        <v>842.87101477628994</v>
      </c>
      <c r="AN117" s="60">
        <f ca="1">AVERAGE(OFFSET($AM$3,0,0,'Données projet'!$E$10+1,1))-AVERAGE(OFFSET($H$3,0,0,'Données projet'!$E$10+1,1))</f>
        <v>428.8489304403459</v>
      </c>
      <c r="AO117" s="60">
        <f t="shared" si="90"/>
        <v>247.01165577562966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-3.4106051316484809E-13</v>
      </c>
      <c r="BE117" s="14">
        <f>BD117*VLOOKUP('Données projet'!$B$11,Paramètres!$A$1:$I$89,3,0)*VLOOKUP('Données projet'!$B$11,Paramètres!$A$1:$I$89,5,0)</f>
        <v>-1.9065282685915009E-13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374.79806286316051</v>
      </c>
      <c r="BJ117" s="60">
        <f t="shared" si="92"/>
        <v>350.01856672839466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2.1689431300643256</v>
      </c>
      <c r="BR117" s="23">
        <f>EXP(-LN(2)/2)*BR116+(1-EXP(-LN(2)/2))/(LN(2)/2)*BL117*BO117*VLOOKUP('Données projet'!$B$11,Paramètres!$A$1:$I$89,3,0)*0.475*44/12</f>
        <v>2.5028796339223228E-12</v>
      </c>
      <c r="BS117" s="24">
        <f t="shared" si="63"/>
        <v>2.1689431300668285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254.06783999999956</v>
      </c>
      <c r="CA117" s="14">
        <f t="shared" si="93"/>
        <v>61.456187622750669</v>
      </c>
      <c r="CB117" s="22">
        <f t="shared" si="64"/>
        <v>549.53768144295657</v>
      </c>
      <c r="CC117" s="60">
        <f t="shared" si="65"/>
        <v>842.87101477628994</v>
      </c>
      <c r="CD117" s="60">
        <f ca="1">AVERAGE(OFFSET($CC$3,0,0,'Données projet'!$E$12+1,1))-AVERAGE(OFFSET($H$3,0,0,'Données projet'!$E$12+1,1))</f>
        <v>428.8489304403459</v>
      </c>
      <c r="CE117" s="60">
        <f t="shared" si="94"/>
        <v>247.01165577562966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2.7564102564102568</v>
      </c>
      <c r="CT117" s="13">
        <f>IF('Données projet'!$A$140&gt;35,CT116+CS117-DB116,IF(A117&lt;'Données projet'!$A$140,$CQ$205^A117,IF(A117='Données projet'!$A$140,'Données projet'!$B$140,CT116+CS117-DB116)))</f>
        <v>234.74358974358961</v>
      </c>
      <c r="CU117" s="18">
        <f>CT117*VLOOKUP('Données projet'!$B$13,Paramètres!$A$1:$I$89,3,0)*VLOOKUP('Données projet'!$B$13,Paramètres!$A$1:$I$89,5,0)</f>
        <v>223.38199999999986</v>
      </c>
      <c r="CV117" s="14">
        <f t="shared" si="95"/>
        <v>54.849292789000252</v>
      </c>
      <c r="CW117" s="22">
        <f t="shared" si="67"/>
        <v>484.58616827417518</v>
      </c>
      <c r="CX117" s="60">
        <f t="shared" si="68"/>
        <v>777.91950160750844</v>
      </c>
      <c r="CY117" s="60">
        <f ca="1">AVERAGE(OFFSET($CX$3,0,0,'Données projet'!$E$13+1,1))-AVERAGE(OFFSET($H$3,0,0,'Données projet'!$E$13+1,1))</f>
        <v>354.63118425028898</v>
      </c>
      <c r="CZ117" s="60">
        <f t="shared" si="96"/>
        <v>244.7141066773861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271.58975999999956</v>
      </c>
      <c r="DQ117" s="14">
        <f t="shared" si="97"/>
        <v>65.186541118848012</v>
      </c>
      <c r="DR117" s="22">
        <f t="shared" si="70"/>
        <v>586.55205778199286</v>
      </c>
      <c r="DS117" s="60">
        <f t="shared" si="71"/>
        <v>879.88539111532623</v>
      </c>
      <c r="DT117" s="60">
        <f ca="1">AVERAGE(OFFSET($DS$3,0,0,'Données projet'!$E$14+1,1))-AVERAGE(OFFSET($H$3,0,0,'Données projet'!$E$14+1,1))</f>
        <v>455.50822833641354</v>
      </c>
      <c r="DU117" s="60">
        <f t="shared" si="98"/>
        <v>261.14722581688039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207.03241199974599</v>
      </c>
      <c r="EP117" s="60">
        <f t="shared" si="100"/>
        <v>314.188568589113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2.5579506060862567</v>
      </c>
      <c r="EW117" s="23">
        <f>EXP(-LN(2)/25)*EW116+(1-EXP(-LN(2)/25))/(LN(2)/25)*Calculateur!ER117*Calculateur!ET117*VLOOKUP('Données projet'!$B$15,Paramètres!$A$1:$I$89,3,0)*0.475*44/12</f>
        <v>0.94954972176159369</v>
      </c>
      <c r="EX117" s="23">
        <f>EXP(-LN(2)/2)*EX116+(1-EXP(-LN(2)/2))/(LN(2)/2)*ER117*EU117*VLOOKUP('Données projet'!$B$15,Paramètres!$A$1:$I$89,3,0)*0.475*44/12</f>
        <v>6.6493787401505183E-13</v>
      </c>
      <c r="EY117" s="24">
        <f t="shared" si="75"/>
        <v>3.5075003278485153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 t="e">
        <f>N118*VLOOKUP('Données projet'!$B$9,Paramètres!$A$1:$I$89,3,0)*VLOOKUP('Données projet'!$B$9,Paramètres!$A$1:$I$89,5,0)</f>
        <v>#N/A</v>
      </c>
      <c r="P118" s="14" t="e">
        <f t="shared" si="87"/>
        <v>#N/A</v>
      </c>
      <c r="Q118" s="22" t="e">
        <f t="shared" si="107"/>
        <v>#N/A</v>
      </c>
      <c r="R118" s="60" t="e">
        <f t="shared" si="55"/>
        <v>#N/A</v>
      </c>
      <c r="S118" s="60" t="e">
        <f ca="1">AVERAGE(OFFSET($R$3,0,0,'Données projet'!$E$9+1,1))-AVERAGE(OFFSET($H$3,0,0,'Données projet'!$E$9+1,1))</f>
        <v>#N/A</v>
      </c>
      <c r="T118" s="60" t="e">
        <f t="shared" si="88"/>
        <v>#N/A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 t="e">
        <f>EXP(-LN(2)/35)*Z117+(1-EXP(-LN(2)/35))/(LN(2)/35)*V118*W118*VLOOKUP('Données projet'!$B$9,Paramètres!$A$1:$I$89,3,0)*0.475*44/12</f>
        <v>#N/A</v>
      </c>
      <c r="AA118" s="23" t="e">
        <f>EXP(-LN(2)/25)*AA117+(1-EXP(-LN(2)/25))/(LN(2)/25)*Calculateur!V118*Calculateur!X118*VLOOKUP('Données projet'!$B$9,Paramètres!$A$1:$I$89,3,0)*0.475*44/12</f>
        <v>#N/A</v>
      </c>
      <c r="AB118" s="23" t="e">
        <f>EXP(-LN(2)/2)*AB117+(1-EXP(-LN(2)/2))/(LN(2)/2)*V118*Y118*VLOOKUP('Données projet'!$B$9,Paramètres!$A$1:$I$89,3,0)*0.475*44/12</f>
        <v>#N/A</v>
      </c>
      <c r="AC118" s="24" t="e">
        <f t="shared" si="57"/>
        <v>#N/A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0">
        <f t="shared" si="59"/>
        <v>849.94695502425111</v>
      </c>
      <c r="AN118" s="60">
        <f ca="1">AVERAGE(OFFSET($AM$3,0,0,'Données projet'!$E$10+1,1))-AVERAGE(OFFSET($H$3,0,0,'Données projet'!$E$10+1,1))</f>
        <v>428.8489304403459</v>
      </c>
      <c r="AO118" s="60">
        <f t="shared" si="90"/>
        <v>247.01165577562966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-3.4106051316484809E-13</v>
      </c>
      <c r="BE118" s="14">
        <f>BD118*VLOOKUP('Données projet'!$B$11,Paramètres!$A$1:$I$89,3,0)*VLOOKUP('Données projet'!$B$11,Paramètres!$A$1:$I$89,5,0)</f>
        <v>-1.9065282685915009E-13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374.79806286316051</v>
      </c>
      <c r="BJ118" s="60">
        <f t="shared" si="92"/>
        <v>350.01856672839466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2.1096332661129544</v>
      </c>
      <c r="BR118" s="23">
        <f>EXP(-LN(2)/2)*BR117+(1-EXP(-LN(2)/2))/(LN(2)/2)*BL118*BO118*VLOOKUP('Données projet'!$B$11,Paramètres!$A$1:$I$89,3,0)*0.475*44/12</f>
        <v>1.7698031616401783E-12</v>
      </c>
      <c r="BS118" s="24">
        <f t="shared" si="63"/>
        <v>2.1096332661147241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257.41559999999959</v>
      </c>
      <c r="CA118" s="14">
        <f t="shared" si="93"/>
        <v>62.171168434977062</v>
      </c>
      <c r="CB118" s="22">
        <f t="shared" si="64"/>
        <v>556.61362169091774</v>
      </c>
      <c r="CC118" s="60">
        <f t="shared" si="65"/>
        <v>849.94695502425111</v>
      </c>
      <c r="CD118" s="60">
        <f ca="1">AVERAGE(OFFSET($CC$3,0,0,'Données projet'!$E$12+1,1))-AVERAGE(OFFSET($H$3,0,0,'Données projet'!$E$12+1,1))</f>
        <v>428.8489304403459</v>
      </c>
      <c r="CE118" s="60">
        <f t="shared" si="94"/>
        <v>247.01165577562966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2.7564102564102568</v>
      </c>
      <c r="CT118" s="13">
        <f>IF('Données projet'!$A$140&gt;35,CT117+CS118-DB117,IF(A118&lt;'Données projet'!$A$140,$CQ$205^A118,IF(A118='Données projet'!$A$140,'Données projet'!$B$140,CT117+CS118-DB117)))</f>
        <v>237.49999999999986</v>
      </c>
      <c r="CU118" s="18">
        <f>CT118*VLOOKUP('Données projet'!$B$13,Paramètres!$A$1:$I$89,3,0)*VLOOKUP('Données projet'!$B$13,Paramètres!$A$1:$I$89,5,0)</f>
        <v>226.00499999999988</v>
      </c>
      <c r="CV118" s="14">
        <f t="shared" si="95"/>
        <v>55.417990195699112</v>
      </c>
      <c r="CW118" s="22">
        <f t="shared" si="67"/>
        <v>490.14504125750909</v>
      </c>
      <c r="CX118" s="60">
        <f t="shared" si="68"/>
        <v>783.47837459084235</v>
      </c>
      <c r="CY118" s="60">
        <f ca="1">AVERAGE(OFFSET($CX$3,0,0,'Données projet'!$E$13+1,1))-AVERAGE(OFFSET($H$3,0,0,'Données projet'!$E$13+1,1))</f>
        <v>354.63118425028898</v>
      </c>
      <c r="CZ118" s="60">
        <f t="shared" si="96"/>
        <v>244.7141066773861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275.16839999999956</v>
      </c>
      <c r="DQ118" s="14">
        <f t="shared" si="97"/>
        <v>65.944920834841554</v>
      </c>
      <c r="DR118" s="22">
        <f t="shared" si="70"/>
        <v>594.10570045401494</v>
      </c>
      <c r="DS118" s="60">
        <f t="shared" si="71"/>
        <v>887.43903378734831</v>
      </c>
      <c r="DT118" s="60">
        <f ca="1">AVERAGE(OFFSET($DS$3,0,0,'Données projet'!$E$14+1,1))-AVERAGE(OFFSET($H$3,0,0,'Données projet'!$E$14+1,1))</f>
        <v>455.50822833641354</v>
      </c>
      <c r="DU118" s="60">
        <f t="shared" si="98"/>
        <v>261.14722581688039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207.03241199974599</v>
      </c>
      <c r="EP118" s="60">
        <f t="shared" si="100"/>
        <v>314.188568589113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2.5077907548967184</v>
      </c>
      <c r="EW118" s="23">
        <f>EXP(-LN(2)/25)*EW117+(1-EXP(-LN(2)/25))/(LN(2)/25)*Calculateur!ER118*Calculateur!ET118*VLOOKUP('Données projet'!$B$15,Paramètres!$A$1:$I$89,3,0)*0.475*44/12</f>
        <v>0.92358423468537332</v>
      </c>
      <c r="EX118" s="23">
        <f>EXP(-LN(2)/2)*EX117+(1-EXP(-LN(2)/2))/(LN(2)/2)*ER118*EU118*VLOOKUP('Données projet'!$B$15,Paramètres!$A$1:$I$89,3,0)*0.475*44/12</f>
        <v>4.7018207978380935E-13</v>
      </c>
      <c r="EY118" s="24">
        <f t="shared" si="75"/>
        <v>3.431374989582562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 t="e">
        <f>N119*VLOOKUP('Données projet'!$B$9,Paramètres!$A$1:$I$89,3,0)*VLOOKUP('Données projet'!$B$9,Paramètres!$A$1:$I$89,5,0)</f>
        <v>#N/A</v>
      </c>
      <c r="P119" s="14" t="e">
        <f t="shared" si="87"/>
        <v>#N/A</v>
      </c>
      <c r="Q119" s="22" t="e">
        <f t="shared" si="107"/>
        <v>#N/A</v>
      </c>
      <c r="R119" s="60" t="e">
        <f t="shared" si="55"/>
        <v>#N/A</v>
      </c>
      <c r="S119" s="60" t="e">
        <f ca="1">AVERAGE(OFFSET($R$3,0,0,'Données projet'!$E$9+1,1))-AVERAGE(OFFSET($H$3,0,0,'Données projet'!$E$9+1,1))</f>
        <v>#N/A</v>
      </c>
      <c r="T119" s="60" t="e">
        <f t="shared" si="88"/>
        <v>#N/A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 t="e">
        <f>EXP(-LN(2)/35)*Z118+(1-EXP(-LN(2)/35))/(LN(2)/35)*V119*W119*VLOOKUP('Données projet'!$B$9,Paramètres!$A$1:$I$89,3,0)*0.475*44/12</f>
        <v>#N/A</v>
      </c>
      <c r="AA119" s="23" t="e">
        <f>EXP(-LN(2)/25)*AA118+(1-EXP(-LN(2)/25))/(LN(2)/25)*Calculateur!V119*Calculateur!X119*VLOOKUP('Données projet'!$B$9,Paramètres!$A$1:$I$89,3,0)*0.475*44/12</f>
        <v>#N/A</v>
      </c>
      <c r="AB119" s="23" t="e">
        <f>EXP(-LN(2)/2)*AB118+(1-EXP(-LN(2)/2))/(LN(2)/2)*V119*Y119*VLOOKUP('Données projet'!$B$9,Paramètres!$A$1:$I$89,3,0)*0.475*44/12</f>
        <v>#N/A</v>
      </c>
      <c r="AC119" s="24" t="e">
        <f t="shared" si="57"/>
        <v>#N/A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0">
        <f t="shared" si="59"/>
        <v>857.02101155317155</v>
      </c>
      <c r="AN119" s="60">
        <f ca="1">AVERAGE(OFFSET($AM$3,0,0,'Données projet'!$E$10+1,1))-AVERAGE(OFFSET($H$3,0,0,'Données projet'!$E$10+1,1))</f>
        <v>428.8489304403459</v>
      </c>
      <c r="AO119" s="60">
        <f t="shared" si="90"/>
        <v>247.01165577562966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-3.4106051316484809E-13</v>
      </c>
      <c r="BE119" s="14">
        <f>BD119*VLOOKUP('Données projet'!$B$11,Paramètres!$A$1:$I$89,3,0)*VLOOKUP('Données projet'!$B$11,Paramètres!$A$1:$I$89,5,0)</f>
        <v>-1.9065282685915009E-13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374.79806286316051</v>
      </c>
      <c r="BJ119" s="60">
        <f t="shared" si="92"/>
        <v>350.01856672839466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2.0519452335103039</v>
      </c>
      <c r="BR119" s="23">
        <f>EXP(-LN(2)/2)*BR118+(1-EXP(-LN(2)/2))/(LN(2)/2)*BL119*BO119*VLOOKUP('Données projet'!$B$11,Paramètres!$A$1:$I$89,3,0)*0.475*44/12</f>
        <v>1.2514398169611616E-12</v>
      </c>
      <c r="BS119" s="24">
        <f t="shared" si="63"/>
        <v>2.0519452335115553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260.76335999999958</v>
      </c>
      <c r="CA119" s="14">
        <f t="shared" si="93"/>
        <v>62.885067686031896</v>
      </c>
      <c r="CB119" s="22">
        <f t="shared" si="64"/>
        <v>563.68767821983818</v>
      </c>
      <c r="CC119" s="60">
        <f t="shared" si="65"/>
        <v>857.02101155317155</v>
      </c>
      <c r="CD119" s="60">
        <f ca="1">AVERAGE(OFFSET($CC$3,0,0,'Données projet'!$E$12+1,1))-AVERAGE(OFFSET($H$3,0,0,'Données projet'!$E$12+1,1))</f>
        <v>428.8489304403459</v>
      </c>
      <c r="CE119" s="60">
        <f t="shared" si="94"/>
        <v>247.01165577562966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2.7564102564102568</v>
      </c>
      <c r="CT119" s="13">
        <f>IF('Données projet'!$A$140&gt;35,CT118+CS119-DB118,IF(A119&lt;'Données projet'!$A$140,$CQ$205^A119,IF(A119='Données projet'!$A$140,'Données projet'!$B$140,CT118+CS119-DB118)))</f>
        <v>240.25641025641011</v>
      </c>
      <c r="CU119" s="18">
        <f>CT119*VLOOKUP('Données projet'!$B$13,Paramètres!$A$1:$I$89,3,0)*VLOOKUP('Données projet'!$B$13,Paramètres!$A$1:$I$89,5,0)</f>
        <v>228.62799999999987</v>
      </c>
      <c r="CV119" s="14">
        <f t="shared" si="95"/>
        <v>55.98591983182213</v>
      </c>
      <c r="CW119" s="22">
        <f t="shared" si="67"/>
        <v>495.70257704042325</v>
      </c>
      <c r="CX119" s="60">
        <f t="shared" si="68"/>
        <v>789.03591037375656</v>
      </c>
      <c r="CY119" s="60">
        <f ca="1">AVERAGE(OFFSET($CX$3,0,0,'Données projet'!$E$13+1,1))-AVERAGE(OFFSET($H$3,0,0,'Données projet'!$E$13+1,1))</f>
        <v>354.63118425028898</v>
      </c>
      <c r="CZ119" s="60">
        <f t="shared" si="96"/>
        <v>244.7141066773861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278.74703999999957</v>
      </c>
      <c r="DQ119" s="14">
        <f t="shared" si="97"/>
        <v>66.702153339553135</v>
      </c>
      <c r="DR119" s="22">
        <f t="shared" si="70"/>
        <v>601.65734506638762</v>
      </c>
      <c r="DS119" s="60">
        <f t="shared" si="71"/>
        <v>894.99067839972099</v>
      </c>
      <c r="DT119" s="60">
        <f ca="1">AVERAGE(OFFSET($DS$3,0,0,'Données projet'!$E$14+1,1))-AVERAGE(OFFSET($H$3,0,0,'Données projet'!$E$14+1,1))</f>
        <v>455.50822833641354</v>
      </c>
      <c r="DU119" s="60">
        <f t="shared" si="98"/>
        <v>261.14722581688039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207.03241199974599</v>
      </c>
      <c r="EP119" s="60">
        <f t="shared" si="100"/>
        <v>314.188568589113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2.4586145077945187</v>
      </c>
      <c r="EW119" s="23">
        <f>EXP(-LN(2)/25)*EW118+(1-EXP(-LN(2)/25))/(LN(2)/25)*Calculateur!ER119*Calculateur!ET119*VLOOKUP('Données projet'!$B$15,Paramètres!$A$1:$I$89,3,0)*0.475*44/12</f>
        <v>0.89832877521871779</v>
      </c>
      <c r="EX119" s="23">
        <f>EXP(-LN(2)/2)*EX118+(1-EXP(-LN(2)/2))/(LN(2)/2)*ER119*EU119*VLOOKUP('Données projet'!$B$15,Paramètres!$A$1:$I$89,3,0)*0.475*44/12</f>
        <v>3.3246893700752591E-13</v>
      </c>
      <c r="EY119" s="24">
        <f t="shared" si="75"/>
        <v>3.3569432830135693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 t="e">
        <f>N120*VLOOKUP('Données projet'!$B$9,Paramètres!$A$1:$I$89,3,0)*VLOOKUP('Données projet'!$B$9,Paramètres!$A$1:$I$89,5,0)</f>
        <v>#N/A</v>
      </c>
      <c r="P120" s="14" t="e">
        <f t="shared" si="87"/>
        <v>#N/A</v>
      </c>
      <c r="Q120" s="22" t="e">
        <f t="shared" si="107"/>
        <v>#N/A</v>
      </c>
      <c r="R120" s="60" t="e">
        <f t="shared" si="55"/>
        <v>#N/A</v>
      </c>
      <c r="S120" s="60" t="e">
        <f ca="1">AVERAGE(OFFSET($R$3,0,0,'Données projet'!$E$9+1,1))-AVERAGE(OFFSET($H$3,0,0,'Données projet'!$E$9+1,1))</f>
        <v>#N/A</v>
      </c>
      <c r="T120" s="60" t="e">
        <f t="shared" si="88"/>
        <v>#N/A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 t="e">
        <f>EXP(-LN(2)/35)*Z119+(1-EXP(-LN(2)/35))/(LN(2)/35)*V120*W120*VLOOKUP('Données projet'!$B$9,Paramètres!$A$1:$I$89,3,0)*0.475*44/12</f>
        <v>#N/A</v>
      </c>
      <c r="AA120" s="23" t="e">
        <f>EXP(-LN(2)/25)*AA119+(1-EXP(-LN(2)/25))/(LN(2)/25)*Calculateur!V120*Calculateur!X120*VLOOKUP('Données projet'!$B$9,Paramètres!$A$1:$I$89,3,0)*0.475*44/12</f>
        <v>#N/A</v>
      </c>
      <c r="AB120" s="23" t="e">
        <f>EXP(-LN(2)/2)*AB119+(1-EXP(-LN(2)/2))/(LN(2)/2)*V120*Y120*VLOOKUP('Données projet'!$B$9,Paramètres!$A$1:$I$89,3,0)*0.475*44/12</f>
        <v>#N/A</v>
      </c>
      <c r="AC120" s="24" t="e">
        <f t="shared" si="57"/>
        <v>#N/A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0">
        <f t="shared" si="59"/>
        <v>864.09321134313223</v>
      </c>
      <c r="AN120" s="60">
        <f ca="1">AVERAGE(OFFSET($AM$3,0,0,'Données projet'!$E$10+1,1))-AVERAGE(OFFSET($H$3,0,0,'Données projet'!$E$10+1,1))</f>
        <v>428.8489304403459</v>
      </c>
      <c r="AO120" s="60">
        <f t="shared" si="90"/>
        <v>247.01165577562966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-3.4106051316484809E-13</v>
      </c>
      <c r="BE120" s="14">
        <f>BD120*VLOOKUP('Données projet'!$B$11,Paramètres!$A$1:$I$89,3,0)*VLOOKUP('Données projet'!$B$11,Paramètres!$A$1:$I$89,5,0)</f>
        <v>-1.9065282685915009E-13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374.79806286316051</v>
      </c>
      <c r="BJ120" s="60">
        <f t="shared" si="92"/>
        <v>350.01856672839466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1.9958346831928546</v>
      </c>
      <c r="BR120" s="23">
        <f>EXP(-LN(2)/2)*BR119+(1-EXP(-LN(2)/2))/(LN(2)/2)*BL120*BO120*VLOOKUP('Données projet'!$B$11,Paramètres!$A$1:$I$89,3,0)*0.475*44/12</f>
        <v>8.8490158082008923E-13</v>
      </c>
      <c r="BS120" s="24">
        <f t="shared" si="63"/>
        <v>1.9958346831937395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264.11111999999957</v>
      </c>
      <c r="CA120" s="14">
        <f t="shared" si="93"/>
        <v>63.597900866870546</v>
      </c>
      <c r="CB120" s="22">
        <f t="shared" si="64"/>
        <v>570.75987800979885</v>
      </c>
      <c r="CC120" s="60">
        <f t="shared" si="65"/>
        <v>864.09321134313223</v>
      </c>
      <c r="CD120" s="60">
        <f ca="1">AVERAGE(OFFSET($CC$3,0,0,'Données projet'!$E$12+1,1))-AVERAGE(OFFSET($H$3,0,0,'Données projet'!$E$12+1,1))</f>
        <v>428.8489304403459</v>
      </c>
      <c r="CE120" s="60">
        <f t="shared" si="94"/>
        <v>247.01165577562966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2.7564102564102568</v>
      </c>
      <c r="CT120" s="13">
        <f>IF('Données projet'!$A$140&gt;35,CT119+CS120-DB119,IF(A120&lt;'Données projet'!$A$140,$CQ$205^A120,IF(A120='Données projet'!$A$140,'Données projet'!$B$140,CT119+CS120-DB119)))</f>
        <v>243.01282051282035</v>
      </c>
      <c r="CU120" s="18">
        <f>CT120*VLOOKUP('Données projet'!$B$13,Paramètres!$A$1:$I$89,3,0)*VLOOKUP('Données projet'!$B$13,Paramètres!$A$1:$I$89,5,0)</f>
        <v>231.25099999999983</v>
      </c>
      <c r="CV120" s="14">
        <f t="shared" si="95"/>
        <v>56.553091525012086</v>
      </c>
      <c r="CW120" s="22">
        <f t="shared" si="67"/>
        <v>501.2587927393958</v>
      </c>
      <c r="CX120" s="60">
        <f t="shared" si="68"/>
        <v>794.59212607272912</v>
      </c>
      <c r="CY120" s="60">
        <f ca="1">AVERAGE(OFFSET($CX$3,0,0,'Données projet'!$E$13+1,1))-AVERAGE(OFFSET($H$3,0,0,'Données projet'!$E$13+1,1))</f>
        <v>354.63118425028898</v>
      </c>
      <c r="CZ120" s="60">
        <f t="shared" si="96"/>
        <v>244.7141066773861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282.32567999999952</v>
      </c>
      <c r="DQ120" s="14">
        <f t="shared" si="97"/>
        <v>67.458255064229917</v>
      </c>
      <c r="DR120" s="22">
        <f t="shared" si="70"/>
        <v>609.20702023686624</v>
      </c>
      <c r="DS120" s="60">
        <f t="shared" si="71"/>
        <v>902.54035357019961</v>
      </c>
      <c r="DT120" s="60">
        <f ca="1">AVERAGE(OFFSET($DS$3,0,0,'Données projet'!$E$14+1,1))-AVERAGE(OFFSET($H$3,0,0,'Données projet'!$E$14+1,1))</f>
        <v>455.50822833641354</v>
      </c>
      <c r="DU120" s="60">
        <f t="shared" si="98"/>
        <v>261.14722581688039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207.03241199974599</v>
      </c>
      <c r="EP120" s="60">
        <f t="shared" si="100"/>
        <v>314.188568589113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2.4104025769034441</v>
      </c>
      <c r="EW120" s="23">
        <f>EXP(-LN(2)/25)*EW119+(1-EXP(-LN(2)/25))/(LN(2)/25)*Calculateur!ER120*Calculateur!ET120*VLOOKUP('Données projet'!$B$15,Paramètres!$A$1:$I$89,3,0)*0.475*44/12</f>
        <v>0.87376392761930477</v>
      </c>
      <c r="EX120" s="23">
        <f>EXP(-LN(2)/2)*EX119+(1-EXP(-LN(2)/2))/(LN(2)/2)*ER120*EU120*VLOOKUP('Données projet'!$B$15,Paramètres!$A$1:$I$89,3,0)*0.475*44/12</f>
        <v>2.3509103989190468E-13</v>
      </c>
      <c r="EY120" s="24">
        <f t="shared" si="75"/>
        <v>3.2841665045229838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 t="e">
        <f>N121*VLOOKUP('Données projet'!$B$9,Paramètres!$A$1:$I$89,3,0)*VLOOKUP('Données projet'!$B$9,Paramètres!$A$1:$I$89,5,0)</f>
        <v>#N/A</v>
      </c>
      <c r="P121" s="14" t="e">
        <f t="shared" si="87"/>
        <v>#N/A</v>
      </c>
      <c r="Q121" s="22" t="e">
        <f t="shared" si="107"/>
        <v>#N/A</v>
      </c>
      <c r="R121" s="60" t="e">
        <f t="shared" si="55"/>
        <v>#N/A</v>
      </c>
      <c r="S121" s="60" t="e">
        <f ca="1">AVERAGE(OFFSET($R$3,0,0,'Données projet'!$E$9+1,1))-AVERAGE(OFFSET($H$3,0,0,'Données projet'!$E$9+1,1))</f>
        <v>#N/A</v>
      </c>
      <c r="T121" s="60" t="e">
        <f t="shared" si="88"/>
        <v>#N/A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 t="e">
        <f>EXP(-LN(2)/35)*Z120+(1-EXP(-LN(2)/35))/(LN(2)/35)*V121*W121*VLOOKUP('Données projet'!$B$9,Paramètres!$A$1:$I$89,3,0)*0.475*44/12</f>
        <v>#N/A</v>
      </c>
      <c r="AA121" s="23" t="e">
        <f>EXP(-LN(2)/25)*AA120+(1-EXP(-LN(2)/25))/(LN(2)/25)*Calculateur!V121*Calculateur!X121*VLOOKUP('Données projet'!$B$9,Paramètres!$A$1:$I$89,3,0)*0.475*44/12</f>
        <v>#N/A</v>
      </c>
      <c r="AB121" s="23" t="e">
        <f>EXP(-LN(2)/2)*AB120+(1-EXP(-LN(2)/2))/(LN(2)/2)*V121*Y121*VLOOKUP('Données projet'!$B$9,Paramètres!$A$1:$I$89,3,0)*0.475*44/12</f>
        <v>#N/A</v>
      </c>
      <c r="AC121" s="24" t="e">
        <f t="shared" si="57"/>
        <v>#N/A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0">
        <f t="shared" si="59"/>
        <v>871.16358065090617</v>
      </c>
      <c r="AN121" s="60">
        <f ca="1">AVERAGE(OFFSET($AM$3,0,0,'Données projet'!$E$10+1,1))-AVERAGE(OFFSET($H$3,0,0,'Données projet'!$E$10+1,1))</f>
        <v>428.8489304403459</v>
      </c>
      <c r="AO121" s="60">
        <f t="shared" si="90"/>
        <v>247.01165577562966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-3.4106051316484809E-13</v>
      </c>
      <c r="BE121" s="14">
        <f>BD121*VLOOKUP('Données projet'!$B$11,Paramètres!$A$1:$I$89,3,0)*VLOOKUP('Données projet'!$B$11,Paramètres!$A$1:$I$89,5,0)</f>
        <v>-1.9065282685915009E-13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374.79806286316051</v>
      </c>
      <c r="BJ121" s="60">
        <f t="shared" si="92"/>
        <v>350.01856672839466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1.9412584788245615</v>
      </c>
      <c r="BR121" s="23">
        <f>EXP(-LN(2)/2)*BR120+(1-EXP(-LN(2)/2))/(LN(2)/2)*BL121*BO121*VLOOKUP('Données projet'!$B$11,Paramètres!$A$1:$I$89,3,0)*0.475*44/12</f>
        <v>6.257199084805809E-13</v>
      </c>
      <c r="BS121" s="24">
        <f t="shared" si="63"/>
        <v>1.9412584788251872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267.45887999999951</v>
      </c>
      <c r="CA121" s="14">
        <f t="shared" si="93"/>
        <v>64.309683053152327</v>
      </c>
      <c r="CB121" s="22">
        <f t="shared" si="64"/>
        <v>577.8302473175728</v>
      </c>
      <c r="CC121" s="60">
        <f t="shared" si="65"/>
        <v>871.16358065090617</v>
      </c>
      <c r="CD121" s="60">
        <f ca="1">AVERAGE(OFFSET($CC$3,0,0,'Données projet'!$E$12+1,1))-AVERAGE(OFFSET($H$3,0,0,'Données projet'!$E$12+1,1))</f>
        <v>428.8489304403459</v>
      </c>
      <c r="CE121" s="60">
        <f t="shared" si="94"/>
        <v>247.01165577562966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2.7564102564102568</v>
      </c>
      <c r="CT121" s="13">
        <f>IF('Données projet'!$A$140&gt;35,CT120+CS121-DB120,IF(A121&lt;'Données projet'!$A$140,$CQ$205^A121,IF(A121='Données projet'!$A$140,'Données projet'!$B$140,CT120+CS121-DB120)))</f>
        <v>245.7692307692306</v>
      </c>
      <c r="CU121" s="18">
        <f>CT121*VLOOKUP('Données projet'!$B$13,Paramètres!$A$1:$I$89,3,0)*VLOOKUP('Données projet'!$B$13,Paramètres!$A$1:$I$89,5,0)</f>
        <v>233.87399999999985</v>
      </c>
      <c r="CV121" s="14">
        <f t="shared" si="95"/>
        <v>57.119514867134178</v>
      </c>
      <c r="CW121" s="22">
        <f t="shared" si="67"/>
        <v>506.81370506025837</v>
      </c>
      <c r="CX121" s="60">
        <f t="shared" si="68"/>
        <v>800.14703839359163</v>
      </c>
      <c r="CY121" s="60">
        <f ca="1">AVERAGE(OFFSET($CX$3,0,0,'Données projet'!$E$13+1,1))-AVERAGE(OFFSET($H$3,0,0,'Données projet'!$E$13+1,1))</f>
        <v>354.63118425028898</v>
      </c>
      <c r="CZ121" s="60">
        <f t="shared" si="96"/>
        <v>244.7141066773861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285.90431999999953</v>
      </c>
      <c r="DQ121" s="14">
        <f t="shared" si="97"/>
        <v>68.213241999614453</v>
      </c>
      <c r="DR121" s="22">
        <f t="shared" si="70"/>
        <v>616.75475381599438</v>
      </c>
      <c r="DS121" s="60">
        <f t="shared" si="71"/>
        <v>910.08808714932775</v>
      </c>
      <c r="DT121" s="60">
        <f ca="1">AVERAGE(OFFSET($DS$3,0,0,'Données projet'!$E$14+1,1))-AVERAGE(OFFSET($H$3,0,0,'Données projet'!$E$14+1,1))</f>
        <v>455.50822833641354</v>
      </c>
      <c r="DU121" s="60">
        <f t="shared" si="98"/>
        <v>261.14722581688039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207.03241199974599</v>
      </c>
      <c r="EP121" s="60">
        <f t="shared" si="100"/>
        <v>314.188568589113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2.3631360525707694</v>
      </c>
      <c r="EW121" s="23">
        <f>EXP(-LN(2)/25)*EW120+(1-EXP(-LN(2)/25))/(LN(2)/25)*Calculateur!ER121*Calculateur!ET121*VLOOKUP('Données projet'!$B$15,Paramètres!$A$1:$I$89,3,0)*0.475*44/12</f>
        <v>0.84987080706930695</v>
      </c>
      <c r="EX121" s="23">
        <f>EXP(-LN(2)/2)*EX120+(1-EXP(-LN(2)/2))/(LN(2)/2)*ER121*EU121*VLOOKUP('Données projet'!$B$15,Paramètres!$A$1:$I$89,3,0)*0.475*44/12</f>
        <v>1.6623446850376296E-13</v>
      </c>
      <c r="EY121" s="24">
        <f t="shared" si="75"/>
        <v>3.2130068596402426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 t="e">
        <f>N122*VLOOKUP('Données projet'!$B$9,Paramètres!$A$1:$I$89,3,0)*VLOOKUP('Données projet'!$B$9,Paramètres!$A$1:$I$89,5,0)</f>
        <v>#N/A</v>
      </c>
      <c r="P122" s="14" t="e">
        <f t="shared" si="87"/>
        <v>#N/A</v>
      </c>
      <c r="Q122" s="22" t="e">
        <f t="shared" si="107"/>
        <v>#N/A</v>
      </c>
      <c r="R122" s="60" t="e">
        <f t="shared" si="55"/>
        <v>#N/A</v>
      </c>
      <c r="S122" s="60" t="e">
        <f ca="1">AVERAGE(OFFSET($R$3,0,0,'Données projet'!$E$9+1,1))-AVERAGE(OFFSET($H$3,0,0,'Données projet'!$E$9+1,1))</f>
        <v>#N/A</v>
      </c>
      <c r="T122" s="60" t="e">
        <f t="shared" si="88"/>
        <v>#N/A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 t="e">
        <f>EXP(-LN(2)/35)*Z121+(1-EXP(-LN(2)/35))/(LN(2)/35)*V122*W122*VLOOKUP('Données projet'!$B$9,Paramètres!$A$1:$I$89,3,0)*0.475*44/12</f>
        <v>#N/A</v>
      </c>
      <c r="AA122" s="23" t="e">
        <f>EXP(-LN(2)/25)*AA121+(1-EXP(-LN(2)/25))/(LN(2)/25)*Calculateur!V122*Calculateur!X122*VLOOKUP('Données projet'!$B$9,Paramètres!$A$1:$I$89,3,0)*0.475*44/12</f>
        <v>#N/A</v>
      </c>
      <c r="AB122" s="23" t="e">
        <f>EXP(-LN(2)/2)*AB121+(1-EXP(-LN(2)/2))/(LN(2)/2)*V122*Y122*VLOOKUP('Données projet'!$B$9,Paramètres!$A$1:$I$89,3,0)*0.475*44/12</f>
        <v>#N/A</v>
      </c>
      <c r="AC122" s="24" t="e">
        <f t="shared" si="57"/>
        <v>#N/A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0">
        <f t="shared" si="59"/>
        <v>878.23214503815643</v>
      </c>
      <c r="AN122" s="60">
        <f ca="1">AVERAGE(OFFSET($AM$3,0,0,'Données projet'!$E$10+1,1))-AVERAGE(OFFSET($H$3,0,0,'Données projet'!$E$10+1,1))</f>
        <v>428.8489304403459</v>
      </c>
      <c r="AO122" s="60">
        <f t="shared" si="90"/>
        <v>247.01165577562966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-3.4106051316484809E-13</v>
      </c>
      <c r="BE122" s="14">
        <f>BD122*VLOOKUP('Données projet'!$B$11,Paramètres!$A$1:$I$89,3,0)*VLOOKUP('Données projet'!$B$11,Paramètres!$A$1:$I$89,5,0)</f>
        <v>-1.9065282685915009E-13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374.79806286316051</v>
      </c>
      <c r="BJ122" s="60">
        <f t="shared" si="92"/>
        <v>350.01856672839466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1.8881746636347572</v>
      </c>
      <c r="BR122" s="23">
        <f>EXP(-LN(2)/2)*BR121+(1-EXP(-LN(2)/2))/(LN(2)/2)*BL122*BO122*VLOOKUP('Données projet'!$B$11,Paramètres!$A$1:$I$89,3,0)*0.475*44/12</f>
        <v>4.4245079041004472E-13</v>
      </c>
      <c r="BS122" s="24">
        <f t="shared" si="63"/>
        <v>1.8881746636351997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270.80663999999956</v>
      </c>
      <c r="CA122" s="14">
        <f t="shared" si="93"/>
        <v>65.020428921429911</v>
      </c>
      <c r="CB122" s="22">
        <f t="shared" si="64"/>
        <v>584.89881170482306</v>
      </c>
      <c r="CC122" s="60">
        <f t="shared" si="65"/>
        <v>878.23214503815643</v>
      </c>
      <c r="CD122" s="60">
        <f ca="1">AVERAGE(OFFSET($CC$3,0,0,'Données projet'!$E$12+1,1))-AVERAGE(OFFSET($H$3,0,0,'Données projet'!$E$12+1,1))</f>
        <v>428.8489304403459</v>
      </c>
      <c r="CE122" s="60">
        <f t="shared" si="94"/>
        <v>247.01165577562966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2.7564102564102568</v>
      </c>
      <c r="CT122" s="13">
        <f>IF('Données projet'!$A$140&gt;35,CT121+CS122-DB121,IF(A122&lt;'Données projet'!$A$140,$CQ$205^A122,IF(A122='Données projet'!$A$140,'Données projet'!$B$140,CT121+CS122-DB121)))</f>
        <v>248.52564102564085</v>
      </c>
      <c r="CU122" s="18">
        <f>CT122*VLOOKUP('Données projet'!$B$13,Paramètres!$A$1:$I$89,3,0)*VLOOKUP('Données projet'!$B$13,Paramètres!$A$1:$I$89,5,0)</f>
        <v>236.49699999999984</v>
      </c>
      <c r="CV122" s="14">
        <f t="shared" si="95"/>
        <v>57.685199222511848</v>
      </c>
      <c r="CW122" s="22">
        <f t="shared" si="67"/>
        <v>512.36733031254118</v>
      </c>
      <c r="CX122" s="60">
        <f t="shared" si="68"/>
        <v>805.70066364587456</v>
      </c>
      <c r="CY122" s="60">
        <f ca="1">AVERAGE(OFFSET($CX$3,0,0,'Données projet'!$E$13+1,1))-AVERAGE(OFFSET($H$3,0,0,'Données projet'!$E$13+1,1))</f>
        <v>354.63118425028898</v>
      </c>
      <c r="CZ122" s="60">
        <f t="shared" si="96"/>
        <v>244.7141066773861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289.48295999999954</v>
      </c>
      <c r="DQ122" s="14">
        <f t="shared" si="97"/>
        <v>68.967129713117401</v>
      </c>
      <c r="DR122" s="22">
        <f t="shared" si="70"/>
        <v>624.300572917012</v>
      </c>
      <c r="DS122" s="60">
        <f t="shared" si="71"/>
        <v>917.63390625034526</v>
      </c>
      <c r="DT122" s="60">
        <f ca="1">AVERAGE(OFFSET($DS$3,0,0,'Données projet'!$E$14+1,1))-AVERAGE(OFFSET($H$3,0,0,'Données projet'!$E$14+1,1))</f>
        <v>455.50822833641354</v>
      </c>
      <c r="DU122" s="60">
        <f t="shared" si="98"/>
        <v>261.14722581688039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207.03241199974599</v>
      </c>
      <c r="EP122" s="60">
        <f t="shared" si="100"/>
        <v>314.188568589113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2.3167963959505253</v>
      </c>
      <c r="EW122" s="23">
        <f>EXP(-LN(2)/25)*EW121+(1-EXP(-LN(2)/25))/(LN(2)/25)*Calculateur!ER122*Calculateur!ET122*VLOOKUP('Données projet'!$B$15,Paramètres!$A$1:$I$89,3,0)*0.475*44/12</f>
        <v>0.8266310451572334</v>
      </c>
      <c r="EX122" s="23">
        <f>EXP(-LN(2)/2)*EX121+(1-EXP(-LN(2)/2))/(LN(2)/2)*ER122*EU122*VLOOKUP('Données projet'!$B$15,Paramètres!$A$1:$I$89,3,0)*0.475*44/12</f>
        <v>1.1754551994595234E-13</v>
      </c>
      <c r="EY122" s="24">
        <f t="shared" si="75"/>
        <v>3.1434274411078764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 t="e">
        <f>N123*VLOOKUP('Données projet'!$B$9,Paramètres!$A$1:$I$89,3,0)*VLOOKUP('Données projet'!$B$9,Paramètres!$A$1:$I$89,5,0)</f>
        <v>#N/A</v>
      </c>
      <c r="P123" s="14" t="e">
        <f t="shared" si="87"/>
        <v>#N/A</v>
      </c>
      <c r="Q123" s="22" t="e">
        <f t="shared" si="107"/>
        <v>#N/A</v>
      </c>
      <c r="R123" s="60" t="e">
        <f t="shared" si="55"/>
        <v>#N/A</v>
      </c>
      <c r="S123" s="60" t="e">
        <f ca="1">AVERAGE(OFFSET($R$3,0,0,'Données projet'!$E$9+1,1))-AVERAGE(OFFSET($H$3,0,0,'Données projet'!$E$9+1,1))</f>
        <v>#N/A</v>
      </c>
      <c r="T123" s="60" t="e">
        <f t="shared" si="88"/>
        <v>#N/A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 t="e">
        <f>EXP(-LN(2)/35)*Z122+(1-EXP(-LN(2)/35))/(LN(2)/35)*V123*W123*VLOOKUP('Données projet'!$B$9,Paramètres!$A$1:$I$89,3,0)*0.475*44/12</f>
        <v>#N/A</v>
      </c>
      <c r="AA123" s="23" t="e">
        <f>EXP(-LN(2)/25)*AA122+(1-EXP(-LN(2)/25))/(LN(2)/25)*Calculateur!V123*Calculateur!X123*VLOOKUP('Données projet'!$B$9,Paramètres!$A$1:$I$89,3,0)*0.475*44/12</f>
        <v>#N/A</v>
      </c>
      <c r="AB123" s="23" t="e">
        <f>EXP(-LN(2)/2)*AB122+(1-EXP(-LN(2)/2))/(LN(2)/2)*V123*Y123*VLOOKUP('Données projet'!$B$9,Paramètres!$A$1:$I$89,3,0)*0.475*44/12</f>
        <v>#N/A</v>
      </c>
      <c r="AC123" s="24" t="e">
        <f t="shared" si="57"/>
        <v>#N/A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0">
        <f t="shared" si="59"/>
        <v>885.29892939819752</v>
      </c>
      <c r="AN123" s="60">
        <f ca="1">AVERAGE(OFFSET($AM$3,0,0,'Données projet'!$E$10+1,1))-AVERAGE(OFFSET($H$3,0,0,'Données projet'!$E$10+1,1))</f>
        <v>428.8489304403459</v>
      </c>
      <c r="AO123" s="60">
        <f t="shared" si="90"/>
        <v>247.01165577562966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-3.4106051316484809E-13</v>
      </c>
      <c r="BE123" s="14">
        <f>BD123*VLOOKUP('Données projet'!$B$11,Paramètres!$A$1:$I$89,3,0)*VLOOKUP('Données projet'!$B$11,Paramètres!$A$1:$I$89,5,0)</f>
        <v>-1.9065282685915009E-13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374.79806286316051</v>
      </c>
      <c r="BJ123" s="60">
        <f t="shared" si="92"/>
        <v>350.01856672839466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1.8365424281628746</v>
      </c>
      <c r="BR123" s="23">
        <f>EXP(-LN(2)/2)*BR122+(1-EXP(-LN(2)/2))/(LN(2)/2)*BL123*BO123*VLOOKUP('Données projet'!$B$11,Paramètres!$A$1:$I$89,3,0)*0.475*44/12</f>
        <v>3.128599542402905E-13</v>
      </c>
      <c r="BS123" s="24">
        <f t="shared" si="63"/>
        <v>1.8365424281631875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274.15439999999955</v>
      </c>
      <c r="CA123" s="14">
        <f t="shared" si="93"/>
        <v>65.730152764515779</v>
      </c>
      <c r="CB123" s="22">
        <f t="shared" si="64"/>
        <v>591.96559606486414</v>
      </c>
      <c r="CC123" s="60">
        <f t="shared" si="65"/>
        <v>885.29892939819752</v>
      </c>
      <c r="CD123" s="60">
        <f ca="1">AVERAGE(OFFSET($CC$3,0,0,'Données projet'!$E$12+1,1))-AVERAGE(OFFSET($H$3,0,0,'Données projet'!$E$12+1,1))</f>
        <v>428.8489304403459</v>
      </c>
      <c r="CE123" s="60">
        <f t="shared" si="94"/>
        <v>247.01165577562966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251.28205128205127</v>
      </c>
      <c r="CR123" s="13">
        <f>VLOOKUP(A123,'Données projet'!$A$139:$I$159,9,0)</f>
        <v>2.7564102564102568</v>
      </c>
      <c r="CS123" s="13">
        <f t="array" ref="CS123">INDEX(CR:CR,MIN(IF(ISNUMBER(CR123:CR319),ROW(CR123:CR319),"")))</f>
        <v>2.7564102564102568</v>
      </c>
      <c r="CT123" s="13">
        <f>IF('Données projet'!$A$140&gt;35,CT122+CS123-DB122,IF(A123&lt;'Données projet'!$A$140,$CQ$205^A123,IF(A123='Données projet'!$A$140,'Données projet'!$B$140,CT122+CS123-DB122)))</f>
        <v>251.2820512820511</v>
      </c>
      <c r="CU123" s="18">
        <f>CT123*VLOOKUP('Données projet'!$B$13,Paramètres!$A$1:$I$89,3,0)*VLOOKUP('Données projet'!$B$13,Paramètres!$A$1:$I$89,5,0)</f>
        <v>239.11999999999981</v>
      </c>
      <c r="CV123" s="14">
        <f t="shared" si="95"/>
        <v>58.2501537357874</v>
      </c>
      <c r="CW123" s="22">
        <f t="shared" si="67"/>
        <v>517.91968442316272</v>
      </c>
      <c r="CX123" s="60">
        <f t="shared" si="68"/>
        <v>811.25301775649609</v>
      </c>
      <c r="CY123" s="60">
        <f ca="1">AVERAGE(OFFSET($CX$3,0,0,'Données projet'!$E$13+1,1))-AVERAGE(OFFSET($H$3,0,0,'Données projet'!$E$13+1,1))</f>
        <v>354.63118425028898</v>
      </c>
      <c r="CZ123" s="60">
        <f t="shared" si="96"/>
        <v>244.7141066773861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251.28205128205127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293.06159999999949</v>
      </c>
      <c r="DQ123" s="14">
        <f t="shared" si="97"/>
        <v>69.719933365116432</v>
      </c>
      <c r="DR123" s="22">
        <f t="shared" si="70"/>
        <v>631.84450394424357</v>
      </c>
      <c r="DS123" s="60">
        <f t="shared" si="71"/>
        <v>925.17783727757683</v>
      </c>
      <c r="DT123" s="60">
        <f ca="1">AVERAGE(OFFSET($DS$3,0,0,'Données projet'!$E$14+1,1))-AVERAGE(OFFSET($H$3,0,0,'Données projet'!$E$14+1,1))</f>
        <v>455.50822833641354</v>
      </c>
      <c r="DU123" s="60">
        <f t="shared" si="98"/>
        <v>261.14722581688039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207.03241199974599</v>
      </c>
      <c r="EP123" s="60">
        <f t="shared" si="100"/>
        <v>314.188568589113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2.2713654317322045</v>
      </c>
      <c r="EW123" s="23">
        <f>EXP(-LN(2)/25)*EW122+(1-EXP(-LN(2)/25))/(LN(2)/25)*Calculateur!ER123*Calculateur!ET123*VLOOKUP('Données projet'!$B$15,Paramètres!$A$1:$I$89,3,0)*0.475*44/12</f>
        <v>0.80402677575677151</v>
      </c>
      <c r="EX123" s="23">
        <f>EXP(-LN(2)/2)*EX122+(1-EXP(-LN(2)/2))/(LN(2)/2)*ER123*EU123*VLOOKUP('Données projet'!$B$15,Paramètres!$A$1:$I$89,3,0)*0.475*44/12</f>
        <v>8.3117234251881479E-14</v>
      </c>
      <c r="EY123" s="24">
        <f t="shared" si="75"/>
        <v>3.0753922074890592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 t="e">
        <f>N124*VLOOKUP('Données projet'!$B$9,Paramètres!$A$1:$I$89,3,0)*VLOOKUP('Données projet'!$B$9,Paramètres!$A$1:$I$89,5,0)</f>
        <v>#N/A</v>
      </c>
      <c r="P124" s="14" t="e">
        <f t="shared" si="87"/>
        <v>#N/A</v>
      </c>
      <c r="Q124" s="22" t="e">
        <f t="shared" si="107"/>
        <v>#N/A</v>
      </c>
      <c r="R124" s="60" t="e">
        <f t="shared" si="55"/>
        <v>#N/A</v>
      </c>
      <c r="S124" s="60" t="e">
        <f ca="1">AVERAGE(OFFSET($R$3,0,0,'Données projet'!$E$9+1,1))-AVERAGE(OFFSET($H$3,0,0,'Données projet'!$E$9+1,1))</f>
        <v>#N/A</v>
      </c>
      <c r="T124" s="60" t="e">
        <f t="shared" si="88"/>
        <v>#N/A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 t="e">
        <f>EXP(-LN(2)/35)*Z123+(1-EXP(-LN(2)/35))/(LN(2)/35)*V124*W124*VLOOKUP('Données projet'!$B$9,Paramètres!$A$1:$I$89,3,0)*0.475*44/12</f>
        <v>#N/A</v>
      </c>
      <c r="AA124" s="23" t="e">
        <f>EXP(-LN(2)/25)*AA123+(1-EXP(-LN(2)/25))/(LN(2)/25)*Calculateur!V124*Calculateur!X124*VLOOKUP('Données projet'!$B$9,Paramètres!$A$1:$I$89,3,0)*0.475*44/12</f>
        <v>#N/A</v>
      </c>
      <c r="AB124" s="23" t="e">
        <f>EXP(-LN(2)/2)*AB123+(1-EXP(-LN(2)/2))/(LN(2)/2)*V124*Y124*VLOOKUP('Données projet'!$B$9,Paramètres!$A$1:$I$89,3,0)*0.475*44/12</f>
        <v>#N/A</v>
      </c>
      <c r="AC124" s="24" t="e">
        <f t="shared" si="57"/>
        <v>#N/A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0">
        <f t="shared" si="59"/>
        <v>824.50283387733225</v>
      </c>
      <c r="AN124" s="60">
        <f ca="1">AVERAGE(OFFSET($AM$3,0,0,'Données projet'!$E$10+1,1))-AVERAGE(OFFSET($H$3,0,0,'Données projet'!$E$10+1,1))</f>
        <v>428.8489304403459</v>
      </c>
      <c r="AO124" s="60">
        <f t="shared" si="90"/>
        <v>247.01165577562966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projet'!$B$11,Paramètres!$A$1:$I$89,3,0)*VLOOKUP('Données projet'!$B$11,Paramètres!$A$1:$I$89,5,0)</f>
        <v>-1.9065282685915009E-13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374.79806286316051</v>
      </c>
      <c r="BJ124" s="60">
        <f t="shared" si="92"/>
        <v>350.01856672839466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1.7863220788851919</v>
      </c>
      <c r="BR124" s="23">
        <f>EXP(-LN(2)/2)*BR123+(1-EXP(-LN(2)/2))/(LN(2)/2)*BL124*BO124*VLOOKUP('Données projet'!$B$11,Paramètres!$A$1:$I$89,3,0)*0.475*44/12</f>
        <v>2.2122539520502238E-13</v>
      </c>
      <c r="BS124" s="24">
        <f t="shared" si="63"/>
        <v>1.7863220788854131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245.3817599999995</v>
      </c>
      <c r="CA124" s="14">
        <f t="shared" si="93"/>
        <v>59.595943661626663</v>
      </c>
      <c r="CB124" s="22">
        <f t="shared" si="64"/>
        <v>531.16950054399888</v>
      </c>
      <c r="CC124" s="60">
        <f t="shared" si="65"/>
        <v>824.50283387733225</v>
      </c>
      <c r="CD124" s="60">
        <f ca="1">AVERAGE(OFFSET($CC$3,0,0,'Données projet'!$E$12+1,1))-AVERAGE(OFFSET($H$3,0,0,'Données projet'!$E$12+1,1))</f>
        <v>428.8489304403459</v>
      </c>
      <c r="CE124" s="60">
        <f t="shared" si="94"/>
        <v>247.01165577562966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-1.7053025658242404E-13</v>
      </c>
      <c r="CU124" s="18">
        <f>CT124*VLOOKUP('Données projet'!$B$13,Paramètres!$A$1:$I$89,3,0)*VLOOKUP('Données projet'!$B$13,Paramètres!$A$1:$I$89,5,0)</f>
        <v>-1.6227659216383472E-13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354.63118425028898</v>
      </c>
      <c r="CZ124" s="60">
        <f t="shared" si="96"/>
        <v>244.7141066773861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262.30463999999949</v>
      </c>
      <c r="DQ124" s="14">
        <f t="shared" si="97"/>
        <v>63.213381472055985</v>
      </c>
      <c r="DR124" s="22">
        <f t="shared" si="70"/>
        <v>566.94388739716328</v>
      </c>
      <c r="DS124" s="60">
        <f t="shared" si="71"/>
        <v>860.27722073049654</v>
      </c>
      <c r="DT124" s="60">
        <f ca="1">AVERAGE(OFFSET($DS$3,0,0,'Données projet'!$E$14+1,1))-AVERAGE(OFFSET($H$3,0,0,'Données projet'!$E$14+1,1))</f>
        <v>455.50822833641354</v>
      </c>
      <c r="DU124" s="60">
        <f t="shared" si="98"/>
        <v>261.14722581688039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207.03241199974599</v>
      </c>
      <c r="EP124" s="60">
        <f t="shared" si="100"/>
        <v>314.188568589113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2.2268253410120527</v>
      </c>
      <c r="EW124" s="23">
        <f>EXP(-LN(2)/25)*EW123+(1-EXP(-LN(2)/25))/(LN(2)/25)*Calculateur!ER124*Calculateur!ET124*VLOOKUP('Données projet'!$B$15,Paramètres!$A$1:$I$89,3,0)*0.475*44/12</f>
        <v>0.7820406212917721</v>
      </c>
      <c r="EX124" s="23">
        <f>EXP(-LN(2)/2)*EX123+(1-EXP(-LN(2)/2))/(LN(2)/2)*ER124*EU124*VLOOKUP('Données projet'!$B$15,Paramètres!$A$1:$I$89,3,0)*0.475*44/12</f>
        <v>5.8772759972976169E-14</v>
      </c>
      <c r="EY124" s="24">
        <f t="shared" si="75"/>
        <v>3.0088659623038834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 t="e">
        <f>N125*VLOOKUP('Données projet'!$B$9,Paramètres!$A$1:$I$89,3,0)*VLOOKUP('Données projet'!$B$9,Paramètres!$A$1:$I$89,5,0)</f>
        <v>#N/A</v>
      </c>
      <c r="P125" s="14" t="e">
        <f t="shared" si="87"/>
        <v>#N/A</v>
      </c>
      <c r="Q125" s="22" t="e">
        <f t="shared" si="107"/>
        <v>#N/A</v>
      </c>
      <c r="R125" s="60" t="e">
        <f t="shared" si="55"/>
        <v>#N/A</v>
      </c>
      <c r="S125" s="60" t="e">
        <f ca="1">AVERAGE(OFFSET($R$3,0,0,'Données projet'!$E$9+1,1))-AVERAGE(OFFSET($H$3,0,0,'Données projet'!$E$9+1,1))</f>
        <v>#N/A</v>
      </c>
      <c r="T125" s="60" t="e">
        <f t="shared" si="88"/>
        <v>#N/A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 t="e">
        <f>EXP(-LN(2)/35)*Z124+(1-EXP(-LN(2)/35))/(LN(2)/35)*V125*W125*VLOOKUP('Données projet'!$B$9,Paramètres!$A$1:$I$89,3,0)*0.475*44/12</f>
        <v>#N/A</v>
      </c>
      <c r="AA125" s="23" t="e">
        <f>EXP(-LN(2)/25)*AA124+(1-EXP(-LN(2)/25))/(LN(2)/25)*Calculateur!V125*Calculateur!X125*VLOOKUP('Données projet'!$B$9,Paramètres!$A$1:$I$89,3,0)*0.475*44/12</f>
        <v>#N/A</v>
      </c>
      <c r="AB125" s="23" t="e">
        <f>EXP(-LN(2)/2)*AB124+(1-EXP(-LN(2)/2))/(LN(2)/2)*V125*Y125*VLOOKUP('Données projet'!$B$9,Paramètres!$A$1:$I$89,3,0)*0.475*44/12</f>
        <v>#N/A</v>
      </c>
      <c r="AC125" s="24" t="e">
        <f t="shared" si="57"/>
        <v>#N/A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0">
        <f t="shared" si="59"/>
        <v>830.62702157178478</v>
      </c>
      <c r="AN125" s="60">
        <f ca="1">AVERAGE(OFFSET($AM$3,0,0,'Données projet'!$E$10+1,1))-AVERAGE(OFFSET($H$3,0,0,'Données projet'!$E$10+1,1))</f>
        <v>428.8489304403459</v>
      </c>
      <c r="AO125" s="60">
        <f t="shared" si="90"/>
        <v>247.01165577562966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projet'!$B$11,Paramètres!$A$1:$I$89,3,0)*VLOOKUP('Données projet'!$B$11,Paramètres!$A$1:$I$89,5,0)</f>
        <v>-1.9065282685915009E-13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374.79806286316051</v>
      </c>
      <c r="BJ125" s="60">
        <f t="shared" si="92"/>
        <v>350.01856672839466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1.7374750076994809</v>
      </c>
      <c r="BR125" s="23">
        <f>EXP(-LN(2)/2)*BR124+(1-EXP(-LN(2)/2))/(LN(2)/2)*BL125*BO125*VLOOKUP('Données projet'!$B$11,Paramètres!$A$1:$I$89,3,0)*0.475*44/12</f>
        <v>1.5642997712014528E-13</v>
      </c>
      <c r="BS125" s="24">
        <f t="shared" si="63"/>
        <v>1.7374750076996373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248.27711999999951</v>
      </c>
      <c r="CA125" s="14">
        <f t="shared" si="93"/>
        <v>60.216863677580257</v>
      </c>
      <c r="CB125" s="22">
        <f t="shared" si="64"/>
        <v>537.29368823845141</v>
      </c>
      <c r="CC125" s="60">
        <f t="shared" si="65"/>
        <v>830.62702157178478</v>
      </c>
      <c r="CD125" s="60">
        <f ca="1">AVERAGE(OFFSET($CC$3,0,0,'Données projet'!$E$12+1,1))-AVERAGE(OFFSET($H$3,0,0,'Données projet'!$E$12+1,1))</f>
        <v>428.8489304403459</v>
      </c>
      <c r="CE125" s="60">
        <f t="shared" si="94"/>
        <v>247.01165577562966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-1.7053025658242404E-13</v>
      </c>
      <c r="CU125" s="18">
        <f>CT125*VLOOKUP('Données projet'!$B$13,Paramètres!$A$1:$I$89,3,0)*VLOOKUP('Données projet'!$B$13,Paramètres!$A$1:$I$89,5,0)</f>
        <v>-1.6227659216383472E-13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354.63118425028898</v>
      </c>
      <c r="CZ125" s="60">
        <f t="shared" si="96"/>
        <v>244.7141066773861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265.39967999999948</v>
      </c>
      <c r="DQ125" s="14">
        <f t="shared" si="97"/>
        <v>63.87199095821434</v>
      </c>
      <c r="DR125" s="22">
        <f t="shared" si="70"/>
        <v>573.48149358555565</v>
      </c>
      <c r="DS125" s="60">
        <f t="shared" si="71"/>
        <v>866.81482691888891</v>
      </c>
      <c r="DT125" s="60">
        <f ca="1">AVERAGE(OFFSET($DS$3,0,0,'Données projet'!$E$14+1,1))-AVERAGE(OFFSET($H$3,0,0,'Données projet'!$E$14+1,1))</f>
        <v>455.50822833641354</v>
      </c>
      <c r="DU125" s="60">
        <f t="shared" si="98"/>
        <v>261.14722581688039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207.03241199974599</v>
      </c>
      <c r="EP125" s="60">
        <f t="shared" si="100"/>
        <v>314.188568589113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2.1831586543041501</v>
      </c>
      <c r="EW125" s="23">
        <f>EXP(-LN(2)/25)*EW124+(1-EXP(-LN(2)/25))/(LN(2)/25)*Calculateur!ER125*Calculateur!ET125*VLOOKUP('Données projet'!$B$15,Paramètres!$A$1:$I$89,3,0)*0.475*44/12</f>
        <v>0.76065567937681966</v>
      </c>
      <c r="EX125" s="23">
        <f>EXP(-LN(2)/2)*EX124+(1-EXP(-LN(2)/2))/(LN(2)/2)*ER125*EU125*VLOOKUP('Données projet'!$B$15,Paramètres!$A$1:$I$89,3,0)*0.475*44/12</f>
        <v>4.1558617125940739E-14</v>
      </c>
      <c r="EY125" s="24">
        <f t="shared" si="75"/>
        <v>2.9438143336810114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 t="e">
        <f>N126*VLOOKUP('Données projet'!$B$9,Paramètres!$A$1:$I$89,3,0)*VLOOKUP('Données projet'!$B$9,Paramètres!$A$1:$I$89,5,0)</f>
        <v>#N/A</v>
      </c>
      <c r="P126" s="14" t="e">
        <f t="shared" si="87"/>
        <v>#N/A</v>
      </c>
      <c r="Q126" s="22" t="e">
        <f t="shared" si="107"/>
        <v>#N/A</v>
      </c>
      <c r="R126" s="60" t="e">
        <f t="shared" si="55"/>
        <v>#N/A</v>
      </c>
      <c r="S126" s="60" t="e">
        <f ca="1">AVERAGE(OFFSET($R$3,0,0,'Données projet'!$E$9+1,1))-AVERAGE(OFFSET($H$3,0,0,'Données projet'!$E$9+1,1))</f>
        <v>#N/A</v>
      </c>
      <c r="T126" s="60" t="e">
        <f t="shared" si="88"/>
        <v>#N/A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 t="e">
        <f>EXP(-LN(2)/35)*Z125+(1-EXP(-LN(2)/35))/(LN(2)/35)*V126*W126*VLOOKUP('Données projet'!$B$9,Paramètres!$A$1:$I$89,3,0)*0.475*44/12</f>
        <v>#N/A</v>
      </c>
      <c r="AA126" s="23" t="e">
        <f>EXP(-LN(2)/25)*AA125+(1-EXP(-LN(2)/25))/(LN(2)/25)*Calculateur!V126*Calculateur!X126*VLOOKUP('Données projet'!$B$9,Paramètres!$A$1:$I$89,3,0)*0.475*44/12</f>
        <v>#N/A</v>
      </c>
      <c r="AB126" s="23" t="e">
        <f>EXP(-LN(2)/2)*AB125+(1-EXP(-LN(2)/2))/(LN(2)/2)*V126*Y126*VLOOKUP('Données projet'!$B$9,Paramètres!$A$1:$I$89,3,0)*0.475*44/12</f>
        <v>#N/A</v>
      </c>
      <c r="AC126" s="24" t="e">
        <f t="shared" si="57"/>
        <v>#N/A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0">
        <f t="shared" si="59"/>
        <v>836.74974224894845</v>
      </c>
      <c r="AN126" s="60">
        <f ca="1">AVERAGE(OFFSET($AM$3,0,0,'Données projet'!$E$10+1,1))-AVERAGE(OFFSET($H$3,0,0,'Données projet'!$E$10+1,1))</f>
        <v>428.8489304403459</v>
      </c>
      <c r="AO126" s="60">
        <f t="shared" si="90"/>
        <v>247.01165577562966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projet'!$B$11,Paramètres!$A$1:$I$89,3,0)*VLOOKUP('Données projet'!$B$11,Paramètres!$A$1:$I$89,5,0)</f>
        <v>-1.9065282685915009E-13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374.79806286316051</v>
      </c>
      <c r="BJ126" s="60">
        <f t="shared" si="92"/>
        <v>350.01856672839466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1.689963662244099</v>
      </c>
      <c r="BR126" s="23">
        <f>EXP(-LN(2)/2)*BR125+(1-EXP(-LN(2)/2))/(LN(2)/2)*BL126*BO126*VLOOKUP('Données projet'!$B$11,Paramètres!$A$1:$I$89,3,0)*0.475*44/12</f>
        <v>1.106126976025112E-13</v>
      </c>
      <c r="BS126" s="24">
        <f t="shared" si="63"/>
        <v>1.6899636622442096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251.1724799999995</v>
      </c>
      <c r="CA126" s="14">
        <f t="shared" si="93"/>
        <v>60.836941386956575</v>
      </c>
      <c r="CB126" s="22">
        <f t="shared" si="64"/>
        <v>543.41640891561519</v>
      </c>
      <c r="CC126" s="60">
        <f t="shared" si="65"/>
        <v>836.74974224894845</v>
      </c>
      <c r="CD126" s="60">
        <f ca="1">AVERAGE(OFFSET($CC$3,0,0,'Données projet'!$E$12+1,1))-AVERAGE(OFFSET($H$3,0,0,'Données projet'!$E$12+1,1))</f>
        <v>428.8489304403459</v>
      </c>
      <c r="CE126" s="60">
        <f t="shared" si="94"/>
        <v>247.01165577562966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-1.7053025658242404E-13</v>
      </c>
      <c r="CU126" s="18">
        <f>CT126*VLOOKUP('Données projet'!$B$13,Paramètres!$A$1:$I$89,3,0)*VLOOKUP('Données projet'!$B$13,Paramètres!$A$1:$I$89,5,0)</f>
        <v>-1.6227659216383472E-13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354.63118425028898</v>
      </c>
      <c r="CZ126" s="60">
        <f t="shared" si="96"/>
        <v>244.7141066773861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268.49471999999946</v>
      </c>
      <c r="DQ126" s="14">
        <f t="shared" si="97"/>
        <v>64.529707010294615</v>
      </c>
      <c r="DR126" s="22">
        <f t="shared" si="70"/>
        <v>580.01754370959543</v>
      </c>
      <c r="DS126" s="60">
        <f t="shared" si="71"/>
        <v>873.35087704292869</v>
      </c>
      <c r="DT126" s="60">
        <f ca="1">AVERAGE(OFFSET($DS$3,0,0,'Données projet'!$E$14+1,1))-AVERAGE(OFFSET($H$3,0,0,'Données projet'!$E$14+1,1))</f>
        <v>455.50822833641354</v>
      </c>
      <c r="DU126" s="60">
        <f t="shared" si="98"/>
        <v>261.14722581688039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207.03241199974599</v>
      </c>
      <c r="EP126" s="60">
        <f t="shared" si="100"/>
        <v>314.188568589113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2.1403482446885409</v>
      </c>
      <c r="EW126" s="23">
        <f>EXP(-LN(2)/25)*EW125+(1-EXP(-LN(2)/25))/(LN(2)/25)*Calculateur!ER126*Calculateur!ET126*VLOOKUP('Données projet'!$B$15,Paramètres!$A$1:$I$89,3,0)*0.475*44/12</f>
        <v>0.73985550982311687</v>
      </c>
      <c r="EX126" s="23">
        <f>EXP(-LN(2)/2)*EX125+(1-EXP(-LN(2)/2))/(LN(2)/2)*ER126*EU126*VLOOKUP('Données projet'!$B$15,Paramètres!$A$1:$I$89,3,0)*0.475*44/12</f>
        <v>2.9386379986488084E-14</v>
      </c>
      <c r="EY126" s="24">
        <f t="shared" si="75"/>
        <v>2.8802037545116872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 t="e">
        <f>N127*VLOOKUP('Données projet'!$B$9,Paramètres!$A$1:$I$89,3,0)*VLOOKUP('Données projet'!$B$9,Paramètres!$A$1:$I$89,5,0)</f>
        <v>#N/A</v>
      </c>
      <c r="P127" s="14" t="e">
        <f t="shared" si="87"/>
        <v>#N/A</v>
      </c>
      <c r="Q127" s="22" t="e">
        <f t="shared" si="107"/>
        <v>#N/A</v>
      </c>
      <c r="R127" s="60" t="e">
        <f t="shared" si="55"/>
        <v>#N/A</v>
      </c>
      <c r="S127" s="60" t="e">
        <f ca="1">AVERAGE(OFFSET($R$3,0,0,'Données projet'!$E$9+1,1))-AVERAGE(OFFSET($H$3,0,0,'Données projet'!$E$9+1,1))</f>
        <v>#N/A</v>
      </c>
      <c r="T127" s="60" t="e">
        <f t="shared" si="88"/>
        <v>#N/A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 t="e">
        <f>EXP(-LN(2)/35)*Z126+(1-EXP(-LN(2)/35))/(LN(2)/35)*V127*W127*VLOOKUP('Données projet'!$B$9,Paramètres!$A$1:$I$89,3,0)*0.475*44/12</f>
        <v>#N/A</v>
      </c>
      <c r="AA127" s="23" t="e">
        <f>EXP(-LN(2)/25)*AA126+(1-EXP(-LN(2)/25))/(LN(2)/25)*Calculateur!V127*Calculateur!X127*VLOOKUP('Données projet'!$B$9,Paramètres!$A$1:$I$89,3,0)*0.475*44/12</f>
        <v>#N/A</v>
      </c>
      <c r="AB127" s="23" t="e">
        <f>EXP(-LN(2)/2)*AB126+(1-EXP(-LN(2)/2))/(LN(2)/2)*V127*Y127*VLOOKUP('Données projet'!$B$9,Paramètres!$A$1:$I$89,3,0)*0.475*44/12</f>
        <v>#N/A</v>
      </c>
      <c r="AC127" s="24" t="e">
        <f t="shared" si="57"/>
        <v>#N/A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0">
        <f t="shared" si="59"/>
        <v>842.87101477628971</v>
      </c>
      <c r="AN127" s="60">
        <f ca="1">AVERAGE(OFFSET($AM$3,0,0,'Données projet'!$E$10+1,1))-AVERAGE(OFFSET($H$3,0,0,'Données projet'!$E$10+1,1))</f>
        <v>428.8489304403459</v>
      </c>
      <c r="AO127" s="60">
        <f t="shared" si="90"/>
        <v>247.01165577562966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projet'!$B$11,Paramètres!$A$1:$I$89,3,0)*VLOOKUP('Données projet'!$B$11,Paramètres!$A$1:$I$89,5,0)</f>
        <v>-1.9065282685915009E-13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374.79806286316051</v>
      </c>
      <c r="BJ127" s="60">
        <f t="shared" si="92"/>
        <v>350.01856672839466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1.6437515170287076</v>
      </c>
      <c r="BR127" s="23">
        <f>EXP(-LN(2)/2)*BR126+(1-EXP(-LN(2)/2))/(LN(2)/2)*BL127*BO127*VLOOKUP('Données projet'!$B$11,Paramètres!$A$1:$I$89,3,0)*0.475*44/12</f>
        <v>7.8214988560072651E-14</v>
      </c>
      <c r="BS127" s="24">
        <f t="shared" si="63"/>
        <v>1.6437515170287857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254.06783999999948</v>
      </c>
      <c r="CA127" s="14">
        <f t="shared" si="93"/>
        <v>61.456187622750612</v>
      </c>
      <c r="CB127" s="22">
        <f t="shared" si="64"/>
        <v>549.53768144295634</v>
      </c>
      <c r="CC127" s="60">
        <f t="shared" si="65"/>
        <v>842.87101477628971</v>
      </c>
      <c r="CD127" s="60">
        <f ca="1">AVERAGE(OFFSET($CC$3,0,0,'Données projet'!$E$12+1,1))-AVERAGE(OFFSET($H$3,0,0,'Données projet'!$E$12+1,1))</f>
        <v>428.8489304403459</v>
      </c>
      <c r="CE127" s="60">
        <f t="shared" si="94"/>
        <v>247.01165577562966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-1.7053025658242404E-13</v>
      </c>
      <c r="CU127" s="18">
        <f>CT127*VLOOKUP('Données projet'!$B$13,Paramètres!$A$1:$I$89,3,0)*VLOOKUP('Données projet'!$B$13,Paramètres!$A$1:$I$89,5,0)</f>
        <v>-1.6227659216383472E-13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354.63118425028898</v>
      </c>
      <c r="CZ127" s="60">
        <f t="shared" si="96"/>
        <v>244.7141066773861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271.5897599999995</v>
      </c>
      <c r="DQ127" s="14">
        <f t="shared" si="97"/>
        <v>65.186541118848012</v>
      </c>
      <c r="DR127" s="22">
        <f t="shared" si="70"/>
        <v>586.55205778199274</v>
      </c>
      <c r="DS127" s="60">
        <f t="shared" si="71"/>
        <v>879.885391115326</v>
      </c>
      <c r="DT127" s="60">
        <f ca="1">AVERAGE(OFFSET($DS$3,0,0,'Données projet'!$E$14+1,1))-AVERAGE(OFFSET($H$3,0,0,'Données projet'!$E$14+1,1))</f>
        <v>455.50822833641354</v>
      </c>
      <c r="DU127" s="60">
        <f t="shared" si="98"/>
        <v>261.14722581688039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207.03241199974599</v>
      </c>
      <c r="EP127" s="60">
        <f t="shared" si="100"/>
        <v>314.188568589113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2.098377321093722</v>
      </c>
      <c r="EW127" s="23">
        <f>EXP(-LN(2)/25)*EW126+(1-EXP(-LN(2)/25))/(LN(2)/25)*Calculateur!ER127*Calculateur!ET127*VLOOKUP('Données projet'!$B$15,Paramètres!$A$1:$I$89,3,0)*0.475*44/12</f>
        <v>0.7196241219996935</v>
      </c>
      <c r="EX127" s="23">
        <f>EXP(-LN(2)/2)*EX126+(1-EXP(-LN(2)/2))/(LN(2)/2)*ER127*EU127*VLOOKUP('Données projet'!$B$15,Paramètres!$A$1:$I$89,3,0)*0.475*44/12</f>
        <v>2.077930856297037E-14</v>
      </c>
      <c r="EY127" s="24">
        <f t="shared" si="75"/>
        <v>2.8180014430934364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 t="e">
        <f>N128*VLOOKUP('Données projet'!$B$9,Paramètres!$A$1:$I$89,3,0)*VLOOKUP('Données projet'!$B$9,Paramètres!$A$1:$I$89,5,0)</f>
        <v>#N/A</v>
      </c>
      <c r="P128" s="14" t="e">
        <f t="shared" si="87"/>
        <v>#N/A</v>
      </c>
      <c r="Q128" s="22" t="e">
        <f t="shared" si="107"/>
        <v>#N/A</v>
      </c>
      <c r="R128" s="60" t="e">
        <f t="shared" si="55"/>
        <v>#N/A</v>
      </c>
      <c r="S128" s="60" t="e">
        <f ca="1">AVERAGE(OFFSET($R$3,0,0,'Données projet'!$E$9+1,1))-AVERAGE(OFFSET($H$3,0,0,'Données projet'!$E$9+1,1))</f>
        <v>#N/A</v>
      </c>
      <c r="T128" s="60" t="e">
        <f t="shared" si="88"/>
        <v>#N/A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 t="e">
        <f>EXP(-LN(2)/35)*Z127+(1-EXP(-LN(2)/35))/(LN(2)/35)*V128*W128*VLOOKUP('Données projet'!$B$9,Paramètres!$A$1:$I$89,3,0)*0.475*44/12</f>
        <v>#N/A</v>
      </c>
      <c r="AA128" s="23" t="e">
        <f>EXP(-LN(2)/25)*AA127+(1-EXP(-LN(2)/25))/(LN(2)/25)*Calculateur!V128*Calculateur!X128*VLOOKUP('Données projet'!$B$9,Paramètres!$A$1:$I$89,3,0)*0.475*44/12</f>
        <v>#N/A</v>
      </c>
      <c r="AB128" s="23" t="e">
        <f>EXP(-LN(2)/2)*AB127+(1-EXP(-LN(2)/2))/(LN(2)/2)*V128*Y128*VLOOKUP('Données projet'!$B$9,Paramètres!$A$1:$I$89,3,0)*0.475*44/12</f>
        <v>#N/A</v>
      </c>
      <c r="AC128" s="24" t="e">
        <f t="shared" si="57"/>
        <v>#N/A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0">
        <f t="shared" si="59"/>
        <v>848.99085756649174</v>
      </c>
      <c r="AN128" s="60">
        <f ca="1">AVERAGE(OFFSET($AM$3,0,0,'Données projet'!$E$10+1,1))-AVERAGE(OFFSET($H$3,0,0,'Données projet'!$E$10+1,1))</f>
        <v>428.8489304403459</v>
      </c>
      <c r="AO128" s="60">
        <f t="shared" si="90"/>
        <v>247.01165577562966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projet'!$B$11,Paramètres!$A$1:$I$89,3,0)*VLOOKUP('Données projet'!$B$11,Paramètres!$A$1:$I$89,5,0)</f>
        <v>-1.9065282685915009E-13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374.79806286316051</v>
      </c>
      <c r="BJ128" s="60">
        <f t="shared" si="92"/>
        <v>350.01856672839466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1.5988030453544222</v>
      </c>
      <c r="BR128" s="23">
        <f>EXP(-LN(2)/2)*BR127+(1-EXP(-LN(2)/2))/(LN(2)/2)*BL128*BO128*VLOOKUP('Données projet'!$B$11,Paramètres!$A$1:$I$89,3,0)*0.475*44/12</f>
        <v>5.5306348801255615E-14</v>
      </c>
      <c r="BS128" s="24">
        <f t="shared" si="63"/>
        <v>1.5988030453544775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256.96319999999946</v>
      </c>
      <c r="CA128" s="14">
        <f t="shared" si="93"/>
        <v>62.07461295683791</v>
      </c>
      <c r="CB128" s="22">
        <f t="shared" si="64"/>
        <v>555.65752423315837</v>
      </c>
      <c r="CC128" s="60">
        <f t="shared" si="65"/>
        <v>848.99085756649174</v>
      </c>
      <c r="CD128" s="60">
        <f ca="1">AVERAGE(OFFSET($CC$3,0,0,'Données projet'!$E$12+1,1))-AVERAGE(OFFSET($H$3,0,0,'Données projet'!$E$12+1,1))</f>
        <v>428.8489304403459</v>
      </c>
      <c r="CE128" s="60">
        <f t="shared" si="94"/>
        <v>247.01165577562966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-1.7053025658242404E-13</v>
      </c>
      <c r="CU128" s="18">
        <f>CT128*VLOOKUP('Données projet'!$B$13,Paramètres!$A$1:$I$89,3,0)*VLOOKUP('Données projet'!$B$13,Paramètres!$A$1:$I$89,5,0)</f>
        <v>-1.6227659216383472E-13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354.63118425028898</v>
      </c>
      <c r="CZ128" s="60">
        <f t="shared" si="96"/>
        <v>244.7141066773861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274.68479999999943</v>
      </c>
      <c r="DQ128" s="14">
        <f t="shared" si="97"/>
        <v>65.842504497456545</v>
      </c>
      <c r="DR128" s="22">
        <f t="shared" si="70"/>
        <v>593.08505533306914</v>
      </c>
      <c r="DS128" s="60">
        <f t="shared" si="71"/>
        <v>886.41838866640251</v>
      </c>
      <c r="DT128" s="60">
        <f ca="1">AVERAGE(OFFSET($DS$3,0,0,'Données projet'!$E$14+1,1))-AVERAGE(OFFSET($H$3,0,0,'Données projet'!$E$14+1,1))</f>
        <v>455.50822833641354</v>
      </c>
      <c r="DU128" s="60">
        <f t="shared" si="98"/>
        <v>261.14722581688039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207.03241199974599</v>
      </c>
      <c r="EP128" s="60">
        <f t="shared" si="100"/>
        <v>314.188568589113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2.0572294217108618</v>
      </c>
      <c r="EW128" s="23">
        <f>EXP(-LN(2)/25)*EW127+(1-EXP(-LN(2)/25))/(LN(2)/25)*Calculateur!ER128*Calculateur!ET128*VLOOKUP('Données projet'!$B$15,Paramètres!$A$1:$I$89,3,0)*0.475*44/12</f>
        <v>0.69994596254022401</v>
      </c>
      <c r="EX128" s="23">
        <f>EXP(-LN(2)/2)*EX127+(1-EXP(-LN(2)/2))/(LN(2)/2)*ER128*EU128*VLOOKUP('Données projet'!$B$15,Paramètres!$A$1:$I$89,3,0)*0.475*44/12</f>
        <v>1.4693189993244042E-14</v>
      </c>
      <c r="EY128" s="24">
        <f t="shared" si="75"/>
        <v>2.7571753842511004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 t="e">
        <f>N129*VLOOKUP('Données projet'!$B$9,Paramètres!$A$1:$I$89,3,0)*VLOOKUP('Données projet'!$B$9,Paramètres!$A$1:$I$89,5,0)</f>
        <v>#N/A</v>
      </c>
      <c r="P129" s="14" t="e">
        <f t="shared" si="87"/>
        <v>#N/A</v>
      </c>
      <c r="Q129" s="22" t="e">
        <f t="shared" si="107"/>
        <v>#N/A</v>
      </c>
      <c r="R129" s="60" t="e">
        <f t="shared" si="55"/>
        <v>#N/A</v>
      </c>
      <c r="S129" s="60" t="e">
        <f ca="1">AVERAGE(OFFSET($R$3,0,0,'Données projet'!$E$9+1,1))-AVERAGE(OFFSET($H$3,0,0,'Données projet'!$E$9+1,1))</f>
        <v>#N/A</v>
      </c>
      <c r="T129" s="60" t="e">
        <f t="shared" si="88"/>
        <v>#N/A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 t="e">
        <f>EXP(-LN(2)/35)*Z128+(1-EXP(-LN(2)/35))/(LN(2)/35)*V129*W129*VLOOKUP('Données projet'!$B$9,Paramètres!$A$1:$I$89,3,0)*0.475*44/12</f>
        <v>#N/A</v>
      </c>
      <c r="AA129" s="23" t="e">
        <f>EXP(-LN(2)/25)*AA128+(1-EXP(-LN(2)/25))/(LN(2)/25)*Calculateur!V129*Calculateur!X129*VLOOKUP('Données projet'!$B$9,Paramètres!$A$1:$I$89,3,0)*0.475*44/12</f>
        <v>#N/A</v>
      </c>
      <c r="AB129" s="23" t="e">
        <f>EXP(-LN(2)/2)*AB128+(1-EXP(-LN(2)/2))/(LN(2)/2)*V129*Y129*VLOOKUP('Données projet'!$B$9,Paramètres!$A$1:$I$89,3,0)*0.475*44/12</f>
        <v>#N/A</v>
      </c>
      <c r="AC129" s="24" t="e">
        <f t="shared" si="57"/>
        <v>#N/A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0">
        <f t="shared" si="59"/>
        <v>855.10928859341493</v>
      </c>
      <c r="AN129" s="60">
        <f ca="1">AVERAGE(OFFSET($AM$3,0,0,'Données projet'!$E$10+1,1))-AVERAGE(OFFSET($H$3,0,0,'Données projet'!$E$10+1,1))</f>
        <v>428.8489304403459</v>
      </c>
      <c r="AO129" s="60">
        <f t="shared" si="90"/>
        <v>247.01165577562966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projet'!$B$11,Paramètres!$A$1:$I$89,3,0)*VLOOKUP('Données projet'!$B$11,Paramètres!$A$1:$I$89,5,0)</f>
        <v>-1.9065282685915009E-13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374.79806286316051</v>
      </c>
      <c r="BJ129" s="60">
        <f t="shared" si="92"/>
        <v>350.01856672839466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1.5550836920018074</v>
      </c>
      <c r="BR129" s="23">
        <f>EXP(-LN(2)/2)*BR128+(1-EXP(-LN(2)/2))/(LN(2)/2)*BL129*BO129*VLOOKUP('Données projet'!$B$11,Paramètres!$A$1:$I$89,3,0)*0.475*44/12</f>
        <v>3.9107494280036332E-14</v>
      </c>
      <c r="BS129" s="24">
        <f t="shared" si="63"/>
        <v>1.5550836920018465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259.85855999999944</v>
      </c>
      <c r="CA129" s="14">
        <f t="shared" si="93"/>
        <v>62.692227709138365</v>
      </c>
      <c r="CB129" s="22">
        <f t="shared" si="64"/>
        <v>561.77595526008167</v>
      </c>
      <c r="CC129" s="60">
        <f t="shared" si="65"/>
        <v>855.10928859341493</v>
      </c>
      <c r="CD129" s="60">
        <f ca="1">AVERAGE(OFFSET($CC$3,0,0,'Données projet'!$E$12+1,1))-AVERAGE(OFFSET($H$3,0,0,'Données projet'!$E$12+1,1))</f>
        <v>428.8489304403459</v>
      </c>
      <c r="CE129" s="60">
        <f t="shared" si="94"/>
        <v>247.01165577562966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-1.7053025658242404E-13</v>
      </c>
      <c r="CU129" s="18">
        <f>CT129*VLOOKUP('Données projet'!$B$13,Paramètres!$A$1:$I$89,3,0)*VLOOKUP('Données projet'!$B$13,Paramètres!$A$1:$I$89,5,0)</f>
        <v>-1.6227659216383472E-13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354.63118425028898</v>
      </c>
      <c r="CZ129" s="60">
        <f t="shared" si="96"/>
        <v>244.7141066773861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277.77983999999947</v>
      </c>
      <c r="DQ129" s="14">
        <f t="shared" si="97"/>
        <v>66.497608092453063</v>
      </c>
      <c r="DR129" s="22">
        <f t="shared" si="70"/>
        <v>599.61655542768813</v>
      </c>
      <c r="DS129" s="60">
        <f t="shared" si="71"/>
        <v>892.94988876102138</v>
      </c>
      <c r="DT129" s="60">
        <f ca="1">AVERAGE(OFFSET($DS$3,0,0,'Données projet'!$E$14+1,1))-AVERAGE(OFFSET($H$3,0,0,'Données projet'!$E$14+1,1))</f>
        <v>455.50822833641354</v>
      </c>
      <c r="DU129" s="60">
        <f t="shared" si="98"/>
        <v>261.14722581688039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207.03241199974599</v>
      </c>
      <c r="EP129" s="60">
        <f t="shared" si="100"/>
        <v>314.188568589113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2.0168884075371594</v>
      </c>
      <c r="EW129" s="23">
        <f>EXP(-LN(2)/25)*EW128+(1-EXP(-LN(2)/25))/(LN(2)/25)*Calculateur!ER129*Calculateur!ET129*VLOOKUP('Données projet'!$B$15,Paramètres!$A$1:$I$89,3,0)*0.475*44/12</f>
        <v>0.68080590338600311</v>
      </c>
      <c r="EX129" s="23">
        <f>EXP(-LN(2)/2)*EX128+(1-EXP(-LN(2)/2))/(LN(2)/2)*ER129*EU129*VLOOKUP('Données projet'!$B$15,Paramètres!$A$1:$I$89,3,0)*0.475*44/12</f>
        <v>1.0389654281485185E-14</v>
      </c>
      <c r="EY129" s="24">
        <f t="shared" si="75"/>
        <v>2.6976943109231728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 t="e">
        <f>N130*VLOOKUP('Données projet'!$B$9,Paramètres!$A$1:$I$89,3,0)*VLOOKUP('Données projet'!$B$9,Paramètres!$A$1:$I$89,5,0)</f>
        <v>#N/A</v>
      </c>
      <c r="P130" s="14" t="e">
        <f t="shared" si="87"/>
        <v>#N/A</v>
      </c>
      <c r="Q130" s="22" t="e">
        <f t="shared" si="107"/>
        <v>#N/A</v>
      </c>
      <c r="R130" s="60" t="e">
        <f t="shared" si="55"/>
        <v>#N/A</v>
      </c>
      <c r="S130" s="60" t="e">
        <f ca="1">AVERAGE(OFFSET($R$3,0,0,'Données projet'!$E$9+1,1))-AVERAGE(OFFSET($H$3,0,0,'Données projet'!$E$9+1,1))</f>
        <v>#N/A</v>
      </c>
      <c r="T130" s="60" t="e">
        <f t="shared" si="88"/>
        <v>#N/A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 t="e">
        <f>EXP(-LN(2)/35)*Z129+(1-EXP(-LN(2)/35))/(LN(2)/35)*V130*W130*VLOOKUP('Données projet'!$B$9,Paramètres!$A$1:$I$89,3,0)*0.475*44/12</f>
        <v>#N/A</v>
      </c>
      <c r="AA130" s="23" t="e">
        <f>EXP(-LN(2)/25)*AA129+(1-EXP(-LN(2)/25))/(LN(2)/25)*Calculateur!V130*Calculateur!X130*VLOOKUP('Données projet'!$B$9,Paramètres!$A$1:$I$89,3,0)*0.475*44/12</f>
        <v>#N/A</v>
      </c>
      <c r="AB130" s="23" t="e">
        <f>EXP(-LN(2)/2)*AB129+(1-EXP(-LN(2)/2))/(LN(2)/2)*V130*Y130*VLOOKUP('Données projet'!$B$9,Paramètres!$A$1:$I$89,3,0)*0.475*44/12</f>
        <v>#N/A</v>
      </c>
      <c r="AC130" s="24" t="e">
        <f t="shared" si="57"/>
        <v>#N/A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0">
        <f t="shared" si="59"/>
        <v>861.22632540732639</v>
      </c>
      <c r="AN130" s="60">
        <f ca="1">AVERAGE(OFFSET($AM$3,0,0,'Données projet'!$E$10+1,1))-AVERAGE(OFFSET($H$3,0,0,'Données projet'!$E$10+1,1))</f>
        <v>428.8489304403459</v>
      </c>
      <c r="AO130" s="60">
        <f t="shared" si="90"/>
        <v>247.01165577562966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projet'!$B$11,Paramètres!$A$1:$I$89,3,0)*VLOOKUP('Données projet'!$B$11,Paramètres!$A$1:$I$89,5,0)</f>
        <v>-1.9065282685915009E-13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374.79806286316051</v>
      </c>
      <c r="BJ130" s="60">
        <f t="shared" si="92"/>
        <v>350.01856672839466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1.5125598466657209</v>
      </c>
      <c r="BR130" s="23">
        <f>EXP(-LN(2)/2)*BR129+(1-EXP(-LN(2)/2))/(LN(2)/2)*BL130*BO130*VLOOKUP('Données projet'!$B$11,Paramètres!$A$1:$I$89,3,0)*0.475*44/12</f>
        <v>2.7653174400627811E-14</v>
      </c>
      <c r="BS130" s="24">
        <f t="shared" si="63"/>
        <v>1.5125598466657486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262.75391999999948</v>
      </c>
      <c r="CA130" s="14">
        <f t="shared" si="93"/>
        <v>63.309041956360211</v>
      </c>
      <c r="CB130" s="22">
        <f t="shared" si="64"/>
        <v>567.89299207399313</v>
      </c>
      <c r="CC130" s="60">
        <f t="shared" si="65"/>
        <v>861.22632540732639</v>
      </c>
      <c r="CD130" s="60">
        <f ca="1">AVERAGE(OFFSET($CC$3,0,0,'Données projet'!$E$12+1,1))-AVERAGE(OFFSET($H$3,0,0,'Données projet'!$E$12+1,1))</f>
        <v>428.8489304403459</v>
      </c>
      <c r="CE130" s="60">
        <f t="shared" si="94"/>
        <v>247.01165577562966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-1.7053025658242404E-13</v>
      </c>
      <c r="CU130" s="18">
        <f>CT130*VLOOKUP('Données projet'!$B$13,Paramètres!$A$1:$I$89,3,0)*VLOOKUP('Données projet'!$B$13,Paramètres!$A$1:$I$89,5,0)</f>
        <v>-1.6227659216383472E-13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354.63118425028898</v>
      </c>
      <c r="CZ130" s="60">
        <f t="shared" si="96"/>
        <v>244.7141066773861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280.87487999999945</v>
      </c>
      <c r="DQ130" s="14">
        <f t="shared" si="97"/>
        <v>67.151862592195727</v>
      </c>
      <c r="DR130" s="22">
        <f t="shared" si="70"/>
        <v>606.1465766814066</v>
      </c>
      <c r="DS130" s="60">
        <f t="shared" si="71"/>
        <v>899.47991001473997</v>
      </c>
      <c r="DT130" s="60">
        <f ca="1">AVERAGE(OFFSET($DS$3,0,0,'Données projet'!$E$14+1,1))-AVERAGE(OFFSET($H$3,0,0,'Données projet'!$E$14+1,1))</f>
        <v>455.50822833641354</v>
      </c>
      <c r="DU130" s="60">
        <f t="shared" si="98"/>
        <v>261.14722581688039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207.03241199974599</v>
      </c>
      <c r="EP130" s="60">
        <f t="shared" si="100"/>
        <v>314.188568589113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1.977338456045814</v>
      </c>
      <c r="EW130" s="23">
        <f>EXP(-LN(2)/25)*EW129+(1-EXP(-LN(2)/25))/(LN(2)/25)*Calculateur!ER130*Calculateur!ET130*VLOOKUP('Données projet'!$B$15,Paramètres!$A$1:$I$89,3,0)*0.475*44/12</f>
        <v>0.66218923015588638</v>
      </c>
      <c r="EX130" s="23">
        <f>EXP(-LN(2)/2)*EX129+(1-EXP(-LN(2)/2))/(LN(2)/2)*ER130*EU130*VLOOKUP('Données projet'!$B$15,Paramètres!$A$1:$I$89,3,0)*0.475*44/12</f>
        <v>7.3465949966220211E-15</v>
      </c>
      <c r="EY130" s="24">
        <f t="shared" si="75"/>
        <v>2.6395276862017081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 t="e">
        <f>N131*VLOOKUP('Données projet'!$B$9,Paramètres!$A$1:$I$89,3,0)*VLOOKUP('Données projet'!$B$9,Paramètres!$A$1:$I$89,5,0)</f>
        <v>#N/A</v>
      </c>
      <c r="P131" s="14" t="e">
        <f t="shared" si="87"/>
        <v>#N/A</v>
      </c>
      <c r="Q131" s="22" t="e">
        <f t="shared" ref="Q131:Q153" si="108">(O131+P131)*0.475*44/12</f>
        <v>#N/A</v>
      </c>
      <c r="R131" s="60" t="e">
        <f t="shared" ref="R131:R194" si="109">Q131+(I131+J131)*44/12</f>
        <v>#N/A</v>
      </c>
      <c r="S131" s="60" t="e">
        <f ca="1">AVERAGE(OFFSET($R$3,0,0,'Données projet'!$E$9+1,1))-AVERAGE(OFFSET($H$3,0,0,'Données projet'!$E$9+1,1))</f>
        <v>#N/A</v>
      </c>
      <c r="T131" s="60" t="e">
        <f t="shared" si="88"/>
        <v>#N/A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 t="e">
        <f>EXP(-LN(2)/35)*Z130+(1-EXP(-LN(2)/35))/(LN(2)/35)*V131*W131*VLOOKUP('Données projet'!$B$9,Paramètres!$A$1:$I$89,3,0)*0.475*44/12</f>
        <v>#N/A</v>
      </c>
      <c r="AA131" s="23" t="e">
        <f>EXP(-LN(2)/25)*AA130+(1-EXP(-LN(2)/25))/(LN(2)/25)*Calculateur!V131*Calculateur!X131*VLOOKUP('Données projet'!$B$9,Paramètres!$A$1:$I$89,3,0)*0.475*44/12</f>
        <v>#N/A</v>
      </c>
      <c r="AB131" s="23" t="e">
        <f>EXP(-LN(2)/2)*AB130+(1-EXP(-LN(2)/2))/(LN(2)/2)*V131*Y131*VLOOKUP('Données projet'!$B$9,Paramètres!$A$1:$I$89,3,0)*0.475*44/12</f>
        <v>#N/A</v>
      </c>
      <c r="AC131" s="24" t="e">
        <f t="shared" si="57"/>
        <v>#N/A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0">
        <f t="shared" si="59"/>
        <v>867.3419851494366</v>
      </c>
      <c r="AN131" s="60">
        <f ca="1">AVERAGE(OFFSET($AM$3,0,0,'Données projet'!$E$10+1,1))-AVERAGE(OFFSET($H$3,0,0,'Données projet'!$E$10+1,1))</f>
        <v>428.8489304403459</v>
      </c>
      <c r="AO131" s="60">
        <f t="shared" si="90"/>
        <v>247.01165577562966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projet'!$B$11,Paramètres!$A$1:$I$89,3,0)*VLOOKUP('Données projet'!$B$11,Paramètres!$A$1:$I$89,5,0)</f>
        <v>-1.9065282685915009E-13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374.79806286316051</v>
      </c>
      <c r="BJ131" s="60">
        <f t="shared" si="92"/>
        <v>350.01856672839466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1.4711988181165814</v>
      </c>
      <c r="BR131" s="23">
        <f>EXP(-LN(2)/2)*BR130+(1-EXP(-LN(2)/2))/(LN(2)/2)*BL131*BO131*VLOOKUP('Données projet'!$B$11,Paramètres!$A$1:$I$89,3,0)*0.475*44/12</f>
        <v>1.9553747140018169E-14</v>
      </c>
      <c r="BS131" s="24">
        <f t="shared" si="63"/>
        <v>1.4711988181166009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265.64927999999946</v>
      </c>
      <c r="CA131" s="14">
        <f t="shared" si="93"/>
        <v>63.925065540346907</v>
      </c>
      <c r="CB131" s="22">
        <f t="shared" si="64"/>
        <v>574.00865181610322</v>
      </c>
      <c r="CC131" s="60">
        <f t="shared" si="65"/>
        <v>867.3419851494366</v>
      </c>
      <c r="CD131" s="60">
        <f ca="1">AVERAGE(OFFSET($CC$3,0,0,'Données projet'!$E$12+1,1))-AVERAGE(OFFSET($H$3,0,0,'Données projet'!$E$12+1,1))</f>
        <v>428.8489304403459</v>
      </c>
      <c r="CE131" s="60">
        <f t="shared" si="94"/>
        <v>247.01165577562966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-1.7053025658242404E-13</v>
      </c>
      <c r="CU131" s="18">
        <f>CT131*VLOOKUP('Données projet'!$B$13,Paramètres!$A$1:$I$89,3,0)*VLOOKUP('Données projet'!$B$13,Paramètres!$A$1:$I$89,5,0)</f>
        <v>-1.6227659216383472E-13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354.63118425028898</v>
      </c>
      <c r="CZ131" s="60">
        <f t="shared" si="96"/>
        <v>244.7141066773861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283.96991999999943</v>
      </c>
      <c r="DQ131" s="14">
        <f t="shared" si="97"/>
        <v>67.805278435922148</v>
      </c>
      <c r="DR131" s="22">
        <f t="shared" si="70"/>
        <v>612.67513727589676</v>
      </c>
      <c r="DS131" s="60">
        <f t="shared" si="71"/>
        <v>906.00847060923002</v>
      </c>
      <c r="DT131" s="60">
        <f ca="1">AVERAGE(OFFSET($DS$3,0,0,'Données projet'!$E$14+1,1))-AVERAGE(OFFSET($H$3,0,0,'Données projet'!$E$14+1,1))</f>
        <v>455.50822833641354</v>
      </c>
      <c r="DU131" s="60">
        <f t="shared" si="98"/>
        <v>261.14722581688039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207.03241199974599</v>
      </c>
      <c r="EP131" s="60">
        <f t="shared" si="100"/>
        <v>314.188568589113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1.9385640549801255</v>
      </c>
      <c r="EW131" s="23">
        <f>EXP(-LN(2)/25)*EW130+(1-EXP(-LN(2)/25))/(LN(2)/25)*Calculateur!ER131*Calculateur!ET131*VLOOKUP('Données projet'!$B$15,Paramètres!$A$1:$I$89,3,0)*0.475*44/12</f>
        <v>0.64408163083425551</v>
      </c>
      <c r="EX131" s="23">
        <f>EXP(-LN(2)/2)*EX130+(1-EXP(-LN(2)/2))/(LN(2)/2)*ER131*EU131*VLOOKUP('Données projet'!$B$15,Paramètres!$A$1:$I$89,3,0)*0.475*44/12</f>
        <v>5.1948271407425924E-15</v>
      </c>
      <c r="EY131" s="24">
        <f t="shared" si="75"/>
        <v>2.5826456858143865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 t="e">
        <f>N132*VLOOKUP('Données projet'!$B$9,Paramètres!$A$1:$I$89,3,0)*VLOOKUP('Données projet'!$B$9,Paramètres!$A$1:$I$89,5,0)</f>
        <v>#N/A</v>
      </c>
      <c r="P132" s="14" t="e">
        <f t="shared" si="87"/>
        <v>#N/A</v>
      </c>
      <c r="Q132" s="22" t="e">
        <f t="shared" si="108"/>
        <v>#N/A</v>
      </c>
      <c r="R132" s="60" t="e">
        <f t="shared" si="109"/>
        <v>#N/A</v>
      </c>
      <c r="S132" s="60" t="e">
        <f ca="1">AVERAGE(OFFSET($R$3,0,0,'Données projet'!$E$9+1,1))-AVERAGE(OFFSET($H$3,0,0,'Données projet'!$E$9+1,1))</f>
        <v>#N/A</v>
      </c>
      <c r="T132" s="60" t="e">
        <f t="shared" si="88"/>
        <v>#N/A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 t="e">
        <f>EXP(-LN(2)/35)*Z131+(1-EXP(-LN(2)/35))/(LN(2)/35)*V132*W132*VLOOKUP('Données projet'!$B$9,Paramètres!$A$1:$I$89,3,0)*0.475*44/12</f>
        <v>#N/A</v>
      </c>
      <c r="AA132" s="23" t="e">
        <f>EXP(-LN(2)/25)*AA131+(1-EXP(-LN(2)/25))/(LN(2)/25)*Calculateur!V132*Calculateur!X132*VLOOKUP('Données projet'!$B$9,Paramètres!$A$1:$I$89,3,0)*0.475*44/12</f>
        <v>#N/A</v>
      </c>
      <c r="AB132" s="23" t="e">
        <f>EXP(-LN(2)/2)*AB131+(1-EXP(-LN(2)/2))/(LN(2)/2)*V132*Y132*VLOOKUP('Données projet'!$B$9,Paramètres!$A$1:$I$89,3,0)*0.475*44/12</f>
        <v>#N/A</v>
      </c>
      <c r="AC132" s="24" t="e">
        <f t="shared" ref="AC132:AC153" si="111">SUM(Z132:AB132)</f>
        <v>#N/A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0">
        <f t="shared" ref="AM132:AM195" si="113">AL132+(AD132+AE132)*44/12</f>
        <v>873.4562845657872</v>
      </c>
      <c r="AN132" s="60">
        <f ca="1">AVERAGE(OFFSET($AM$3,0,0,'Données projet'!$E$10+1,1))-AVERAGE(OFFSET($H$3,0,0,'Données projet'!$E$10+1,1))</f>
        <v>428.8489304403459</v>
      </c>
      <c r="AO132" s="60">
        <f t="shared" si="90"/>
        <v>247.01165577562966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projet'!$B$11,Paramètres!$A$1:$I$89,3,0)*VLOOKUP('Données projet'!$B$11,Paramètres!$A$1:$I$89,5,0)</f>
        <v>-1.9065282685915009E-13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374.79806286316051</v>
      </c>
      <c r="BJ132" s="60">
        <f t="shared" si="92"/>
        <v>350.01856672839466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1.4309688090682</v>
      </c>
      <c r="BR132" s="23">
        <f>EXP(-LN(2)/2)*BR131+(1-EXP(-LN(2)/2))/(LN(2)/2)*BL132*BO132*VLOOKUP('Données projet'!$B$11,Paramètres!$A$1:$I$89,3,0)*0.475*44/12</f>
        <v>1.3826587200313908E-14</v>
      </c>
      <c r="BS132" s="24">
        <f t="shared" ref="BS132:BS153" si="117">SUM(BP132:BR132)</f>
        <v>1.4309688090682138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268.54463999999945</v>
      </c>
      <c r="CA132" s="14">
        <f t="shared" si="93"/>
        <v>64.540308076050593</v>
      </c>
      <c r="CB132" s="22">
        <f t="shared" ref="CB132:CB153" si="118">(BZ132+CA132)*0.475*44/12</f>
        <v>580.12295123245383</v>
      </c>
      <c r="CC132" s="60">
        <f t="shared" ref="CC132:CC195" si="119">CB132+(BT132+BU132)*44/12</f>
        <v>873.4562845657872</v>
      </c>
      <c r="CD132" s="60">
        <f ca="1">AVERAGE(OFFSET($CC$3,0,0,'Données projet'!$E$12+1,1))-AVERAGE(OFFSET($H$3,0,0,'Données projet'!$E$12+1,1))</f>
        <v>428.8489304403459</v>
      </c>
      <c r="CE132" s="60">
        <f t="shared" si="94"/>
        <v>247.01165577562966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-1.7053025658242404E-13</v>
      </c>
      <c r="CU132" s="18">
        <f>CT132*VLOOKUP('Données projet'!$B$13,Paramètres!$A$1:$I$89,3,0)*VLOOKUP('Données projet'!$B$13,Paramètres!$A$1:$I$89,5,0)</f>
        <v>-1.6227659216383472E-13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354.63118425028898</v>
      </c>
      <c r="CZ132" s="60">
        <f t="shared" si="96"/>
        <v>244.7141066773861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287.06495999999942</v>
      </c>
      <c r="DQ132" s="14">
        <f t="shared" si="97"/>
        <v>68.457865822206202</v>
      </c>
      <c r="DR132" s="22">
        <f t="shared" ref="DR132:DR153" si="124">(DP132+DQ132)*0.475*44/12</f>
        <v>619.20225497367471</v>
      </c>
      <c r="DS132" s="60">
        <f t="shared" ref="DS132:DS195" si="125">DR132+(DJ132+DK132)*44/12</f>
        <v>912.53558830700808</v>
      </c>
      <c r="DT132" s="60">
        <f ca="1">AVERAGE(OFFSET($DS$3,0,0,'Données projet'!$E$14+1,1))-AVERAGE(OFFSET($H$3,0,0,'Données projet'!$E$14+1,1))</f>
        <v>455.50822833641354</v>
      </c>
      <c r="DU132" s="60">
        <f t="shared" si="98"/>
        <v>261.14722581688039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207.03241199974599</v>
      </c>
      <c r="EP132" s="60">
        <f t="shared" si="100"/>
        <v>314.188568589113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1.9005499962692858</v>
      </c>
      <c r="EW132" s="23">
        <f>EXP(-LN(2)/25)*EW131+(1-EXP(-LN(2)/25))/(LN(2)/25)*Calculateur!ER132*Calculateur!ET132*VLOOKUP('Données projet'!$B$15,Paramètres!$A$1:$I$89,3,0)*0.475*44/12</f>
        <v>0.62646918476831193</v>
      </c>
      <c r="EX132" s="23">
        <f>EXP(-LN(2)/2)*EX131+(1-EXP(-LN(2)/2))/(LN(2)/2)*ER132*EU132*VLOOKUP('Données projet'!$B$15,Paramètres!$A$1:$I$89,3,0)*0.475*44/12</f>
        <v>3.6732974983110106E-15</v>
      </c>
      <c r="EY132" s="24">
        <f t="shared" ref="EY132:EY153" si="129">SUM(EV132:EX132)</f>
        <v>2.527019181037601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 t="e">
        <f>N133*VLOOKUP('Données projet'!$B$9,Paramètres!$A$1:$I$89,3,0)*VLOOKUP('Données projet'!$B$9,Paramètres!$A$1:$I$89,5,0)</f>
        <v>#N/A</v>
      </c>
      <c r="P133" s="14" t="e">
        <f t="shared" ref="P133:P196" si="141">EXP(-1.0587+0.8836*LN(O133)+0.284)</f>
        <v>#N/A</v>
      </c>
      <c r="Q133" s="22" t="e">
        <f t="shared" si="108"/>
        <v>#N/A</v>
      </c>
      <c r="R133" s="60" t="e">
        <f t="shared" si="109"/>
        <v>#N/A</v>
      </c>
      <c r="S133" s="60" t="e">
        <f ca="1">AVERAGE(OFFSET($R$3,0,0,'Données projet'!$E$9+1,1))-AVERAGE(OFFSET($H$3,0,0,'Données projet'!$E$9+1,1))</f>
        <v>#N/A</v>
      </c>
      <c r="T133" s="60" t="e">
        <f t="shared" ref="T133:T196" si="142">$T$3</f>
        <v>#N/A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 t="e">
        <f>EXP(-LN(2)/35)*Z132+(1-EXP(-LN(2)/35))/(LN(2)/35)*V133*W133*VLOOKUP('Données projet'!$B$9,Paramètres!$A$1:$I$89,3,0)*0.475*44/12</f>
        <v>#N/A</v>
      </c>
      <c r="AA133" s="23" t="e">
        <f>EXP(-LN(2)/25)*AA132+(1-EXP(-LN(2)/25))/(LN(2)/25)*Calculateur!V133*Calculateur!X133*VLOOKUP('Données projet'!$B$9,Paramètres!$A$1:$I$89,3,0)*0.475*44/12</f>
        <v>#N/A</v>
      </c>
      <c r="AB133" s="23" t="e">
        <f>EXP(-LN(2)/2)*AB132+(1-EXP(-LN(2)/2))/(LN(2)/2)*V133*Y133*VLOOKUP('Données projet'!$B$9,Paramètres!$A$1:$I$89,3,0)*0.475*44/12</f>
        <v>#N/A</v>
      </c>
      <c r="AC133" s="24" t="e">
        <f t="shared" si="111"/>
        <v>#N/A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0">
        <f t="shared" si="113"/>
        <v>879.56924002052051</v>
      </c>
      <c r="AN133" s="60">
        <f ca="1">AVERAGE(OFFSET($AM$3,0,0,'Données projet'!$E$10+1,1))-AVERAGE(OFFSET($H$3,0,0,'Données projet'!$E$10+1,1))</f>
        <v>428.8489304403459</v>
      </c>
      <c r="AO133" s="60">
        <f t="shared" ref="AO133:AO196" si="144">$AO$3</f>
        <v>247.01165577562966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projet'!$B$11,Paramètres!$A$1:$I$89,3,0)*VLOOKUP('Données projet'!$B$11,Paramètres!$A$1:$I$89,5,0)</f>
        <v>-1.9065282685915009E-13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374.79806286316051</v>
      </c>
      <c r="BJ133" s="60">
        <f t="shared" ref="BJ133:BJ196" si="146">$BJ$3</f>
        <v>350.01856672839466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1.391838891732851</v>
      </c>
      <c r="BR133" s="23">
        <f>EXP(-LN(2)/2)*BR132+(1-EXP(-LN(2)/2))/(LN(2)/2)*BL133*BO133*VLOOKUP('Données projet'!$B$11,Paramètres!$A$1:$I$89,3,0)*0.475*44/12</f>
        <v>9.7768735700090861E-15</v>
      </c>
      <c r="BS133" s="24">
        <f t="shared" si="117"/>
        <v>1.3918388917328608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271.43999999999943</v>
      </c>
      <c r="CA133" s="14">
        <f t="shared" ref="CA133:CA153" si="147">EXP(-1.0587+0.8836*LN(BZ133)+0.284)</f>
        <v>65.154778959151116</v>
      </c>
      <c r="CB133" s="22">
        <f t="shared" si="118"/>
        <v>586.23590668718714</v>
      </c>
      <c r="CC133" s="60">
        <f t="shared" si="119"/>
        <v>879.56924002052051</v>
      </c>
      <c r="CD133" s="60">
        <f ca="1">AVERAGE(OFFSET($CC$3,0,0,'Données projet'!$E$12+1,1))-AVERAGE(OFFSET($H$3,0,0,'Données projet'!$E$12+1,1))</f>
        <v>428.8489304403459</v>
      </c>
      <c r="CE133" s="60">
        <f t="shared" ref="CE133:CE196" si="148">$CE$3</f>
        <v>247.01165577562966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-1.7053025658242404E-13</v>
      </c>
      <c r="CU133" s="18">
        <f>CT133*VLOOKUP('Données projet'!$B$13,Paramètres!$A$1:$I$89,3,0)*VLOOKUP('Données projet'!$B$13,Paramètres!$A$1:$I$89,5,0)</f>
        <v>-1.6227659216383472E-13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354.63118425028898</v>
      </c>
      <c r="CZ133" s="60">
        <f t="shared" ref="CZ133:CZ196" si="150">$CZ$3</f>
        <v>244.7141066773861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290.1599999999994</v>
      </c>
      <c r="DQ133" s="14">
        <f t="shared" ref="DQ133:DQ153" si="151">EXP(-1.0587+0.8836*LN(DP133)+0.284)</f>
        <v>69.10963471703981</v>
      </c>
      <c r="DR133" s="22">
        <f t="shared" si="124"/>
        <v>625.72794713217661</v>
      </c>
      <c r="DS133" s="60">
        <f t="shared" si="125"/>
        <v>919.06128046550998</v>
      </c>
      <c r="DT133" s="60">
        <f ca="1">AVERAGE(OFFSET($DS$3,0,0,'Données projet'!$E$14+1,1))-AVERAGE(OFFSET($H$3,0,0,'Données projet'!$E$14+1,1))</f>
        <v>455.50822833641354</v>
      </c>
      <c r="DU133" s="60">
        <f t="shared" ref="DU133:DU196" si="152">$DU$3</f>
        <v>261.14722581688039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207.03241199974599</v>
      </c>
      <c r="EP133" s="60">
        <f t="shared" ref="EP133:EP196" si="154">$EP$3</f>
        <v>314.188568589113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1.8632813700634792</v>
      </c>
      <c r="EW133" s="23">
        <f>EXP(-LN(2)/25)*EW132+(1-EXP(-LN(2)/25))/(LN(2)/25)*Calculateur!ER133*Calculateur!ET133*VLOOKUP('Données projet'!$B$15,Paramètres!$A$1:$I$89,3,0)*0.475*44/12</f>
        <v>0.60933835196623987</v>
      </c>
      <c r="EX133" s="23">
        <f>EXP(-LN(2)/2)*EX132+(1-EXP(-LN(2)/2))/(LN(2)/2)*ER133*EU133*VLOOKUP('Données projet'!$B$15,Paramètres!$A$1:$I$89,3,0)*0.475*44/12</f>
        <v>2.5974135703712962E-15</v>
      </c>
      <c r="EY133" s="24">
        <f t="shared" si="129"/>
        <v>2.4726197220297217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 t="e">
        <f>N134*VLOOKUP('Données projet'!$B$9,Paramètres!$A$1:$I$89,3,0)*VLOOKUP('Données projet'!$B$9,Paramètres!$A$1:$I$89,5,0)</f>
        <v>#N/A</v>
      </c>
      <c r="P134" s="14" t="e">
        <f t="shared" si="141"/>
        <v>#N/A</v>
      </c>
      <c r="Q134" s="22" t="e">
        <f t="shared" si="108"/>
        <v>#N/A</v>
      </c>
      <c r="R134" s="60" t="e">
        <f t="shared" si="109"/>
        <v>#N/A</v>
      </c>
      <c r="S134" s="60" t="e">
        <f ca="1">AVERAGE(OFFSET($R$3,0,0,'Données projet'!$E$9+1,1))-AVERAGE(OFFSET($H$3,0,0,'Données projet'!$E$9+1,1))</f>
        <v>#N/A</v>
      </c>
      <c r="T134" s="60" t="e">
        <f t="shared" si="142"/>
        <v>#N/A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 t="e">
        <f>EXP(-LN(2)/35)*Z133+(1-EXP(-LN(2)/35))/(LN(2)/35)*V134*W134*VLOOKUP('Données projet'!$B$9,Paramètres!$A$1:$I$89,3,0)*0.475*44/12</f>
        <v>#N/A</v>
      </c>
      <c r="AA134" s="23" t="e">
        <f>EXP(-LN(2)/25)*AA133+(1-EXP(-LN(2)/25))/(LN(2)/25)*Calculateur!V134*Calculateur!X134*VLOOKUP('Données projet'!$B$9,Paramètres!$A$1:$I$89,3,0)*0.475*44/12</f>
        <v>#N/A</v>
      </c>
      <c r="AB134" s="23" t="e">
        <f>EXP(-LN(2)/2)*AB133+(1-EXP(-LN(2)/2))/(LN(2)/2)*V134*Y134*VLOOKUP('Données projet'!$B$9,Paramètres!$A$1:$I$89,3,0)*0.475*44/12</f>
        <v>#N/A</v>
      </c>
      <c r="AC134" s="24" t="e">
        <f t="shared" si="111"/>
        <v>#N/A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0">
        <f t="shared" si="113"/>
        <v>825.45983568521592</v>
      </c>
      <c r="AN134" s="60">
        <f ca="1">AVERAGE(OFFSET($AM$3,0,0,'Données projet'!$E$10+1,1))-AVERAGE(OFFSET($H$3,0,0,'Données projet'!$E$10+1,1))</f>
        <v>428.8489304403459</v>
      </c>
      <c r="AO134" s="60">
        <f t="shared" si="144"/>
        <v>247.01165577562966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projet'!$B$11,Paramètres!$A$1:$I$89,3,0)*VLOOKUP('Données projet'!$B$11,Paramètres!$A$1:$I$89,5,0)</f>
        <v>-1.9065282685915009E-13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374.79806286316051</v>
      </c>
      <c r="BJ134" s="60">
        <f t="shared" si="146"/>
        <v>350.01856672839466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1.35377898404479</v>
      </c>
      <c r="BR134" s="23">
        <f>EXP(-LN(2)/2)*BR133+(1-EXP(-LN(2)/2))/(LN(2)/2)*BL134*BO134*VLOOKUP('Données projet'!$B$11,Paramètres!$A$1:$I$89,3,0)*0.475*44/12</f>
        <v>6.913293600156955E-15</v>
      </c>
      <c r="BS134" s="24">
        <f t="shared" si="117"/>
        <v>1.3537789840447969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245.8341599999994</v>
      </c>
      <c r="CA134" s="14">
        <f t="shared" si="147"/>
        <v>59.693018383856675</v>
      </c>
      <c r="CB134" s="22">
        <f t="shared" si="118"/>
        <v>532.12650235188266</v>
      </c>
      <c r="CC134" s="60">
        <f t="shared" si="119"/>
        <v>825.45983568521592</v>
      </c>
      <c r="CD134" s="60">
        <f ca="1">AVERAGE(OFFSET($CC$3,0,0,'Données projet'!$E$12+1,1))-AVERAGE(OFFSET($H$3,0,0,'Données projet'!$E$12+1,1))</f>
        <v>428.8489304403459</v>
      </c>
      <c r="CE134" s="60">
        <f t="shared" si="148"/>
        <v>247.01165577562966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-1.7053025658242404E-13</v>
      </c>
      <c r="CU134" s="18">
        <f>CT134*VLOOKUP('Données projet'!$B$13,Paramètres!$A$1:$I$89,3,0)*VLOOKUP('Données projet'!$B$13,Paramètres!$A$1:$I$89,5,0)</f>
        <v>-1.6227659216383472E-13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354.63118425028898</v>
      </c>
      <c r="CZ134" s="60">
        <f t="shared" si="150"/>
        <v>244.7141066773861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262.7882399999994</v>
      </c>
      <c r="DQ134" s="14">
        <f t="shared" si="151"/>
        <v>63.316348571334714</v>
      </c>
      <c r="DR134" s="22">
        <f t="shared" si="124"/>
        <v>567.96549176174028</v>
      </c>
      <c r="DS134" s="60">
        <f t="shared" si="125"/>
        <v>861.29882509507365</v>
      </c>
      <c r="DT134" s="60">
        <f ca="1">AVERAGE(OFFSET($DS$3,0,0,'Données projet'!$E$14+1,1))-AVERAGE(OFFSET($H$3,0,0,'Données projet'!$E$14+1,1))</f>
        <v>455.50822833641354</v>
      </c>
      <c r="DU134" s="60">
        <f t="shared" si="152"/>
        <v>261.14722581688039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207.03241199974599</v>
      </c>
      <c r="EP134" s="60">
        <f t="shared" si="154"/>
        <v>314.188568589113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1.8267435588859511</v>
      </c>
      <c r="EW134" s="23">
        <f>EXP(-LN(2)/25)*EW133+(1-EXP(-LN(2)/25))/(LN(2)/25)*Calculateur!ER134*Calculateur!ET134*VLOOKUP('Données projet'!$B$15,Paramètres!$A$1:$I$89,3,0)*0.475*44/12</f>
        <v>0.59267596268801181</v>
      </c>
      <c r="EX134" s="23">
        <f>EXP(-LN(2)/2)*EX133+(1-EXP(-LN(2)/2))/(LN(2)/2)*ER134*EU134*VLOOKUP('Données projet'!$B$15,Paramètres!$A$1:$I$89,3,0)*0.475*44/12</f>
        <v>1.8366487491555053E-15</v>
      </c>
      <c r="EY134" s="24">
        <f t="shared" si="129"/>
        <v>2.4194195215739649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 t="e">
        <f>N135*VLOOKUP('Données projet'!$B$9,Paramètres!$A$1:$I$89,3,0)*VLOOKUP('Données projet'!$B$9,Paramètres!$A$1:$I$89,5,0)</f>
        <v>#N/A</v>
      </c>
      <c r="P135" s="14" t="e">
        <f t="shared" si="141"/>
        <v>#N/A</v>
      </c>
      <c r="Q135" s="22" t="e">
        <f t="shared" si="108"/>
        <v>#N/A</v>
      </c>
      <c r="R135" s="60" t="e">
        <f t="shared" si="109"/>
        <v>#N/A</v>
      </c>
      <c r="S135" s="60" t="e">
        <f ca="1">AVERAGE(OFFSET($R$3,0,0,'Données projet'!$E$9+1,1))-AVERAGE(OFFSET($H$3,0,0,'Données projet'!$E$9+1,1))</f>
        <v>#N/A</v>
      </c>
      <c r="T135" s="60" t="e">
        <f t="shared" si="142"/>
        <v>#N/A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 t="e">
        <f>EXP(-LN(2)/35)*Z134+(1-EXP(-LN(2)/35))/(LN(2)/35)*V135*W135*VLOOKUP('Données projet'!$B$9,Paramètres!$A$1:$I$89,3,0)*0.475*44/12</f>
        <v>#N/A</v>
      </c>
      <c r="AA135" s="23" t="e">
        <f>EXP(-LN(2)/25)*AA134+(1-EXP(-LN(2)/25))/(LN(2)/25)*Calculateur!V135*Calculateur!X135*VLOOKUP('Données projet'!$B$9,Paramètres!$A$1:$I$89,3,0)*0.475*44/12</f>
        <v>#N/A</v>
      </c>
      <c r="AB135" s="23" t="e">
        <f>EXP(-LN(2)/2)*AB134+(1-EXP(-LN(2)/2))/(LN(2)/2)*V135*Y135*VLOOKUP('Données projet'!$B$9,Paramètres!$A$1:$I$89,3,0)*0.475*44/12</f>
        <v>#N/A</v>
      </c>
      <c r="AC135" s="24" t="e">
        <f t="shared" si="111"/>
        <v>#N/A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0">
        <f t="shared" si="113"/>
        <v>830.62702157178455</v>
      </c>
      <c r="AN135" s="60">
        <f ca="1">AVERAGE(OFFSET($AM$3,0,0,'Données projet'!$E$10+1,1))-AVERAGE(OFFSET($H$3,0,0,'Données projet'!$E$10+1,1))</f>
        <v>428.8489304403459</v>
      </c>
      <c r="AO135" s="60">
        <f t="shared" si="144"/>
        <v>247.01165577562966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projet'!$B$11,Paramètres!$A$1:$I$89,3,0)*VLOOKUP('Données projet'!$B$11,Paramètres!$A$1:$I$89,5,0)</f>
        <v>-1.9065282685915009E-13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374.79806286316051</v>
      </c>
      <c r="BJ135" s="60">
        <f t="shared" si="146"/>
        <v>350.01856672839466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1.3167598265339426</v>
      </c>
      <c r="BR135" s="23">
        <f>EXP(-LN(2)/2)*BR134+(1-EXP(-LN(2)/2))/(LN(2)/2)*BL135*BO135*VLOOKUP('Données projet'!$B$11,Paramètres!$A$1:$I$89,3,0)*0.475*44/12</f>
        <v>4.8884367850045438E-15</v>
      </c>
      <c r="BS135" s="24">
        <f t="shared" si="117"/>
        <v>1.3167598265339475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248.2771199999994</v>
      </c>
      <c r="CA135" s="14">
        <f t="shared" si="147"/>
        <v>60.216863677580257</v>
      </c>
      <c r="CB135" s="22">
        <f t="shared" si="118"/>
        <v>537.29368823845118</v>
      </c>
      <c r="CC135" s="60">
        <f t="shared" si="119"/>
        <v>830.62702157178455</v>
      </c>
      <c r="CD135" s="60">
        <f ca="1">AVERAGE(OFFSET($CC$3,0,0,'Données projet'!$E$12+1,1))-AVERAGE(OFFSET($H$3,0,0,'Données projet'!$E$12+1,1))</f>
        <v>428.8489304403459</v>
      </c>
      <c r="CE135" s="60">
        <f t="shared" si="148"/>
        <v>247.01165577562966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-1.7053025658242404E-13</v>
      </c>
      <c r="CU135" s="18">
        <f>CT135*VLOOKUP('Données projet'!$B$13,Paramètres!$A$1:$I$89,3,0)*VLOOKUP('Données projet'!$B$13,Paramètres!$A$1:$I$89,5,0)</f>
        <v>-1.6227659216383472E-13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354.63118425028898</v>
      </c>
      <c r="CZ135" s="60">
        <f t="shared" si="150"/>
        <v>244.7141066773861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265.39967999999936</v>
      </c>
      <c r="DQ135" s="14">
        <f t="shared" si="151"/>
        <v>63.87199095821434</v>
      </c>
      <c r="DR135" s="22">
        <f t="shared" si="124"/>
        <v>573.48149358555554</v>
      </c>
      <c r="DS135" s="60">
        <f t="shared" si="125"/>
        <v>866.81482691888891</v>
      </c>
      <c r="DT135" s="60">
        <f ca="1">AVERAGE(OFFSET($DS$3,0,0,'Données projet'!$E$14+1,1))-AVERAGE(OFFSET($H$3,0,0,'Données projet'!$E$14+1,1))</f>
        <v>455.50822833641354</v>
      </c>
      <c r="DU135" s="60">
        <f t="shared" si="152"/>
        <v>261.14722581688039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207.03241199974599</v>
      </c>
      <c r="EP135" s="60">
        <f t="shared" si="154"/>
        <v>314.188568589113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1.79092223189975</v>
      </c>
      <c r="EW135" s="23">
        <f>EXP(-LN(2)/25)*EW134+(1-EXP(-LN(2)/25))/(LN(2)/25)*Calculateur!ER135*Calculateur!ET135*VLOOKUP('Données projet'!$B$15,Paramètres!$A$1:$I$89,3,0)*0.475*44/12</f>
        <v>0.57646920732083384</v>
      </c>
      <c r="EX135" s="23">
        <f>EXP(-LN(2)/2)*EX134+(1-EXP(-LN(2)/2))/(LN(2)/2)*ER135*EU135*VLOOKUP('Données projet'!$B$15,Paramètres!$A$1:$I$89,3,0)*0.475*44/12</f>
        <v>1.2987067851856481E-15</v>
      </c>
      <c r="EY135" s="24">
        <f t="shared" si="129"/>
        <v>2.3673914392205853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 t="e">
        <f>N136*VLOOKUP('Données projet'!$B$9,Paramètres!$A$1:$I$89,3,0)*VLOOKUP('Données projet'!$B$9,Paramètres!$A$1:$I$89,5,0)</f>
        <v>#N/A</v>
      </c>
      <c r="P136" s="14" t="e">
        <f t="shared" si="141"/>
        <v>#N/A</v>
      </c>
      <c r="Q136" s="22" t="e">
        <f t="shared" si="108"/>
        <v>#N/A</v>
      </c>
      <c r="R136" s="60" t="e">
        <f t="shared" si="109"/>
        <v>#N/A</v>
      </c>
      <c r="S136" s="60" t="e">
        <f ca="1">AVERAGE(OFFSET($R$3,0,0,'Données projet'!$E$9+1,1))-AVERAGE(OFFSET($H$3,0,0,'Données projet'!$E$9+1,1))</f>
        <v>#N/A</v>
      </c>
      <c r="T136" s="60" t="e">
        <f t="shared" si="142"/>
        <v>#N/A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 t="e">
        <f>EXP(-LN(2)/35)*Z135+(1-EXP(-LN(2)/35))/(LN(2)/35)*V136*W136*VLOOKUP('Données projet'!$B$9,Paramètres!$A$1:$I$89,3,0)*0.475*44/12</f>
        <v>#N/A</v>
      </c>
      <c r="AA136" s="23" t="e">
        <f>EXP(-LN(2)/25)*AA135+(1-EXP(-LN(2)/25))/(LN(2)/25)*Calculateur!V136*Calculateur!X136*VLOOKUP('Données projet'!$B$9,Paramètres!$A$1:$I$89,3,0)*0.475*44/12</f>
        <v>#N/A</v>
      </c>
      <c r="AB136" s="23" t="e">
        <f>EXP(-LN(2)/2)*AB135+(1-EXP(-LN(2)/2))/(LN(2)/2)*V136*Y136*VLOOKUP('Données projet'!$B$9,Paramètres!$A$1:$I$89,3,0)*0.475*44/12</f>
        <v>#N/A</v>
      </c>
      <c r="AC136" s="24" t="e">
        <f t="shared" si="111"/>
        <v>#N/A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0">
        <f t="shared" si="113"/>
        <v>835.7931630761725</v>
      </c>
      <c r="AN136" s="60">
        <f ca="1">AVERAGE(OFFSET($AM$3,0,0,'Données projet'!$E$10+1,1))-AVERAGE(OFFSET($H$3,0,0,'Données projet'!$E$10+1,1))</f>
        <v>428.8489304403459</v>
      </c>
      <c r="AO136" s="60">
        <f t="shared" si="144"/>
        <v>247.01165577562966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projet'!$B$11,Paramètres!$A$1:$I$89,3,0)*VLOOKUP('Données projet'!$B$11,Paramètres!$A$1:$I$89,5,0)</f>
        <v>-1.9065282685915009E-13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374.79806286316051</v>
      </c>
      <c r="BJ136" s="60">
        <f t="shared" si="146"/>
        <v>350.01856672839466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1.2807529598319822</v>
      </c>
      <c r="BR136" s="23">
        <f>EXP(-LN(2)/2)*BR135+(1-EXP(-LN(2)/2))/(LN(2)/2)*BL136*BO136*VLOOKUP('Données projet'!$B$11,Paramètres!$A$1:$I$89,3,0)*0.475*44/12</f>
        <v>3.4566468000784779E-15</v>
      </c>
      <c r="BS136" s="24">
        <f t="shared" si="117"/>
        <v>1.2807529598319858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250.72007999999943</v>
      </c>
      <c r="CA136" s="14">
        <f t="shared" si="147"/>
        <v>60.740109326032709</v>
      </c>
      <c r="CB136" s="22">
        <f t="shared" si="118"/>
        <v>542.45982974283925</v>
      </c>
      <c r="CC136" s="60">
        <f t="shared" si="119"/>
        <v>835.7931630761725</v>
      </c>
      <c r="CD136" s="60">
        <f ca="1">AVERAGE(OFFSET($CC$3,0,0,'Données projet'!$E$12+1,1))-AVERAGE(OFFSET($H$3,0,0,'Données projet'!$E$12+1,1))</f>
        <v>428.8489304403459</v>
      </c>
      <c r="CE136" s="60">
        <f t="shared" si="148"/>
        <v>247.01165577562966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-1.7053025658242404E-13</v>
      </c>
      <c r="CU136" s="18">
        <f>CT136*VLOOKUP('Données projet'!$B$13,Paramètres!$A$1:$I$89,3,0)*VLOOKUP('Données projet'!$B$13,Paramètres!$A$1:$I$89,5,0)</f>
        <v>-1.6227659216383472E-13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354.63118425028898</v>
      </c>
      <c r="CZ136" s="60">
        <f t="shared" si="150"/>
        <v>244.7141066773861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268.01111999999938</v>
      </c>
      <c r="DQ136" s="14">
        <f t="shared" si="151"/>
        <v>64.426997301716739</v>
      </c>
      <c r="DR136" s="22">
        <f t="shared" si="124"/>
        <v>578.99638763382234</v>
      </c>
      <c r="DS136" s="60">
        <f t="shared" si="125"/>
        <v>872.32972096715571</v>
      </c>
      <c r="DT136" s="60">
        <f ca="1">AVERAGE(OFFSET($DS$3,0,0,'Données projet'!$E$14+1,1))-AVERAGE(OFFSET($H$3,0,0,'Données projet'!$E$14+1,1))</f>
        <v>455.50822833641354</v>
      </c>
      <c r="DU136" s="60">
        <f t="shared" si="152"/>
        <v>261.14722581688039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207.03241199974599</v>
      </c>
      <c r="EP136" s="60">
        <f t="shared" si="154"/>
        <v>314.188568589113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1.7558033392868964</v>
      </c>
      <c r="EW136" s="23">
        <f>EXP(-LN(2)/25)*EW135+(1-EXP(-LN(2)/25))/(LN(2)/25)*Calculateur!ER136*Calculateur!ET136*VLOOKUP('Données projet'!$B$15,Paramètres!$A$1:$I$89,3,0)*0.475*44/12</f>
        <v>0.56070562653144762</v>
      </c>
      <c r="EX136" s="23">
        <f>EXP(-LN(2)/2)*EX135+(1-EXP(-LN(2)/2))/(LN(2)/2)*ER136*EU136*VLOOKUP('Données projet'!$B$15,Paramètres!$A$1:$I$89,3,0)*0.475*44/12</f>
        <v>9.1832437457775264E-16</v>
      </c>
      <c r="EY136" s="24">
        <f t="shared" si="129"/>
        <v>2.3165089658183451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 t="e">
        <f>N137*VLOOKUP('Données projet'!$B$9,Paramètres!$A$1:$I$89,3,0)*VLOOKUP('Données projet'!$B$9,Paramètres!$A$1:$I$89,5,0)</f>
        <v>#N/A</v>
      </c>
      <c r="P137" s="14" t="e">
        <f t="shared" si="141"/>
        <v>#N/A</v>
      </c>
      <c r="Q137" s="22" t="e">
        <f t="shared" si="108"/>
        <v>#N/A</v>
      </c>
      <c r="R137" s="60" t="e">
        <f t="shared" si="109"/>
        <v>#N/A</v>
      </c>
      <c r="S137" s="60" t="e">
        <f ca="1">AVERAGE(OFFSET($R$3,0,0,'Données projet'!$E$9+1,1))-AVERAGE(OFFSET($H$3,0,0,'Données projet'!$E$9+1,1))</f>
        <v>#N/A</v>
      </c>
      <c r="T137" s="60" t="e">
        <f t="shared" si="142"/>
        <v>#N/A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 t="e">
        <f>EXP(-LN(2)/35)*Z136+(1-EXP(-LN(2)/35))/(LN(2)/35)*V137*W137*VLOOKUP('Données projet'!$B$9,Paramètres!$A$1:$I$89,3,0)*0.475*44/12</f>
        <v>#N/A</v>
      </c>
      <c r="AA137" s="23" t="e">
        <f>EXP(-LN(2)/25)*AA136+(1-EXP(-LN(2)/25))/(LN(2)/25)*Calculateur!V137*Calculateur!X137*VLOOKUP('Données projet'!$B$9,Paramètres!$A$1:$I$89,3,0)*0.475*44/12</f>
        <v>#N/A</v>
      </c>
      <c r="AB137" s="23" t="e">
        <f>EXP(-LN(2)/2)*AB136+(1-EXP(-LN(2)/2))/(LN(2)/2)*V137*Y137*VLOOKUP('Données projet'!$B$9,Paramètres!$A$1:$I$89,3,0)*0.475*44/12</f>
        <v>#N/A</v>
      </c>
      <c r="AC137" s="24" t="e">
        <f t="shared" si="111"/>
        <v>#N/A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0">
        <f t="shared" si="113"/>
        <v>840.958271553038</v>
      </c>
      <c r="AN137" s="60">
        <f ca="1">AVERAGE(OFFSET($AM$3,0,0,'Données projet'!$E$10+1,1))-AVERAGE(OFFSET($H$3,0,0,'Données projet'!$E$10+1,1))</f>
        <v>428.8489304403459</v>
      </c>
      <c r="AO137" s="60">
        <f t="shared" si="144"/>
        <v>247.01165577562966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projet'!$B$11,Paramètres!$A$1:$I$89,3,0)*VLOOKUP('Données projet'!$B$11,Paramètres!$A$1:$I$89,5,0)</f>
        <v>-1.9065282685915009E-13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374.79806286316051</v>
      </c>
      <c r="BJ137" s="60">
        <f t="shared" si="146"/>
        <v>350.01856672839466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1.2457307027935056</v>
      </c>
      <c r="BR137" s="23">
        <f>EXP(-LN(2)/2)*BR136+(1-EXP(-LN(2)/2))/(LN(2)/2)*BL137*BO137*VLOOKUP('Données projet'!$B$11,Paramètres!$A$1:$I$89,3,0)*0.475*44/12</f>
        <v>2.4442183925022723E-15</v>
      </c>
      <c r="BS137" s="24">
        <f t="shared" si="117"/>
        <v>1.2457307027935081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253.16303999999937</v>
      </c>
      <c r="CA137" s="14">
        <f t="shared" si="147"/>
        <v>61.262761848634923</v>
      </c>
      <c r="CB137" s="22">
        <f t="shared" si="118"/>
        <v>547.62493821970475</v>
      </c>
      <c r="CC137" s="60">
        <f t="shared" si="119"/>
        <v>840.958271553038</v>
      </c>
      <c r="CD137" s="60">
        <f ca="1">AVERAGE(OFFSET($CC$3,0,0,'Données projet'!$E$12+1,1))-AVERAGE(OFFSET($H$3,0,0,'Données projet'!$E$12+1,1))</f>
        <v>428.8489304403459</v>
      </c>
      <c r="CE137" s="60">
        <f t="shared" si="148"/>
        <v>247.01165577562966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-1.7053025658242404E-13</v>
      </c>
      <c r="CU137" s="18">
        <f>CT137*VLOOKUP('Données projet'!$B$13,Paramètres!$A$1:$I$89,3,0)*VLOOKUP('Données projet'!$B$13,Paramètres!$A$1:$I$89,5,0)</f>
        <v>-1.6227659216383472E-13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354.63118425028898</v>
      </c>
      <c r="CZ137" s="60">
        <f t="shared" si="150"/>
        <v>244.7141066773861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270.62255999999934</v>
      </c>
      <c r="DQ137" s="14">
        <f t="shared" si="151"/>
        <v>64.981374516987898</v>
      </c>
      <c r="DR137" s="22">
        <f t="shared" si="124"/>
        <v>584.51018595041944</v>
      </c>
      <c r="DS137" s="60">
        <f t="shared" si="125"/>
        <v>877.84351928375281</v>
      </c>
      <c r="DT137" s="60">
        <f ca="1">AVERAGE(OFFSET($DS$3,0,0,'Données projet'!$E$14+1,1))-AVERAGE(OFFSET($H$3,0,0,'Données projet'!$E$14+1,1))</f>
        <v>455.50822833641354</v>
      </c>
      <c r="DU137" s="60">
        <f t="shared" si="152"/>
        <v>261.14722581688039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207.03241199974599</v>
      </c>
      <c r="EP137" s="60">
        <f t="shared" si="154"/>
        <v>314.188568589113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1.7213731067377713</v>
      </c>
      <c r="EW137" s="23">
        <f>EXP(-LN(2)/25)*EW136+(1-EXP(-LN(2)/25))/(LN(2)/25)*Calculateur!ER137*Calculateur!ET137*VLOOKUP('Données projet'!$B$15,Paramètres!$A$1:$I$89,3,0)*0.475*44/12</f>
        <v>0.5453731016877178</v>
      </c>
      <c r="EX137" s="23">
        <f>EXP(-LN(2)/2)*EX136+(1-EXP(-LN(2)/2))/(LN(2)/2)*ER137*EU137*VLOOKUP('Données projet'!$B$15,Paramètres!$A$1:$I$89,3,0)*0.475*44/12</f>
        <v>6.4935339259282405E-16</v>
      </c>
      <c r="EY137" s="24">
        <f t="shared" si="129"/>
        <v>2.2667462084254897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 t="e">
        <f>N138*VLOOKUP('Données projet'!$B$9,Paramètres!$A$1:$I$89,3,0)*VLOOKUP('Données projet'!$B$9,Paramètres!$A$1:$I$89,5,0)</f>
        <v>#N/A</v>
      </c>
      <c r="P138" s="14" t="e">
        <f t="shared" si="141"/>
        <v>#N/A</v>
      </c>
      <c r="Q138" s="22" t="e">
        <f t="shared" si="108"/>
        <v>#N/A</v>
      </c>
      <c r="R138" s="60" t="e">
        <f t="shared" si="109"/>
        <v>#N/A</v>
      </c>
      <c r="S138" s="60" t="e">
        <f ca="1">AVERAGE(OFFSET($R$3,0,0,'Données projet'!$E$9+1,1))-AVERAGE(OFFSET($H$3,0,0,'Données projet'!$E$9+1,1))</f>
        <v>#N/A</v>
      </c>
      <c r="T138" s="60" t="e">
        <f t="shared" si="142"/>
        <v>#N/A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 t="e">
        <f>EXP(-LN(2)/35)*Z137+(1-EXP(-LN(2)/35))/(LN(2)/35)*V138*W138*VLOOKUP('Données projet'!$B$9,Paramètres!$A$1:$I$89,3,0)*0.475*44/12</f>
        <v>#N/A</v>
      </c>
      <c r="AA138" s="23" t="e">
        <f>EXP(-LN(2)/25)*AA137+(1-EXP(-LN(2)/25))/(LN(2)/25)*Calculateur!V138*Calculateur!X138*VLOOKUP('Données projet'!$B$9,Paramètres!$A$1:$I$89,3,0)*0.475*44/12</f>
        <v>#N/A</v>
      </c>
      <c r="AB138" s="23" t="e">
        <f>EXP(-LN(2)/2)*AB137+(1-EXP(-LN(2)/2))/(LN(2)/2)*V138*Y138*VLOOKUP('Données projet'!$B$9,Paramètres!$A$1:$I$89,3,0)*0.475*44/12</f>
        <v>#N/A</v>
      </c>
      <c r="AC138" s="24" t="e">
        <f t="shared" si="111"/>
        <v>#N/A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0">
        <f t="shared" si="113"/>
        <v>846.12235812526569</v>
      </c>
      <c r="AN138" s="60">
        <f ca="1">AVERAGE(OFFSET($AM$3,0,0,'Données projet'!$E$10+1,1))-AVERAGE(OFFSET($H$3,0,0,'Données projet'!$E$10+1,1))</f>
        <v>428.8489304403459</v>
      </c>
      <c r="AO138" s="60">
        <f t="shared" si="144"/>
        <v>247.01165577562966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projet'!$B$11,Paramètres!$A$1:$I$89,3,0)*VLOOKUP('Données projet'!$B$11,Paramètres!$A$1:$I$89,5,0)</f>
        <v>-1.9065282685915009E-13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374.79806286316051</v>
      </c>
      <c r="BJ138" s="60">
        <f t="shared" si="146"/>
        <v>350.01856672839466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1.2116661312154866</v>
      </c>
      <c r="BR138" s="23">
        <f>EXP(-LN(2)/2)*BR137+(1-EXP(-LN(2)/2))/(LN(2)/2)*BL138*BO138*VLOOKUP('Données projet'!$B$11,Paramètres!$A$1:$I$89,3,0)*0.475*44/12</f>
        <v>1.7283234000392393E-15</v>
      </c>
      <c r="BS138" s="24">
        <f t="shared" si="117"/>
        <v>1.2116661312154884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255.60599999999937</v>
      </c>
      <c r="CA138" s="14">
        <f t="shared" si="147"/>
        <v>61.784827631732192</v>
      </c>
      <c r="CB138" s="22">
        <f t="shared" si="118"/>
        <v>552.78902479193243</v>
      </c>
      <c r="CC138" s="60">
        <f t="shared" si="119"/>
        <v>846.12235812526569</v>
      </c>
      <c r="CD138" s="60">
        <f ca="1">AVERAGE(OFFSET($CC$3,0,0,'Données projet'!$E$12+1,1))-AVERAGE(OFFSET($H$3,0,0,'Données projet'!$E$12+1,1))</f>
        <v>428.8489304403459</v>
      </c>
      <c r="CE138" s="60">
        <f t="shared" si="148"/>
        <v>247.01165577562966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-1.7053025658242404E-13</v>
      </c>
      <c r="CU138" s="18">
        <f>CT138*VLOOKUP('Données projet'!$B$13,Paramètres!$A$1:$I$89,3,0)*VLOOKUP('Données projet'!$B$13,Paramètres!$A$1:$I$89,5,0)</f>
        <v>-1.6227659216383472E-13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354.63118425028898</v>
      </c>
      <c r="CZ138" s="60">
        <f t="shared" si="150"/>
        <v>244.7141066773861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273.23399999999936</v>
      </c>
      <c r="DQ138" s="14">
        <f t="shared" si="151"/>
        <v>65.535129378020301</v>
      </c>
      <c r="DR138" s="22">
        <f t="shared" si="124"/>
        <v>590.0229003333842</v>
      </c>
      <c r="DS138" s="60">
        <f t="shared" si="125"/>
        <v>883.35623366671757</v>
      </c>
      <c r="DT138" s="60">
        <f ca="1">AVERAGE(OFFSET($DS$3,0,0,'Données projet'!$E$14+1,1))-AVERAGE(OFFSET($H$3,0,0,'Données projet'!$E$14+1,1))</f>
        <v>455.50822833641354</v>
      </c>
      <c r="DU138" s="60">
        <f t="shared" si="152"/>
        <v>261.14722581688039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207.03241199974599</v>
      </c>
      <c r="EP138" s="60">
        <f t="shared" si="154"/>
        <v>314.188568589113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1.6876180300485664</v>
      </c>
      <c r="EW138" s="23">
        <f>EXP(-LN(2)/25)*EW137+(1-EXP(-LN(2)/25))/(LN(2)/25)*Calculateur!ER138*Calculateur!ET138*VLOOKUP('Données projet'!$B$15,Paramètres!$A$1:$I$89,3,0)*0.475*44/12</f>
        <v>0.53045984554214221</v>
      </c>
      <c r="EX138" s="23">
        <f>EXP(-LN(2)/2)*EX137+(1-EXP(-LN(2)/2))/(LN(2)/2)*ER138*EU138*VLOOKUP('Données projet'!$B$15,Paramètres!$A$1:$I$89,3,0)*0.475*44/12</f>
        <v>4.5916218728887632E-16</v>
      </c>
      <c r="EY138" s="24">
        <f t="shared" si="129"/>
        <v>2.2180778755907089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 t="e">
        <f>N139*VLOOKUP('Données projet'!$B$9,Paramètres!$A$1:$I$89,3,0)*VLOOKUP('Données projet'!$B$9,Paramètres!$A$1:$I$89,5,0)</f>
        <v>#N/A</v>
      </c>
      <c r="P139" s="14" t="e">
        <f t="shared" si="141"/>
        <v>#N/A</v>
      </c>
      <c r="Q139" s="22" t="e">
        <f t="shared" si="108"/>
        <v>#N/A</v>
      </c>
      <c r="R139" s="60" t="e">
        <f t="shared" si="109"/>
        <v>#N/A</v>
      </c>
      <c r="S139" s="60" t="e">
        <f ca="1">AVERAGE(OFFSET($R$3,0,0,'Données projet'!$E$9+1,1))-AVERAGE(OFFSET($H$3,0,0,'Données projet'!$E$9+1,1))</f>
        <v>#N/A</v>
      </c>
      <c r="T139" s="60" t="e">
        <f t="shared" si="142"/>
        <v>#N/A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 t="e">
        <f>EXP(-LN(2)/35)*Z138+(1-EXP(-LN(2)/35))/(LN(2)/35)*V139*W139*VLOOKUP('Données projet'!$B$9,Paramètres!$A$1:$I$89,3,0)*0.475*44/12</f>
        <v>#N/A</v>
      </c>
      <c r="AA139" s="23" t="e">
        <f>EXP(-LN(2)/25)*AA138+(1-EXP(-LN(2)/25))/(LN(2)/25)*Calculateur!V139*Calculateur!X139*VLOOKUP('Données projet'!$B$9,Paramètres!$A$1:$I$89,3,0)*0.475*44/12</f>
        <v>#N/A</v>
      </c>
      <c r="AB139" s="23" t="e">
        <f>EXP(-LN(2)/2)*AB138+(1-EXP(-LN(2)/2))/(LN(2)/2)*V139*Y139*VLOOKUP('Données projet'!$B$9,Paramètres!$A$1:$I$89,3,0)*0.475*44/12</f>
        <v>#N/A</v>
      </c>
      <c r="AC139" s="24" t="e">
        <f t="shared" si="111"/>
        <v>#N/A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0">
        <f t="shared" si="113"/>
        <v>851.28543369086674</v>
      </c>
      <c r="AN139" s="60">
        <f ca="1">AVERAGE(OFFSET($AM$3,0,0,'Données projet'!$E$10+1,1))-AVERAGE(OFFSET($H$3,0,0,'Données projet'!$E$10+1,1))</f>
        <v>428.8489304403459</v>
      </c>
      <c r="AO139" s="60">
        <f t="shared" si="144"/>
        <v>247.01165577562966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projet'!$B$11,Paramètres!$A$1:$I$89,3,0)*VLOOKUP('Données projet'!$B$11,Paramètres!$A$1:$I$89,5,0)</f>
        <v>-1.9065282685915009E-13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374.79806286316051</v>
      </c>
      <c r="BJ139" s="60">
        <f t="shared" si="146"/>
        <v>350.01856672839466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1.1785330571386465</v>
      </c>
      <c r="BR139" s="23">
        <f>EXP(-LN(2)/2)*BR138+(1-EXP(-LN(2)/2))/(LN(2)/2)*BL139*BO139*VLOOKUP('Données projet'!$B$11,Paramètres!$A$1:$I$89,3,0)*0.475*44/12</f>
        <v>1.2221091962511364E-15</v>
      </c>
      <c r="BS139" s="24">
        <f t="shared" si="117"/>
        <v>1.1785330571386479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258.0489599999994</v>
      </c>
      <c r="CA139" s="14">
        <f t="shared" si="147"/>
        <v>62.306312932555649</v>
      </c>
      <c r="CB139" s="22">
        <f t="shared" si="118"/>
        <v>557.95210035753337</v>
      </c>
      <c r="CC139" s="60">
        <f t="shared" si="119"/>
        <v>851.28543369086674</v>
      </c>
      <c r="CD139" s="60">
        <f ca="1">AVERAGE(OFFSET($CC$3,0,0,'Données projet'!$E$12+1,1))-AVERAGE(OFFSET($H$3,0,0,'Données projet'!$E$12+1,1))</f>
        <v>428.8489304403459</v>
      </c>
      <c r="CE139" s="60">
        <f t="shared" si="148"/>
        <v>247.01165577562966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-1.7053025658242404E-13</v>
      </c>
      <c r="CU139" s="18">
        <f>CT139*VLOOKUP('Données projet'!$B$13,Paramètres!$A$1:$I$89,3,0)*VLOOKUP('Données projet'!$B$13,Paramètres!$A$1:$I$89,5,0)</f>
        <v>-1.6227659216383472E-13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354.63118425028898</v>
      </c>
      <c r="CZ139" s="60">
        <f t="shared" si="150"/>
        <v>244.7141066773861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275.84543999999931</v>
      </c>
      <c r="DQ139" s="14">
        <f t="shared" si="151"/>
        <v>66.088268521855113</v>
      </c>
      <c r="DR139" s="22">
        <f t="shared" si="124"/>
        <v>595.53454234222977</v>
      </c>
      <c r="DS139" s="60">
        <f t="shared" si="125"/>
        <v>888.86787567556303</v>
      </c>
      <c r="DT139" s="60">
        <f ca="1">AVERAGE(OFFSET($DS$3,0,0,'Données projet'!$E$14+1,1))-AVERAGE(OFFSET($H$3,0,0,'Données projet'!$E$14+1,1))</f>
        <v>455.50822833641354</v>
      </c>
      <c r="DU139" s="60">
        <f t="shared" si="152"/>
        <v>261.14722581688039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207.03241199974599</v>
      </c>
      <c r="EP139" s="60">
        <f t="shared" si="154"/>
        <v>314.188568589113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1.6545248698246728</v>
      </c>
      <c r="EW139" s="23">
        <f>EXP(-LN(2)/25)*EW138+(1-EXP(-LN(2)/25))/(LN(2)/25)*Calculateur!ER139*Calculateur!ET139*VLOOKUP('Données projet'!$B$15,Paramètres!$A$1:$I$89,3,0)*0.475*44/12</f>
        <v>0.51595439317012148</v>
      </c>
      <c r="EX139" s="23">
        <f>EXP(-LN(2)/2)*EX138+(1-EXP(-LN(2)/2))/(LN(2)/2)*ER139*EU139*VLOOKUP('Données projet'!$B$15,Paramètres!$A$1:$I$89,3,0)*0.475*44/12</f>
        <v>3.2467669629641203E-16</v>
      </c>
      <c r="EY139" s="24">
        <f t="shared" si="129"/>
        <v>2.1704792629947947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 t="e">
        <f>N140*VLOOKUP('Données projet'!$B$9,Paramètres!$A$1:$I$89,3,0)*VLOOKUP('Données projet'!$B$9,Paramètres!$A$1:$I$89,5,0)</f>
        <v>#N/A</v>
      </c>
      <c r="P140" s="14" t="e">
        <f t="shared" si="141"/>
        <v>#N/A</v>
      </c>
      <c r="Q140" s="22" t="e">
        <f t="shared" si="108"/>
        <v>#N/A</v>
      </c>
      <c r="R140" s="60" t="e">
        <f t="shared" si="109"/>
        <v>#N/A</v>
      </c>
      <c r="S140" s="60" t="e">
        <f ca="1">AVERAGE(OFFSET($R$3,0,0,'Données projet'!$E$9+1,1))-AVERAGE(OFFSET($H$3,0,0,'Données projet'!$E$9+1,1))</f>
        <v>#N/A</v>
      </c>
      <c r="T140" s="60" t="e">
        <f t="shared" si="142"/>
        <v>#N/A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 t="e">
        <f>EXP(-LN(2)/35)*Z139+(1-EXP(-LN(2)/35))/(LN(2)/35)*V140*W140*VLOOKUP('Données projet'!$B$9,Paramètres!$A$1:$I$89,3,0)*0.475*44/12</f>
        <v>#N/A</v>
      </c>
      <c r="AA140" s="23" t="e">
        <f>EXP(-LN(2)/25)*AA139+(1-EXP(-LN(2)/25))/(LN(2)/25)*Calculateur!V140*Calculateur!X140*VLOOKUP('Données projet'!$B$9,Paramètres!$A$1:$I$89,3,0)*0.475*44/12</f>
        <v>#N/A</v>
      </c>
      <c r="AB140" s="23" t="e">
        <f>EXP(-LN(2)/2)*AB139+(1-EXP(-LN(2)/2))/(LN(2)/2)*V140*Y140*VLOOKUP('Données projet'!$B$9,Paramètres!$A$1:$I$89,3,0)*0.475*44/12</f>
        <v>#N/A</v>
      </c>
      <c r="AC140" s="24" t="e">
        <f t="shared" si="111"/>
        <v>#N/A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0">
        <f t="shared" si="113"/>
        <v>856.44750892960883</v>
      </c>
      <c r="AN140" s="60">
        <f ca="1">AVERAGE(OFFSET($AM$3,0,0,'Données projet'!$E$10+1,1))-AVERAGE(OFFSET($H$3,0,0,'Données projet'!$E$10+1,1))</f>
        <v>428.8489304403459</v>
      </c>
      <c r="AO140" s="60">
        <f t="shared" si="144"/>
        <v>247.01165577562966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projet'!$B$11,Paramètres!$A$1:$I$89,3,0)*VLOOKUP('Données projet'!$B$11,Paramètres!$A$1:$I$89,5,0)</f>
        <v>-1.9065282685915009E-13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374.79806286316051</v>
      </c>
      <c r="BJ140" s="60">
        <f t="shared" si="146"/>
        <v>350.01856672839466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1.1463060087148302</v>
      </c>
      <c r="BR140" s="23">
        <f>EXP(-LN(2)/2)*BR139+(1-EXP(-LN(2)/2))/(LN(2)/2)*BL140*BO140*VLOOKUP('Données projet'!$B$11,Paramètres!$A$1:$I$89,3,0)*0.475*44/12</f>
        <v>8.6416170001961977E-16</v>
      </c>
      <c r="BS140" s="24">
        <f t="shared" si="117"/>
        <v>1.1463060087148311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260.49191999999937</v>
      </c>
      <c r="CA140" s="14">
        <f t="shared" si="147"/>
        <v>62.827223883029681</v>
      </c>
      <c r="CB140" s="22">
        <f t="shared" si="118"/>
        <v>563.11417559627546</v>
      </c>
      <c r="CC140" s="60">
        <f t="shared" si="119"/>
        <v>856.44750892960883</v>
      </c>
      <c r="CD140" s="60">
        <f ca="1">AVERAGE(OFFSET($CC$3,0,0,'Données projet'!$E$12+1,1))-AVERAGE(OFFSET($H$3,0,0,'Données projet'!$E$12+1,1))</f>
        <v>428.8489304403459</v>
      </c>
      <c r="CE140" s="60">
        <f t="shared" si="148"/>
        <v>247.01165577562966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-1.7053025658242404E-13</v>
      </c>
      <c r="CU140" s="18">
        <f>CT140*VLOOKUP('Données projet'!$B$13,Paramètres!$A$1:$I$89,3,0)*VLOOKUP('Données projet'!$B$13,Paramètres!$A$1:$I$89,5,0)</f>
        <v>-1.6227659216383472E-13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354.63118425028898</v>
      </c>
      <c r="CZ140" s="60">
        <f t="shared" si="150"/>
        <v>244.7141066773861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278.45687999999933</v>
      </c>
      <c r="DQ140" s="14">
        <f t="shared" si="151"/>
        <v>66.640798452620999</v>
      </c>
      <c r="DR140" s="22">
        <f t="shared" si="124"/>
        <v>601.04512330498039</v>
      </c>
      <c r="DS140" s="60">
        <f t="shared" si="125"/>
        <v>894.37845663831376</v>
      </c>
      <c r="DT140" s="60">
        <f ca="1">AVERAGE(OFFSET($DS$3,0,0,'Données projet'!$E$14+1,1))-AVERAGE(OFFSET($H$3,0,0,'Données projet'!$E$14+1,1))</f>
        <v>455.50822833641354</v>
      </c>
      <c r="DU140" s="60">
        <f t="shared" si="152"/>
        <v>261.14722581688039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207.03241199974599</v>
      </c>
      <c r="EP140" s="60">
        <f t="shared" si="154"/>
        <v>314.188568589113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1.6220806462879354</v>
      </c>
      <c r="EW140" s="23">
        <f>EXP(-LN(2)/25)*EW139+(1-EXP(-LN(2)/25))/(LN(2)/25)*Calculateur!ER140*Calculateur!ET140*VLOOKUP('Données projet'!$B$15,Paramètres!$A$1:$I$89,3,0)*0.475*44/12</f>
        <v>0.50184559315602217</v>
      </c>
      <c r="EX140" s="23">
        <f>EXP(-LN(2)/2)*EX139+(1-EXP(-LN(2)/2))/(LN(2)/2)*ER140*EU140*VLOOKUP('Données projet'!$B$15,Paramètres!$A$1:$I$89,3,0)*0.475*44/12</f>
        <v>2.2958109364443816E-16</v>
      </c>
      <c r="EY140" s="24">
        <f t="shared" si="129"/>
        <v>2.123926239443958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 t="e">
        <f>N141*VLOOKUP('Données projet'!$B$9,Paramètres!$A$1:$I$89,3,0)*VLOOKUP('Données projet'!$B$9,Paramètres!$A$1:$I$89,5,0)</f>
        <v>#N/A</v>
      </c>
      <c r="P141" s="14" t="e">
        <f t="shared" si="141"/>
        <v>#N/A</v>
      </c>
      <c r="Q141" s="22" t="e">
        <f t="shared" si="108"/>
        <v>#N/A</v>
      </c>
      <c r="R141" s="60" t="e">
        <f t="shared" si="109"/>
        <v>#N/A</v>
      </c>
      <c r="S141" s="60" t="e">
        <f ca="1">AVERAGE(OFFSET($R$3,0,0,'Données projet'!$E$9+1,1))-AVERAGE(OFFSET($H$3,0,0,'Données projet'!$E$9+1,1))</f>
        <v>#N/A</v>
      </c>
      <c r="T141" s="60" t="e">
        <f t="shared" si="142"/>
        <v>#N/A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 t="e">
        <f>EXP(-LN(2)/35)*Z140+(1-EXP(-LN(2)/35))/(LN(2)/35)*V141*W141*VLOOKUP('Données projet'!$B$9,Paramètres!$A$1:$I$89,3,0)*0.475*44/12</f>
        <v>#N/A</v>
      </c>
      <c r="AA141" s="23" t="e">
        <f>EXP(-LN(2)/25)*AA140+(1-EXP(-LN(2)/25))/(LN(2)/25)*Calculateur!V141*Calculateur!X141*VLOOKUP('Données projet'!$B$9,Paramètres!$A$1:$I$89,3,0)*0.475*44/12</f>
        <v>#N/A</v>
      </c>
      <c r="AB141" s="23" t="e">
        <f>EXP(-LN(2)/2)*AB140+(1-EXP(-LN(2)/2))/(LN(2)/2)*V141*Y141*VLOOKUP('Données projet'!$B$9,Paramètres!$A$1:$I$89,3,0)*0.475*44/12</f>
        <v>#N/A</v>
      </c>
      <c r="AC141" s="24" t="e">
        <f t="shared" si="111"/>
        <v>#N/A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0">
        <f t="shared" si="113"/>
        <v>861.60859430939399</v>
      </c>
      <c r="AN141" s="60">
        <f ca="1">AVERAGE(OFFSET($AM$3,0,0,'Données projet'!$E$10+1,1))-AVERAGE(OFFSET($H$3,0,0,'Données projet'!$E$10+1,1))</f>
        <v>428.8489304403459</v>
      </c>
      <c r="AO141" s="60">
        <f t="shared" si="144"/>
        <v>247.01165577562966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projet'!$B$11,Paramètres!$A$1:$I$89,3,0)*VLOOKUP('Données projet'!$B$11,Paramètres!$A$1:$I$89,5,0)</f>
        <v>-1.9065282685915009E-13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374.79806286316051</v>
      </c>
      <c r="BJ141" s="60">
        <f t="shared" si="146"/>
        <v>350.01856672839466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1.1149602106249101</v>
      </c>
      <c r="BR141" s="23">
        <f>EXP(-LN(2)/2)*BR140+(1-EXP(-LN(2)/2))/(LN(2)/2)*BL141*BO141*VLOOKUP('Données projet'!$B$11,Paramètres!$A$1:$I$89,3,0)*0.475*44/12</f>
        <v>6.1105459812556828E-16</v>
      </c>
      <c r="BS141" s="24">
        <f t="shared" si="117"/>
        <v>1.1149602106249108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262.93487999999934</v>
      </c>
      <c r="CA141" s="14">
        <f t="shared" si="147"/>
        <v>63.347566493432652</v>
      </c>
      <c r="CB141" s="22">
        <f t="shared" si="118"/>
        <v>568.27526097606062</v>
      </c>
      <c r="CC141" s="60">
        <f t="shared" si="119"/>
        <v>861.60859430939399</v>
      </c>
      <c r="CD141" s="60">
        <f ca="1">AVERAGE(OFFSET($CC$3,0,0,'Données projet'!$E$12+1,1))-AVERAGE(OFFSET($H$3,0,0,'Données projet'!$E$12+1,1))</f>
        <v>428.8489304403459</v>
      </c>
      <c r="CE141" s="60">
        <f t="shared" si="148"/>
        <v>247.01165577562966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-1.7053025658242404E-13</v>
      </c>
      <c r="CU141" s="18">
        <f>CT141*VLOOKUP('Données projet'!$B$13,Paramètres!$A$1:$I$89,3,0)*VLOOKUP('Données projet'!$B$13,Paramètres!$A$1:$I$89,5,0)</f>
        <v>-1.6227659216383472E-13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354.63118425028898</v>
      </c>
      <c r="CZ141" s="60">
        <f t="shared" si="150"/>
        <v>244.7141066773861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281.06831999999929</v>
      </c>
      <c r="DQ141" s="14">
        <f t="shared" si="151"/>
        <v>67.192725545416536</v>
      </c>
      <c r="DR141" s="22">
        <f t="shared" si="124"/>
        <v>606.55465432493247</v>
      </c>
      <c r="DS141" s="60">
        <f t="shared" si="125"/>
        <v>899.88798765826573</v>
      </c>
      <c r="DT141" s="60">
        <f ca="1">AVERAGE(OFFSET($DS$3,0,0,'Données projet'!$E$14+1,1))-AVERAGE(OFFSET($H$3,0,0,'Données projet'!$E$14+1,1))</f>
        <v>455.50822833641354</v>
      </c>
      <c r="DU141" s="60">
        <f t="shared" si="152"/>
        <v>261.14722581688039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207.03241199974599</v>
      </c>
      <c r="EP141" s="60">
        <f t="shared" si="154"/>
        <v>314.188568589113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1.5902726341857309</v>
      </c>
      <c r="EW141" s="23">
        <f>EXP(-LN(2)/25)*EW140+(1-EXP(-LN(2)/25))/(LN(2)/25)*Calculateur!ER141*Calculateur!ET141*VLOOKUP('Données projet'!$B$15,Paramètres!$A$1:$I$89,3,0)*0.475*44/12</f>
        <v>0.48812259902025801</v>
      </c>
      <c r="EX141" s="23">
        <f>EXP(-LN(2)/2)*EX140+(1-EXP(-LN(2)/2))/(LN(2)/2)*ER141*EU141*VLOOKUP('Données projet'!$B$15,Paramètres!$A$1:$I$89,3,0)*0.475*44/12</f>
        <v>1.6233834814820601E-16</v>
      </c>
      <c r="EY141" s="24">
        <f t="shared" si="129"/>
        <v>2.0783952332059892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 t="e">
        <f>N142*VLOOKUP('Données projet'!$B$9,Paramètres!$A$1:$I$89,3,0)*VLOOKUP('Données projet'!$B$9,Paramètres!$A$1:$I$89,5,0)</f>
        <v>#N/A</v>
      </c>
      <c r="P142" s="14" t="e">
        <f t="shared" si="141"/>
        <v>#N/A</v>
      </c>
      <c r="Q142" s="22" t="e">
        <f t="shared" si="108"/>
        <v>#N/A</v>
      </c>
      <c r="R142" s="60" t="e">
        <f t="shared" si="109"/>
        <v>#N/A</v>
      </c>
      <c r="S142" s="60" t="e">
        <f ca="1">AVERAGE(OFFSET($R$3,0,0,'Données projet'!$E$9+1,1))-AVERAGE(OFFSET($H$3,0,0,'Données projet'!$E$9+1,1))</f>
        <v>#N/A</v>
      </c>
      <c r="T142" s="60" t="e">
        <f t="shared" si="142"/>
        <v>#N/A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 t="e">
        <f>EXP(-LN(2)/35)*Z141+(1-EXP(-LN(2)/35))/(LN(2)/35)*V142*W142*VLOOKUP('Données projet'!$B$9,Paramètres!$A$1:$I$89,3,0)*0.475*44/12</f>
        <v>#N/A</v>
      </c>
      <c r="AA142" s="23" t="e">
        <f>EXP(-LN(2)/25)*AA141+(1-EXP(-LN(2)/25))/(LN(2)/25)*Calculateur!V142*Calculateur!X142*VLOOKUP('Données projet'!$B$9,Paramètres!$A$1:$I$89,3,0)*0.475*44/12</f>
        <v>#N/A</v>
      </c>
      <c r="AB142" s="23" t="e">
        <f>EXP(-LN(2)/2)*AB141+(1-EXP(-LN(2)/2))/(LN(2)/2)*V142*Y142*VLOOKUP('Données projet'!$B$9,Paramètres!$A$1:$I$89,3,0)*0.475*44/12</f>
        <v>#N/A</v>
      </c>
      <c r="AC142" s="24" t="e">
        <f t="shared" si="111"/>
        <v>#N/A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0">
        <f t="shared" si="113"/>
        <v>866.76870009238769</v>
      </c>
      <c r="AN142" s="60">
        <f ca="1">AVERAGE(OFFSET($AM$3,0,0,'Données projet'!$E$10+1,1))-AVERAGE(OFFSET($H$3,0,0,'Données projet'!$E$10+1,1))</f>
        <v>428.8489304403459</v>
      </c>
      <c r="AO142" s="60">
        <f t="shared" si="144"/>
        <v>247.01165577562966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projet'!$B$11,Paramètres!$A$1:$I$89,3,0)*VLOOKUP('Données projet'!$B$11,Paramètres!$A$1:$I$89,5,0)</f>
        <v>-1.9065282685915009E-13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374.79806286316051</v>
      </c>
      <c r="BJ142" s="60">
        <f t="shared" si="146"/>
        <v>350.01856672839466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1.0844715650321628</v>
      </c>
      <c r="BR142" s="23">
        <f>EXP(-LN(2)/2)*BR141+(1-EXP(-LN(2)/2))/(LN(2)/2)*BL142*BO142*VLOOKUP('Données projet'!$B$11,Paramètres!$A$1:$I$89,3,0)*0.475*44/12</f>
        <v>4.3208085000980999E-16</v>
      </c>
      <c r="BS142" s="24">
        <f t="shared" si="117"/>
        <v>1.0844715650321632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265.37783999999937</v>
      </c>
      <c r="CA142" s="14">
        <f t="shared" si="147"/>
        <v>63.867346655917089</v>
      </c>
      <c r="CB142" s="22">
        <f t="shared" si="118"/>
        <v>573.43536675905443</v>
      </c>
      <c r="CC142" s="60">
        <f t="shared" si="119"/>
        <v>866.76870009238769</v>
      </c>
      <c r="CD142" s="60">
        <f ca="1">AVERAGE(OFFSET($CC$3,0,0,'Données projet'!$E$12+1,1))-AVERAGE(OFFSET($H$3,0,0,'Données projet'!$E$12+1,1))</f>
        <v>428.8489304403459</v>
      </c>
      <c r="CE142" s="60">
        <f t="shared" si="148"/>
        <v>247.01165577562966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-1.7053025658242404E-13</v>
      </c>
      <c r="CU142" s="18">
        <f>CT142*VLOOKUP('Données projet'!$B$13,Paramètres!$A$1:$I$89,3,0)*VLOOKUP('Données projet'!$B$13,Paramètres!$A$1:$I$89,5,0)</f>
        <v>-1.6227659216383472E-13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354.63118425028898</v>
      </c>
      <c r="CZ142" s="60">
        <f t="shared" si="150"/>
        <v>244.7141066773861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283.67975999999931</v>
      </c>
      <c r="DQ142" s="14">
        <f t="shared" si="151"/>
        <v>67.74405605004435</v>
      </c>
      <c r="DR142" s="22">
        <f t="shared" si="124"/>
        <v>612.06314628715938</v>
      </c>
      <c r="DS142" s="60">
        <f t="shared" si="125"/>
        <v>905.39647962049276</v>
      </c>
      <c r="DT142" s="60">
        <f ca="1">AVERAGE(OFFSET($DS$3,0,0,'Données projet'!$E$14+1,1))-AVERAGE(OFFSET($H$3,0,0,'Données projet'!$E$14+1,1))</f>
        <v>455.50822833641354</v>
      </c>
      <c r="DU142" s="60">
        <f t="shared" si="152"/>
        <v>261.14722581688039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207.03241199974599</v>
      </c>
      <c r="EP142" s="60">
        <f t="shared" si="154"/>
        <v>314.188568589113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1.5590883577998791</v>
      </c>
      <c r="EW142" s="23">
        <f>EXP(-LN(2)/25)*EW141+(1-EXP(-LN(2)/25))/(LN(2)/25)*Calculateur!ER142*Calculateur!ET142*VLOOKUP('Données projet'!$B$15,Paramètres!$A$1:$I$89,3,0)*0.475*44/12</f>
        <v>0.47477486088079718</v>
      </c>
      <c r="EX142" s="23">
        <f>EXP(-LN(2)/2)*EX141+(1-EXP(-LN(2)/2))/(LN(2)/2)*ER142*EU142*VLOOKUP('Données projet'!$B$15,Paramètres!$A$1:$I$89,3,0)*0.475*44/12</f>
        <v>1.1479054682221908E-16</v>
      </c>
      <c r="EY142" s="24">
        <f t="shared" si="129"/>
        <v>2.0338632186806764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 t="e">
        <f>N143*VLOOKUP('Données projet'!$B$9,Paramètres!$A$1:$I$89,3,0)*VLOOKUP('Données projet'!$B$9,Paramètres!$A$1:$I$89,5,0)</f>
        <v>#N/A</v>
      </c>
      <c r="P143" s="14" t="e">
        <f t="shared" si="141"/>
        <v>#N/A</v>
      </c>
      <c r="Q143" s="22" t="e">
        <f t="shared" si="108"/>
        <v>#N/A</v>
      </c>
      <c r="R143" s="60" t="e">
        <f t="shared" si="109"/>
        <v>#N/A</v>
      </c>
      <c r="S143" s="60" t="e">
        <f ca="1">AVERAGE(OFFSET($R$3,0,0,'Données projet'!$E$9+1,1))-AVERAGE(OFFSET($H$3,0,0,'Données projet'!$E$9+1,1))</f>
        <v>#N/A</v>
      </c>
      <c r="T143" s="60" t="e">
        <f t="shared" si="142"/>
        <v>#N/A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 t="e">
        <f>EXP(-LN(2)/35)*Z142+(1-EXP(-LN(2)/35))/(LN(2)/35)*V143*W143*VLOOKUP('Données projet'!$B$9,Paramètres!$A$1:$I$89,3,0)*0.475*44/12</f>
        <v>#N/A</v>
      </c>
      <c r="AA143" s="23" t="e">
        <f>EXP(-LN(2)/25)*AA142+(1-EXP(-LN(2)/25))/(LN(2)/25)*Calculateur!V143*Calculateur!X143*VLOOKUP('Données projet'!$B$9,Paramètres!$A$1:$I$89,3,0)*0.475*44/12</f>
        <v>#N/A</v>
      </c>
      <c r="AB143" s="23" t="e">
        <f>EXP(-LN(2)/2)*AB142+(1-EXP(-LN(2)/2))/(LN(2)/2)*V143*Y143*VLOOKUP('Données projet'!$B$9,Paramètres!$A$1:$I$89,3,0)*0.475*44/12</f>
        <v>#N/A</v>
      </c>
      <c r="AC143" s="24" t="e">
        <f t="shared" si="111"/>
        <v>#N/A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0">
        <f t="shared" si="113"/>
        <v>871.92783634091984</v>
      </c>
      <c r="AN143" s="60">
        <f ca="1">AVERAGE(OFFSET($AM$3,0,0,'Données projet'!$E$10+1,1))-AVERAGE(OFFSET($H$3,0,0,'Données projet'!$E$10+1,1))</f>
        <v>428.8489304403459</v>
      </c>
      <c r="AO143" s="60">
        <f t="shared" si="144"/>
        <v>247.01165577562966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projet'!$B$11,Paramètres!$A$1:$I$89,3,0)*VLOOKUP('Données projet'!$B$11,Paramètres!$A$1:$I$89,5,0)</f>
        <v>-1.9065282685915009E-13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374.79806286316051</v>
      </c>
      <c r="BJ143" s="60">
        <f t="shared" si="146"/>
        <v>350.01856672839466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1.0548166330564772</v>
      </c>
      <c r="BR143" s="23">
        <f>EXP(-LN(2)/2)*BR142+(1-EXP(-LN(2)/2))/(LN(2)/2)*BL143*BO143*VLOOKUP('Données projet'!$B$11,Paramètres!$A$1:$I$89,3,0)*0.475*44/12</f>
        <v>3.0552729906278419E-16</v>
      </c>
      <c r="BS143" s="24">
        <f t="shared" si="117"/>
        <v>1.0548166330564774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267.82079999999934</v>
      </c>
      <c r="CA143" s="14">
        <f t="shared" si="147"/>
        <v>64.386570147897245</v>
      </c>
      <c r="CB143" s="22">
        <f t="shared" si="118"/>
        <v>578.59450300758647</v>
      </c>
      <c r="CC143" s="60">
        <f t="shared" si="119"/>
        <v>871.92783634091984</v>
      </c>
      <c r="CD143" s="60">
        <f ca="1">AVERAGE(OFFSET($CC$3,0,0,'Données projet'!$E$12+1,1))-AVERAGE(OFFSET($H$3,0,0,'Données projet'!$E$12+1,1))</f>
        <v>428.8489304403459</v>
      </c>
      <c r="CE143" s="60">
        <f t="shared" si="148"/>
        <v>247.01165577562966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-1.7053025658242404E-13</v>
      </c>
      <c r="CU143" s="18">
        <f>CT143*VLOOKUP('Données projet'!$B$13,Paramètres!$A$1:$I$89,3,0)*VLOOKUP('Données projet'!$B$13,Paramètres!$A$1:$I$89,5,0)</f>
        <v>-1.6227659216383472E-13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354.63118425028898</v>
      </c>
      <c r="CZ143" s="60">
        <f t="shared" si="150"/>
        <v>244.7141066773861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286.29119999999926</v>
      </c>
      <c r="DQ143" s="14">
        <f t="shared" si="151"/>
        <v>68.294796094604223</v>
      </c>
      <c r="DR143" s="22">
        <f t="shared" si="124"/>
        <v>617.57060986476779</v>
      </c>
      <c r="DS143" s="60">
        <f t="shared" si="125"/>
        <v>910.90394319810116</v>
      </c>
      <c r="DT143" s="60">
        <f ca="1">AVERAGE(OFFSET($DS$3,0,0,'Données projet'!$E$14+1,1))-AVERAGE(OFFSET($H$3,0,0,'Données projet'!$E$14+1,1))</f>
        <v>455.50822833641354</v>
      </c>
      <c r="DU143" s="60">
        <f t="shared" si="152"/>
        <v>261.14722581688039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207.03241199974599</v>
      </c>
      <c r="EP143" s="60">
        <f t="shared" si="154"/>
        <v>314.188568589113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1.5285155860534232</v>
      </c>
      <c r="EW143" s="23">
        <f>EXP(-LN(2)/25)*EW142+(1-EXP(-LN(2)/25))/(LN(2)/25)*Calculateur!ER143*Calculateur!ET143*VLOOKUP('Données projet'!$B$15,Paramètres!$A$1:$I$89,3,0)*0.475*44/12</f>
        <v>0.46179211734268694</v>
      </c>
      <c r="EX143" s="23">
        <f>EXP(-LN(2)/2)*EX142+(1-EXP(-LN(2)/2))/(LN(2)/2)*ER143*EU143*VLOOKUP('Données projet'!$B$15,Paramètres!$A$1:$I$89,3,0)*0.475*44/12</f>
        <v>8.1169174074103006E-17</v>
      </c>
      <c r="EY143" s="24">
        <f t="shared" si="129"/>
        <v>1.9903077033961101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 t="e">
        <f>N144*VLOOKUP('Données projet'!$B$9,Paramètres!$A$1:$I$89,3,0)*VLOOKUP('Données projet'!$B$9,Paramètres!$A$1:$I$89,5,0)</f>
        <v>#N/A</v>
      </c>
      <c r="P144" s="14" t="e">
        <f t="shared" si="141"/>
        <v>#N/A</v>
      </c>
      <c r="Q144" s="22" t="e">
        <f t="shared" si="108"/>
        <v>#N/A</v>
      </c>
      <c r="R144" s="60" t="e">
        <f t="shared" si="109"/>
        <v>#N/A</v>
      </c>
      <c r="S144" s="60" t="e">
        <f ca="1">AVERAGE(OFFSET($R$3,0,0,'Données projet'!$E$9+1,1))-AVERAGE(OFFSET($H$3,0,0,'Données projet'!$E$9+1,1))</f>
        <v>#N/A</v>
      </c>
      <c r="T144" s="60" t="e">
        <f t="shared" si="142"/>
        <v>#N/A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 t="e">
        <f>EXP(-LN(2)/35)*Z143+(1-EXP(-LN(2)/35))/(LN(2)/35)*V144*W144*VLOOKUP('Données projet'!$B$9,Paramètres!$A$1:$I$89,3,0)*0.475*44/12</f>
        <v>#N/A</v>
      </c>
      <c r="AA144" s="23" t="e">
        <f>EXP(-LN(2)/25)*AA143+(1-EXP(-LN(2)/25))/(LN(2)/25)*Calculateur!V144*Calculateur!X144*VLOOKUP('Données projet'!$B$9,Paramètres!$A$1:$I$89,3,0)*0.475*44/12</f>
        <v>#N/A</v>
      </c>
      <c r="AB144" s="23" t="e">
        <f>EXP(-LN(2)/2)*AB143+(1-EXP(-LN(2)/2))/(LN(2)/2)*V144*Y144*VLOOKUP('Données projet'!$B$9,Paramètres!$A$1:$I$89,3,0)*0.475*44/12</f>
        <v>#N/A</v>
      </c>
      <c r="AC144" s="24" t="e">
        <f t="shared" si="111"/>
        <v>#N/A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0">
        <f t="shared" si="113"/>
        <v>824.88563895074731</v>
      </c>
      <c r="AN144" s="60">
        <f ca="1">AVERAGE(OFFSET($AM$3,0,0,'Données projet'!$E$10+1,1))-AVERAGE(OFFSET($H$3,0,0,'Données projet'!$E$10+1,1))</f>
        <v>428.8489304403459</v>
      </c>
      <c r="AO144" s="60">
        <f t="shared" si="144"/>
        <v>247.01165577562966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projet'!$B$11,Paramètres!$A$1:$I$89,3,0)*VLOOKUP('Données projet'!$B$11,Paramètres!$A$1:$I$89,5,0)</f>
        <v>-1.9065282685915009E-13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374.79806286316051</v>
      </c>
      <c r="BJ144" s="60">
        <f t="shared" si="146"/>
        <v>350.01856672839466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1.0259726167551519</v>
      </c>
      <c r="BR144" s="23">
        <f>EXP(-LN(2)/2)*BR143+(1-EXP(-LN(2)/2))/(LN(2)/2)*BL144*BO144*VLOOKUP('Données projet'!$B$11,Paramètres!$A$1:$I$89,3,0)*0.475*44/12</f>
        <v>2.1604042500490502E-16</v>
      </c>
      <c r="BS144" s="24">
        <f t="shared" si="117"/>
        <v>1.0259726167551522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245.5627199999993</v>
      </c>
      <c r="CA144" s="14">
        <f t="shared" si="147"/>
        <v>59.634776048276741</v>
      </c>
      <c r="CB144" s="22">
        <f t="shared" si="118"/>
        <v>531.55230561741405</v>
      </c>
      <c r="CC144" s="60">
        <f t="shared" si="119"/>
        <v>824.88563895074731</v>
      </c>
      <c r="CD144" s="60">
        <f ca="1">AVERAGE(OFFSET($CC$3,0,0,'Données projet'!$E$12+1,1))-AVERAGE(OFFSET($H$3,0,0,'Données projet'!$E$12+1,1))</f>
        <v>428.8489304403459</v>
      </c>
      <c r="CE144" s="60">
        <f t="shared" si="148"/>
        <v>247.01165577562966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-1.7053025658242404E-13</v>
      </c>
      <c r="CU144" s="18">
        <f>CT144*VLOOKUP('Données projet'!$B$13,Paramètres!$A$1:$I$89,3,0)*VLOOKUP('Données projet'!$B$13,Paramètres!$A$1:$I$89,5,0)</f>
        <v>-1.6227659216383472E-13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354.63118425028898</v>
      </c>
      <c r="CZ144" s="60">
        <f t="shared" si="150"/>
        <v>244.7141066773861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262.49807999999928</v>
      </c>
      <c r="DQ144" s="14">
        <f t="shared" si="151"/>
        <v>63.254570961137979</v>
      </c>
      <c r="DR144" s="22">
        <f t="shared" si="124"/>
        <v>567.35253375731406</v>
      </c>
      <c r="DS144" s="60">
        <f t="shared" si="125"/>
        <v>860.68586709064743</v>
      </c>
      <c r="DT144" s="60">
        <f ca="1">AVERAGE(OFFSET($DS$3,0,0,'Données projet'!$E$14+1,1))-AVERAGE(OFFSET($H$3,0,0,'Données projet'!$E$14+1,1))</f>
        <v>455.50822833641354</v>
      </c>
      <c r="DU144" s="60">
        <f t="shared" si="152"/>
        <v>261.14722581688039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207.03241199974599</v>
      </c>
      <c r="EP144" s="60">
        <f t="shared" si="154"/>
        <v>314.188568589113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1.4985423277133658</v>
      </c>
      <c r="EW144" s="23">
        <f>EXP(-LN(2)/25)*EW143+(1-EXP(-LN(2)/25))/(LN(2)/25)*Calculateur!ER144*Calculateur!ET144*VLOOKUP('Données projet'!$B$15,Paramètres!$A$1:$I$89,3,0)*0.475*44/12</f>
        <v>0.44916438760935917</v>
      </c>
      <c r="EX144" s="23">
        <f>EXP(-LN(2)/2)*EX143+(1-EXP(-LN(2)/2))/(LN(2)/2)*ER144*EU144*VLOOKUP('Données projet'!$B$15,Paramètres!$A$1:$I$89,3,0)*0.475*44/12</f>
        <v>5.739527341110954E-17</v>
      </c>
      <c r="EY144" s="24">
        <f t="shared" si="129"/>
        <v>1.947706715322725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 t="e">
        <f>N145*VLOOKUP('Données projet'!$B$9,Paramètres!$A$1:$I$89,3,0)*VLOOKUP('Données projet'!$B$9,Paramètres!$A$1:$I$89,5,0)</f>
        <v>#N/A</v>
      </c>
      <c r="P145" s="14" t="e">
        <f t="shared" si="141"/>
        <v>#N/A</v>
      </c>
      <c r="Q145" s="22" t="e">
        <f t="shared" si="108"/>
        <v>#N/A</v>
      </c>
      <c r="R145" s="60" t="e">
        <f t="shared" si="109"/>
        <v>#N/A</v>
      </c>
      <c r="S145" s="60" t="e">
        <f ca="1">AVERAGE(OFFSET($R$3,0,0,'Données projet'!$E$9+1,1))-AVERAGE(OFFSET($H$3,0,0,'Données projet'!$E$9+1,1))</f>
        <v>#N/A</v>
      </c>
      <c r="T145" s="60" t="e">
        <f t="shared" si="142"/>
        <v>#N/A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 t="e">
        <f>EXP(-LN(2)/35)*Z144+(1-EXP(-LN(2)/35))/(LN(2)/35)*V145*W145*VLOOKUP('Données projet'!$B$9,Paramètres!$A$1:$I$89,3,0)*0.475*44/12</f>
        <v>#N/A</v>
      </c>
      <c r="AA145" s="23" t="e">
        <f>EXP(-LN(2)/25)*AA144+(1-EXP(-LN(2)/25))/(LN(2)/25)*Calculateur!V145*Calculateur!X145*VLOOKUP('Données projet'!$B$9,Paramètres!$A$1:$I$89,3,0)*0.475*44/12</f>
        <v>#N/A</v>
      </c>
      <c r="AB145" s="23" t="e">
        <f>EXP(-LN(2)/2)*AB144+(1-EXP(-LN(2)/2))/(LN(2)/2)*V145*Y145*VLOOKUP('Données projet'!$B$9,Paramètres!$A$1:$I$89,3,0)*0.475*44/12</f>
        <v>#N/A</v>
      </c>
      <c r="AC145" s="24" t="e">
        <f t="shared" si="111"/>
        <v>#N/A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0">
        <f t="shared" si="113"/>
        <v>829.47884870108419</v>
      </c>
      <c r="AN145" s="60">
        <f ca="1">AVERAGE(OFFSET($AM$3,0,0,'Données projet'!$E$10+1,1))-AVERAGE(OFFSET($H$3,0,0,'Données projet'!$E$10+1,1))</f>
        <v>428.8489304403459</v>
      </c>
      <c r="AO145" s="60">
        <f t="shared" si="144"/>
        <v>247.01165577562966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projet'!$B$11,Paramètres!$A$1:$I$89,3,0)*VLOOKUP('Données projet'!$B$11,Paramètres!$A$1:$I$89,5,0)</f>
        <v>-1.9065282685915009E-13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374.79806286316051</v>
      </c>
      <c r="BJ145" s="60">
        <f t="shared" si="146"/>
        <v>350.01856672839466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0.99791734159642731</v>
      </c>
      <c r="BR145" s="23">
        <f>EXP(-LN(2)/2)*BR144+(1-EXP(-LN(2)/2))/(LN(2)/2)*BL145*BO145*VLOOKUP('Données projet'!$B$11,Paramètres!$A$1:$I$89,3,0)*0.475*44/12</f>
        <v>1.5276364953139212E-16</v>
      </c>
      <c r="BS145" s="24">
        <f t="shared" si="117"/>
        <v>0.99791734159642742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247.73423999999929</v>
      </c>
      <c r="CA145" s="14">
        <f t="shared" si="147"/>
        <v>60.100505665694953</v>
      </c>
      <c r="CB145" s="22">
        <f t="shared" si="118"/>
        <v>536.14551536775082</v>
      </c>
      <c r="CC145" s="60">
        <f t="shared" si="119"/>
        <v>829.47884870108419</v>
      </c>
      <c r="CD145" s="60">
        <f ca="1">AVERAGE(OFFSET($CC$3,0,0,'Données projet'!$E$12+1,1))-AVERAGE(OFFSET($H$3,0,0,'Données projet'!$E$12+1,1))</f>
        <v>428.8489304403459</v>
      </c>
      <c r="CE145" s="60">
        <f t="shared" si="148"/>
        <v>247.01165577562966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-1.7053025658242404E-13</v>
      </c>
      <c r="CU145" s="18">
        <f>CT145*VLOOKUP('Données projet'!$B$13,Paramètres!$A$1:$I$89,3,0)*VLOOKUP('Données projet'!$B$13,Paramètres!$A$1:$I$89,5,0)</f>
        <v>-1.6227659216383472E-13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354.63118425028898</v>
      </c>
      <c r="CZ145" s="60">
        <f t="shared" si="150"/>
        <v>244.7141066773861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264.81935999999928</v>
      </c>
      <c r="DQ145" s="14">
        <f t="shared" si="151"/>
        <v>63.748570085236892</v>
      </c>
      <c r="DR145" s="22">
        <f t="shared" si="124"/>
        <v>572.25581156511964</v>
      </c>
      <c r="DS145" s="60">
        <f t="shared" si="125"/>
        <v>865.58914489845301</v>
      </c>
      <c r="DT145" s="60">
        <f ca="1">AVERAGE(OFFSET($DS$3,0,0,'Données projet'!$E$14+1,1))-AVERAGE(OFFSET($H$3,0,0,'Données projet'!$E$14+1,1))</f>
        <v>455.50822833641354</v>
      </c>
      <c r="DU145" s="60">
        <f t="shared" si="152"/>
        <v>261.14722581688039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207.03241199974599</v>
      </c>
      <c r="EP145" s="60">
        <f t="shared" si="154"/>
        <v>314.188568589113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1.4691568266874746</v>
      </c>
      <c r="EW145" s="23">
        <f>EXP(-LN(2)/25)*EW144+(1-EXP(-LN(2)/25))/(LN(2)/25)*Calculateur!ER145*Calculateur!ET145*VLOOKUP('Données projet'!$B$15,Paramètres!$A$1:$I$89,3,0)*0.475*44/12</f>
        <v>0.43688196380965266</v>
      </c>
      <c r="EX145" s="23">
        <f>EXP(-LN(2)/2)*EX144+(1-EXP(-LN(2)/2))/(LN(2)/2)*ER145*EU145*VLOOKUP('Données projet'!$B$15,Paramètres!$A$1:$I$89,3,0)*0.475*44/12</f>
        <v>4.0584587037051503E-17</v>
      </c>
      <c r="EY145" s="24">
        <f t="shared" si="129"/>
        <v>1.9060387904971272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 t="e">
        <f>N146*VLOOKUP('Données projet'!$B$9,Paramètres!$A$1:$I$89,3,0)*VLOOKUP('Données projet'!$B$9,Paramètres!$A$1:$I$89,5,0)</f>
        <v>#N/A</v>
      </c>
      <c r="P146" s="14" t="e">
        <f t="shared" si="141"/>
        <v>#N/A</v>
      </c>
      <c r="Q146" s="22" t="e">
        <f t="shared" si="108"/>
        <v>#N/A</v>
      </c>
      <c r="R146" s="60" t="e">
        <f t="shared" si="109"/>
        <v>#N/A</v>
      </c>
      <c r="S146" s="60" t="e">
        <f ca="1">AVERAGE(OFFSET($R$3,0,0,'Données projet'!$E$9+1,1))-AVERAGE(OFFSET($H$3,0,0,'Données projet'!$E$9+1,1))</f>
        <v>#N/A</v>
      </c>
      <c r="T146" s="60" t="e">
        <f t="shared" si="142"/>
        <v>#N/A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 t="e">
        <f>EXP(-LN(2)/35)*Z145+(1-EXP(-LN(2)/35))/(LN(2)/35)*V146*W146*VLOOKUP('Données projet'!$B$9,Paramètres!$A$1:$I$89,3,0)*0.475*44/12</f>
        <v>#N/A</v>
      </c>
      <c r="AA146" s="23" t="e">
        <f>EXP(-LN(2)/25)*AA145+(1-EXP(-LN(2)/25))/(LN(2)/25)*Calculateur!V146*Calculateur!X146*VLOOKUP('Données projet'!$B$9,Paramètres!$A$1:$I$89,3,0)*0.475*44/12</f>
        <v>#N/A</v>
      </c>
      <c r="AB146" s="23" t="e">
        <f>EXP(-LN(2)/2)*AB145+(1-EXP(-LN(2)/2))/(LN(2)/2)*V146*Y146*VLOOKUP('Données projet'!$B$9,Paramètres!$A$1:$I$89,3,0)*0.475*44/12</f>
        <v>#N/A</v>
      </c>
      <c r="AC146" s="24" t="e">
        <f t="shared" si="111"/>
        <v>#N/A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0">
        <f t="shared" si="113"/>
        <v>834.07123124476584</v>
      </c>
      <c r="AN146" s="60">
        <f ca="1">AVERAGE(OFFSET($AM$3,0,0,'Données projet'!$E$10+1,1))-AVERAGE(OFFSET($H$3,0,0,'Données projet'!$E$10+1,1))</f>
        <v>428.8489304403459</v>
      </c>
      <c r="AO146" s="60">
        <f t="shared" si="144"/>
        <v>247.01165577562966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projet'!$B$11,Paramètres!$A$1:$I$89,3,0)*VLOOKUP('Données projet'!$B$11,Paramètres!$A$1:$I$89,5,0)</f>
        <v>-1.9065282685915009E-13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374.79806286316051</v>
      </c>
      <c r="BJ146" s="60">
        <f t="shared" si="146"/>
        <v>350.01856672839466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0.97062923941228074</v>
      </c>
      <c r="BR146" s="23">
        <f>EXP(-LN(2)/2)*BR145+(1-EXP(-LN(2)/2))/(LN(2)/2)*BL146*BO146*VLOOKUP('Données projet'!$B$11,Paramètres!$A$1:$I$89,3,0)*0.475*44/12</f>
        <v>1.0802021250245253E-16</v>
      </c>
      <c r="BS146" s="24">
        <f t="shared" si="117"/>
        <v>0.97062923941228085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249.90575999999925</v>
      </c>
      <c r="CA146" s="14">
        <f t="shared" si="147"/>
        <v>60.565760331923727</v>
      </c>
      <c r="CB146" s="22">
        <f t="shared" si="118"/>
        <v>540.73789791143247</v>
      </c>
      <c r="CC146" s="60">
        <f t="shared" si="119"/>
        <v>834.07123124476584</v>
      </c>
      <c r="CD146" s="60">
        <f ca="1">AVERAGE(OFFSET($CC$3,0,0,'Données projet'!$E$12+1,1))-AVERAGE(OFFSET($H$3,0,0,'Données projet'!$E$12+1,1))</f>
        <v>428.8489304403459</v>
      </c>
      <c r="CE146" s="60">
        <f t="shared" si="148"/>
        <v>247.01165577562966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-1.7053025658242404E-13</v>
      </c>
      <c r="CU146" s="18">
        <f>CT146*VLOOKUP('Données projet'!$B$13,Paramètres!$A$1:$I$89,3,0)*VLOOKUP('Données projet'!$B$13,Paramètres!$A$1:$I$89,5,0)</f>
        <v>-1.6227659216383472E-13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354.63118425028898</v>
      </c>
      <c r="CZ146" s="60">
        <f t="shared" si="150"/>
        <v>244.7141066773861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267.14063999999922</v>
      </c>
      <c r="DQ146" s="14">
        <f t="shared" si="151"/>
        <v>64.242065428895785</v>
      </c>
      <c r="DR146" s="22">
        <f t="shared" si="124"/>
        <v>577.15821195532533</v>
      </c>
      <c r="DS146" s="60">
        <f t="shared" si="125"/>
        <v>870.4915452886587</v>
      </c>
      <c r="DT146" s="60">
        <f ca="1">AVERAGE(OFFSET($DS$3,0,0,'Données projet'!$E$14+1,1))-AVERAGE(OFFSET($H$3,0,0,'Données projet'!$E$14+1,1))</f>
        <v>455.50822833641354</v>
      </c>
      <c r="DU146" s="60">
        <f t="shared" si="152"/>
        <v>261.14722581688039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207.03241199974599</v>
      </c>
      <c r="EP146" s="60">
        <f t="shared" si="154"/>
        <v>314.188568589113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1.4403475574133153</v>
      </c>
      <c r="EW146" s="23">
        <f>EXP(-LN(2)/25)*EW145+(1-EXP(-LN(2)/25))/(LN(2)/25)*Calculateur!ER146*Calculateur!ET146*VLOOKUP('Données projet'!$B$15,Paramètres!$A$1:$I$89,3,0)*0.475*44/12</f>
        <v>0.42493540353465376</v>
      </c>
      <c r="EX146" s="23">
        <f>EXP(-LN(2)/2)*EX145+(1-EXP(-LN(2)/2))/(LN(2)/2)*ER146*EU146*VLOOKUP('Données projet'!$B$15,Paramètres!$A$1:$I$89,3,0)*0.475*44/12</f>
        <v>2.869763670555477E-17</v>
      </c>
      <c r="EY146" s="24">
        <f t="shared" si="129"/>
        <v>1.8652829609479691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 t="e">
        <f>N147*VLOOKUP('Données projet'!$B$9,Paramètres!$A$1:$I$89,3,0)*VLOOKUP('Données projet'!$B$9,Paramètres!$A$1:$I$89,5,0)</f>
        <v>#N/A</v>
      </c>
      <c r="P147" s="14" t="e">
        <f t="shared" si="141"/>
        <v>#N/A</v>
      </c>
      <c r="Q147" s="22" t="e">
        <f t="shared" si="108"/>
        <v>#N/A</v>
      </c>
      <c r="R147" s="60" t="e">
        <f t="shared" si="109"/>
        <v>#N/A</v>
      </c>
      <c r="S147" s="60" t="e">
        <f ca="1">AVERAGE(OFFSET($R$3,0,0,'Données projet'!$E$9+1,1))-AVERAGE(OFFSET($H$3,0,0,'Données projet'!$E$9+1,1))</f>
        <v>#N/A</v>
      </c>
      <c r="T147" s="60" t="e">
        <f t="shared" si="142"/>
        <v>#N/A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 t="e">
        <f>EXP(-LN(2)/35)*Z146+(1-EXP(-LN(2)/35))/(LN(2)/35)*V147*W147*VLOOKUP('Données projet'!$B$9,Paramètres!$A$1:$I$89,3,0)*0.475*44/12</f>
        <v>#N/A</v>
      </c>
      <c r="AA147" s="23" t="e">
        <f>EXP(-LN(2)/25)*AA146+(1-EXP(-LN(2)/25))/(LN(2)/25)*Calculateur!V147*Calculateur!X147*VLOOKUP('Données projet'!$B$9,Paramètres!$A$1:$I$89,3,0)*0.475*44/12</f>
        <v>#N/A</v>
      </c>
      <c r="AB147" s="23" t="e">
        <f>EXP(-LN(2)/2)*AB146+(1-EXP(-LN(2)/2))/(LN(2)/2)*V147*Y147*VLOOKUP('Données projet'!$B$9,Paramètres!$A$1:$I$89,3,0)*0.475*44/12</f>
        <v>#N/A</v>
      </c>
      <c r="AC147" s="24" t="e">
        <f t="shared" si="111"/>
        <v>#N/A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0">
        <f t="shared" si="113"/>
        <v>838.66279460250166</v>
      </c>
      <c r="AN147" s="60">
        <f ca="1">AVERAGE(OFFSET($AM$3,0,0,'Données projet'!$E$10+1,1))-AVERAGE(OFFSET($H$3,0,0,'Données projet'!$E$10+1,1))</f>
        <v>428.8489304403459</v>
      </c>
      <c r="AO147" s="60">
        <f t="shared" si="144"/>
        <v>247.01165577562966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projet'!$B$11,Paramètres!$A$1:$I$89,3,0)*VLOOKUP('Données projet'!$B$11,Paramètres!$A$1:$I$89,5,0)</f>
        <v>-1.9065282685915009E-13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374.79806286316051</v>
      </c>
      <c r="BJ147" s="60">
        <f t="shared" si="146"/>
        <v>350.01856672839466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0.94408733181737858</v>
      </c>
      <c r="BR147" s="23">
        <f>EXP(-LN(2)/2)*BR146+(1-EXP(-LN(2)/2))/(LN(2)/2)*BL147*BO147*VLOOKUP('Données projet'!$B$11,Paramètres!$A$1:$I$89,3,0)*0.475*44/12</f>
        <v>7.6381824765696071E-17</v>
      </c>
      <c r="BS147" s="24">
        <f t="shared" si="117"/>
        <v>0.94408733181737869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252.07727999999923</v>
      </c>
      <c r="CA147" s="14">
        <f t="shared" si="147"/>
        <v>61.030544652154823</v>
      </c>
      <c r="CB147" s="22">
        <f t="shared" si="118"/>
        <v>545.32946126916829</v>
      </c>
      <c r="CC147" s="60">
        <f t="shared" si="119"/>
        <v>838.66279460250166</v>
      </c>
      <c r="CD147" s="60">
        <f ca="1">AVERAGE(OFFSET($CC$3,0,0,'Données projet'!$E$12+1,1))-AVERAGE(OFFSET($H$3,0,0,'Données projet'!$E$12+1,1))</f>
        <v>428.8489304403459</v>
      </c>
      <c r="CE147" s="60">
        <f t="shared" si="148"/>
        <v>247.01165577562966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-1.7053025658242404E-13</v>
      </c>
      <c r="CU147" s="18">
        <f>CT147*VLOOKUP('Données projet'!$B$13,Paramètres!$A$1:$I$89,3,0)*VLOOKUP('Données projet'!$B$13,Paramètres!$A$1:$I$89,5,0)</f>
        <v>-1.6227659216383472E-13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354.63118425028898</v>
      </c>
      <c r="CZ147" s="60">
        <f t="shared" si="150"/>
        <v>244.7141066773861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269.46191999999922</v>
      </c>
      <c r="DQ147" s="14">
        <f t="shared" si="151"/>
        <v>64.735061876838927</v>
      </c>
      <c r="DR147" s="22">
        <f t="shared" si="124"/>
        <v>582.05974343549315</v>
      </c>
      <c r="DS147" s="60">
        <f t="shared" si="125"/>
        <v>875.3930767688264</v>
      </c>
      <c r="DT147" s="60">
        <f ca="1">AVERAGE(OFFSET($DS$3,0,0,'Données projet'!$E$14+1,1))-AVERAGE(OFFSET($H$3,0,0,'Données projet'!$E$14+1,1))</f>
        <v>455.50822833641354</v>
      </c>
      <c r="DU147" s="60">
        <f t="shared" si="152"/>
        <v>261.14722581688039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207.03241199974599</v>
      </c>
      <c r="EP147" s="60">
        <f t="shared" si="154"/>
        <v>314.188568589113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1.4121032203377031</v>
      </c>
      <c r="EW147" s="23">
        <f>EXP(-LN(2)/25)*EW146+(1-EXP(-LN(2)/25))/(LN(2)/25)*Calculateur!ER147*Calculateur!ET147*VLOOKUP('Données projet'!$B$15,Paramètres!$A$1:$I$89,3,0)*0.475*44/12</f>
        <v>0.41331552257861698</v>
      </c>
      <c r="EX147" s="23">
        <f>EXP(-LN(2)/2)*EX146+(1-EXP(-LN(2)/2))/(LN(2)/2)*ER147*EU147*VLOOKUP('Données projet'!$B$15,Paramètres!$A$1:$I$89,3,0)*0.475*44/12</f>
        <v>2.0292293518525752E-17</v>
      </c>
      <c r="EY147" s="24">
        <f t="shared" si="129"/>
        <v>1.82541874291632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 t="e">
        <f>N148*VLOOKUP('Données projet'!$B$9,Paramètres!$A$1:$I$89,3,0)*VLOOKUP('Données projet'!$B$9,Paramètres!$A$1:$I$89,5,0)</f>
        <v>#N/A</v>
      </c>
      <c r="P148" s="14" t="e">
        <f t="shared" si="141"/>
        <v>#N/A</v>
      </c>
      <c r="Q148" s="22" t="e">
        <f t="shared" si="108"/>
        <v>#N/A</v>
      </c>
      <c r="R148" s="60" t="e">
        <f t="shared" si="109"/>
        <v>#N/A</v>
      </c>
      <c r="S148" s="60" t="e">
        <f ca="1">AVERAGE(OFFSET($R$3,0,0,'Données projet'!$E$9+1,1))-AVERAGE(OFFSET($H$3,0,0,'Données projet'!$E$9+1,1))</f>
        <v>#N/A</v>
      </c>
      <c r="T148" s="60" t="e">
        <f t="shared" si="142"/>
        <v>#N/A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 t="e">
        <f>EXP(-LN(2)/35)*Z147+(1-EXP(-LN(2)/35))/(LN(2)/35)*V148*W148*VLOOKUP('Données projet'!$B$9,Paramètres!$A$1:$I$89,3,0)*0.475*44/12</f>
        <v>#N/A</v>
      </c>
      <c r="AA148" s="23" t="e">
        <f>EXP(-LN(2)/25)*AA147+(1-EXP(-LN(2)/25))/(LN(2)/25)*Calculateur!V148*Calculateur!X148*VLOOKUP('Données projet'!$B$9,Paramètres!$A$1:$I$89,3,0)*0.475*44/12</f>
        <v>#N/A</v>
      </c>
      <c r="AB148" s="23" t="e">
        <f>EXP(-LN(2)/2)*AB147+(1-EXP(-LN(2)/2))/(LN(2)/2)*V148*Y148*VLOOKUP('Données projet'!$B$9,Paramètres!$A$1:$I$89,3,0)*0.475*44/12</f>
        <v>#N/A</v>
      </c>
      <c r="AC148" s="24" t="e">
        <f t="shared" si="111"/>
        <v>#N/A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0">
        <f t="shared" si="113"/>
        <v>843.25354664883753</v>
      </c>
      <c r="AN148" s="60">
        <f ca="1">AVERAGE(OFFSET($AM$3,0,0,'Données projet'!$E$10+1,1))-AVERAGE(OFFSET($H$3,0,0,'Données projet'!$E$10+1,1))</f>
        <v>428.8489304403459</v>
      </c>
      <c r="AO148" s="60">
        <f t="shared" si="144"/>
        <v>247.01165577562966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projet'!$B$11,Paramètres!$A$1:$I$89,3,0)*VLOOKUP('Données projet'!$B$11,Paramètres!$A$1:$I$89,5,0)</f>
        <v>-1.9065282685915009E-13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374.79806286316051</v>
      </c>
      <c r="BJ148" s="60">
        <f t="shared" si="146"/>
        <v>350.01856672839466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0.9182712140814373</v>
      </c>
      <c r="BR148" s="23">
        <f>EXP(-LN(2)/2)*BR147+(1-EXP(-LN(2)/2))/(LN(2)/2)*BL148*BO148*VLOOKUP('Données projet'!$B$11,Paramètres!$A$1:$I$89,3,0)*0.475*44/12</f>
        <v>5.4010106251226273E-17</v>
      </c>
      <c r="BS148" s="24">
        <f t="shared" si="117"/>
        <v>0.9182712140814373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254.24879999999925</v>
      </c>
      <c r="CA148" s="14">
        <f t="shared" si="147"/>
        <v>61.494863147658698</v>
      </c>
      <c r="CB148" s="22">
        <f t="shared" si="118"/>
        <v>549.92021331550427</v>
      </c>
      <c r="CC148" s="60">
        <f t="shared" si="119"/>
        <v>843.25354664883753</v>
      </c>
      <c r="CD148" s="60">
        <f ca="1">AVERAGE(OFFSET($CC$3,0,0,'Données projet'!$E$12+1,1))-AVERAGE(OFFSET($H$3,0,0,'Données projet'!$E$12+1,1))</f>
        <v>428.8489304403459</v>
      </c>
      <c r="CE148" s="60">
        <f t="shared" si="148"/>
        <v>247.01165577562966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-1.7053025658242404E-13</v>
      </c>
      <c r="CU148" s="18">
        <f>CT148*VLOOKUP('Données projet'!$B$13,Paramètres!$A$1:$I$89,3,0)*VLOOKUP('Données projet'!$B$13,Paramètres!$A$1:$I$89,5,0)</f>
        <v>-1.6227659216383472E-13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354.63118425028898</v>
      </c>
      <c r="CZ148" s="60">
        <f t="shared" si="150"/>
        <v>244.7141066773861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271.78319999999917</v>
      </c>
      <c r="DQ148" s="14">
        <f t="shared" si="151"/>
        <v>65.227564224775008</v>
      </c>
      <c r="DR148" s="22">
        <f t="shared" si="124"/>
        <v>586.96041435814834</v>
      </c>
      <c r="DS148" s="60">
        <f t="shared" si="125"/>
        <v>880.29374769148171</v>
      </c>
      <c r="DT148" s="60">
        <f ca="1">AVERAGE(OFFSET($DS$3,0,0,'Données projet'!$E$14+1,1))-AVERAGE(OFFSET($H$3,0,0,'Données projet'!$E$14+1,1))</f>
        <v>455.50822833641354</v>
      </c>
      <c r="DU148" s="60">
        <f t="shared" si="152"/>
        <v>261.14722581688039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207.03241199974599</v>
      </c>
      <c r="EP148" s="60">
        <f t="shared" si="154"/>
        <v>314.188568589113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1.384412737484799</v>
      </c>
      <c r="EW148" s="23">
        <f>EXP(-LN(2)/25)*EW147+(1-EXP(-LN(2)/25))/(LN(2)/25)*Calculateur!ER148*Calculateur!ET148*VLOOKUP('Données projet'!$B$15,Paramètres!$A$1:$I$89,3,0)*0.475*44/12</f>
        <v>0.40201338787838603</v>
      </c>
      <c r="EX148" s="23">
        <f>EXP(-LN(2)/2)*EX147+(1-EXP(-LN(2)/2))/(LN(2)/2)*ER148*EU148*VLOOKUP('Données projet'!$B$15,Paramètres!$A$1:$I$89,3,0)*0.475*44/12</f>
        <v>1.4348818352777385E-17</v>
      </c>
      <c r="EY148" s="24">
        <f t="shared" si="129"/>
        <v>1.786426125363185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 t="e">
        <f>N149*VLOOKUP('Données projet'!$B$9,Paramètres!$A$1:$I$89,3,0)*VLOOKUP('Données projet'!$B$9,Paramètres!$A$1:$I$89,5,0)</f>
        <v>#N/A</v>
      </c>
      <c r="P149" s="14" t="e">
        <f t="shared" si="141"/>
        <v>#N/A</v>
      </c>
      <c r="Q149" s="22" t="e">
        <f t="shared" si="108"/>
        <v>#N/A</v>
      </c>
      <c r="R149" s="60" t="e">
        <f t="shared" si="109"/>
        <v>#N/A</v>
      </c>
      <c r="S149" s="60" t="e">
        <f ca="1">AVERAGE(OFFSET($R$3,0,0,'Données projet'!$E$9+1,1))-AVERAGE(OFFSET($H$3,0,0,'Données projet'!$E$9+1,1))</f>
        <v>#N/A</v>
      </c>
      <c r="T149" s="60" t="e">
        <f t="shared" si="142"/>
        <v>#N/A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 t="e">
        <f>EXP(-LN(2)/35)*Z148+(1-EXP(-LN(2)/35))/(LN(2)/35)*V149*W149*VLOOKUP('Données projet'!$B$9,Paramètres!$A$1:$I$89,3,0)*0.475*44/12</f>
        <v>#N/A</v>
      </c>
      <c r="AA149" s="23" t="e">
        <f>EXP(-LN(2)/25)*AA148+(1-EXP(-LN(2)/25))/(LN(2)/25)*Calculateur!V149*Calculateur!X149*VLOOKUP('Données projet'!$B$9,Paramètres!$A$1:$I$89,3,0)*0.475*44/12</f>
        <v>#N/A</v>
      </c>
      <c r="AB149" s="23" t="e">
        <f>EXP(-LN(2)/2)*AB148+(1-EXP(-LN(2)/2))/(LN(2)/2)*V149*Y149*VLOOKUP('Données projet'!$B$9,Paramètres!$A$1:$I$89,3,0)*0.475*44/12</f>
        <v>#N/A</v>
      </c>
      <c r="AC149" s="24" t="e">
        <f t="shared" si="111"/>
        <v>#N/A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0">
        <f t="shared" si="113"/>
        <v>847.84349511604432</v>
      </c>
      <c r="AN149" s="60">
        <f ca="1">AVERAGE(OFFSET($AM$3,0,0,'Données projet'!$E$10+1,1))-AVERAGE(OFFSET($H$3,0,0,'Données projet'!$E$10+1,1))</f>
        <v>428.8489304403459</v>
      </c>
      <c r="AO149" s="60">
        <f t="shared" si="144"/>
        <v>247.01165577562966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projet'!$B$11,Paramètres!$A$1:$I$89,3,0)*VLOOKUP('Données projet'!$B$11,Paramètres!$A$1:$I$89,5,0)</f>
        <v>-1.9065282685915009E-13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374.79806286316051</v>
      </c>
      <c r="BJ149" s="60">
        <f t="shared" si="146"/>
        <v>350.01856672839466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0.89316103944259595</v>
      </c>
      <c r="BR149" s="23">
        <f>EXP(-LN(2)/2)*BR148+(1-EXP(-LN(2)/2))/(LN(2)/2)*BL149*BO149*VLOOKUP('Données projet'!$B$11,Paramètres!$A$1:$I$89,3,0)*0.475*44/12</f>
        <v>3.8190912382848042E-17</v>
      </c>
      <c r="BS149" s="24">
        <f t="shared" si="117"/>
        <v>0.89316103944259595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256.42031999999921</v>
      </c>
      <c r="CA149" s="14">
        <f t="shared" si="147"/>
        <v>61.958720258016747</v>
      </c>
      <c r="CB149" s="22">
        <f t="shared" si="118"/>
        <v>554.51016178271107</v>
      </c>
      <c r="CC149" s="60">
        <f t="shared" si="119"/>
        <v>847.84349511604432</v>
      </c>
      <c r="CD149" s="60">
        <f ca="1">AVERAGE(OFFSET($CC$3,0,0,'Données projet'!$E$12+1,1))-AVERAGE(OFFSET($H$3,0,0,'Données projet'!$E$12+1,1))</f>
        <v>428.8489304403459</v>
      </c>
      <c r="CE149" s="60">
        <f t="shared" si="148"/>
        <v>247.01165577562966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-1.7053025658242404E-13</v>
      </c>
      <c r="CU149" s="18">
        <f>CT149*VLOOKUP('Données projet'!$B$13,Paramètres!$A$1:$I$89,3,0)*VLOOKUP('Données projet'!$B$13,Paramètres!$A$1:$I$89,5,0)</f>
        <v>-1.6227659216383472E-13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354.63118425028898</v>
      </c>
      <c r="CZ149" s="60">
        <f t="shared" si="150"/>
        <v>244.7141066773861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274.10447999999917</v>
      </c>
      <c r="DQ149" s="14">
        <f t="shared" si="151"/>
        <v>65.719577181765331</v>
      </c>
      <c r="DR149" s="22">
        <f t="shared" si="124"/>
        <v>591.86023292490643</v>
      </c>
      <c r="DS149" s="60">
        <f t="shared" si="125"/>
        <v>885.1935662582398</v>
      </c>
      <c r="DT149" s="60">
        <f ca="1">AVERAGE(OFFSET($DS$3,0,0,'Données projet'!$E$14+1,1))-AVERAGE(OFFSET($H$3,0,0,'Données projet'!$E$14+1,1))</f>
        <v>455.50822833641354</v>
      </c>
      <c r="DU149" s="60">
        <f t="shared" si="152"/>
        <v>261.14722581688039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207.03241199974599</v>
      </c>
      <c r="EP149" s="60">
        <f t="shared" si="154"/>
        <v>314.188568589113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1.3572652481111136</v>
      </c>
      <c r="EW149" s="23">
        <f>EXP(-LN(2)/25)*EW148+(1-EXP(-LN(2)/25))/(LN(2)/25)*Calculateur!ER149*Calculateur!ET149*VLOOKUP('Données projet'!$B$15,Paramètres!$A$1:$I$89,3,0)*0.475*44/12</f>
        <v>0.39102031064588633</v>
      </c>
      <c r="EX149" s="23">
        <f>EXP(-LN(2)/2)*EX148+(1-EXP(-LN(2)/2))/(LN(2)/2)*ER149*EU149*VLOOKUP('Données projet'!$B$15,Paramètres!$A$1:$I$89,3,0)*0.475*44/12</f>
        <v>1.0146146759262876E-17</v>
      </c>
      <c r="EY149" s="24">
        <f t="shared" si="129"/>
        <v>1.7482855587569999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 t="e">
        <f>N150*VLOOKUP('Données projet'!$B$9,Paramètres!$A$1:$I$89,3,0)*VLOOKUP('Données projet'!$B$9,Paramètres!$A$1:$I$89,5,0)</f>
        <v>#N/A</v>
      </c>
      <c r="P150" s="14" t="e">
        <f t="shared" si="141"/>
        <v>#N/A</v>
      </c>
      <c r="Q150" s="22" t="e">
        <f t="shared" si="108"/>
        <v>#N/A</v>
      </c>
      <c r="R150" s="60" t="e">
        <f t="shared" si="109"/>
        <v>#N/A</v>
      </c>
      <c r="S150" s="60" t="e">
        <f ca="1">AVERAGE(OFFSET($R$3,0,0,'Données projet'!$E$9+1,1))-AVERAGE(OFFSET($H$3,0,0,'Données projet'!$E$9+1,1))</f>
        <v>#N/A</v>
      </c>
      <c r="T150" s="60" t="e">
        <f t="shared" si="142"/>
        <v>#N/A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 t="e">
        <f>EXP(-LN(2)/35)*Z149+(1-EXP(-LN(2)/35))/(LN(2)/35)*V150*W150*VLOOKUP('Données projet'!$B$9,Paramètres!$A$1:$I$89,3,0)*0.475*44/12</f>
        <v>#N/A</v>
      </c>
      <c r="AA150" s="23" t="e">
        <f>EXP(-LN(2)/25)*AA149+(1-EXP(-LN(2)/25))/(LN(2)/25)*Calculateur!V150*Calculateur!X150*VLOOKUP('Données projet'!$B$9,Paramètres!$A$1:$I$89,3,0)*0.475*44/12</f>
        <v>#N/A</v>
      </c>
      <c r="AB150" s="23" t="e">
        <f>EXP(-LN(2)/2)*AB149+(1-EXP(-LN(2)/2))/(LN(2)/2)*V150*Y150*VLOOKUP('Données projet'!$B$9,Paramètres!$A$1:$I$89,3,0)*0.475*44/12</f>
        <v>#N/A</v>
      </c>
      <c r="AC150" s="24" t="e">
        <f t="shared" si="111"/>
        <v>#N/A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0">
        <f t="shared" si="113"/>
        <v>852.43264759787166</v>
      </c>
      <c r="AN150" s="60">
        <f ca="1">AVERAGE(OFFSET($AM$3,0,0,'Données projet'!$E$10+1,1))-AVERAGE(OFFSET($H$3,0,0,'Données projet'!$E$10+1,1))</f>
        <v>428.8489304403459</v>
      </c>
      <c r="AO150" s="60">
        <f t="shared" si="144"/>
        <v>247.01165577562966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projet'!$B$11,Paramètres!$A$1:$I$89,3,0)*VLOOKUP('Données projet'!$B$11,Paramètres!$A$1:$I$89,5,0)</f>
        <v>-1.9065282685915009E-13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374.79806286316051</v>
      </c>
      <c r="BJ150" s="60">
        <f t="shared" si="146"/>
        <v>350.01856672839466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0.86873750384974047</v>
      </c>
      <c r="BR150" s="23">
        <f>EXP(-LN(2)/2)*BR149+(1-EXP(-LN(2)/2))/(LN(2)/2)*BL150*BO150*VLOOKUP('Données projet'!$B$11,Paramètres!$A$1:$I$89,3,0)*0.475*44/12</f>
        <v>2.7005053125613139E-17</v>
      </c>
      <c r="BS150" s="24">
        <f t="shared" si="117"/>
        <v>0.86873750384974047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258.59183999999919</v>
      </c>
      <c r="CA150" s="14">
        <f t="shared" si="147"/>
        <v>62.422120343276475</v>
      </c>
      <c r="CB150" s="22">
        <f t="shared" si="118"/>
        <v>559.09931426453841</v>
      </c>
      <c r="CC150" s="60">
        <f t="shared" si="119"/>
        <v>852.43264759787166</v>
      </c>
      <c r="CD150" s="60">
        <f ca="1">AVERAGE(OFFSET($CC$3,0,0,'Données projet'!$E$12+1,1))-AVERAGE(OFFSET($H$3,0,0,'Données projet'!$E$12+1,1))</f>
        <v>428.8489304403459</v>
      </c>
      <c r="CE150" s="60">
        <f t="shared" si="148"/>
        <v>247.01165577562966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-1.7053025658242404E-13</v>
      </c>
      <c r="CU150" s="18">
        <f>CT150*VLOOKUP('Données projet'!$B$13,Paramètres!$A$1:$I$89,3,0)*VLOOKUP('Données projet'!$B$13,Paramètres!$A$1:$I$89,5,0)</f>
        <v>-1.6227659216383472E-13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354.63118425028898</v>
      </c>
      <c r="CZ150" s="60">
        <f t="shared" si="150"/>
        <v>244.7141066773861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276.42575999999912</v>
      </c>
      <c r="DQ150" s="14">
        <f t="shared" si="151"/>
        <v>66.211105372509707</v>
      </c>
      <c r="DR150" s="22">
        <f t="shared" si="124"/>
        <v>596.75920719045291</v>
      </c>
      <c r="DS150" s="60">
        <f t="shared" si="125"/>
        <v>890.09254052378628</v>
      </c>
      <c r="DT150" s="60">
        <f ca="1">AVERAGE(OFFSET($DS$3,0,0,'Données projet'!$E$14+1,1))-AVERAGE(OFFSET($H$3,0,0,'Données projet'!$E$14+1,1))</f>
        <v>455.50822833641354</v>
      </c>
      <c r="DU150" s="60">
        <f t="shared" si="152"/>
        <v>261.14722581688039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207.03241199974599</v>
      </c>
      <c r="EP150" s="60">
        <f t="shared" si="154"/>
        <v>314.188568589113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1.3306501044457126</v>
      </c>
      <c r="EW150" s="23">
        <f>EXP(-LN(2)/25)*EW149+(1-EXP(-LN(2)/25))/(LN(2)/25)*Calculateur!ER150*Calculateur!ET150*VLOOKUP('Données projet'!$B$15,Paramètres!$A$1:$I$89,3,0)*0.475*44/12</f>
        <v>0.38032783968841011</v>
      </c>
      <c r="EX150" s="23">
        <f>EXP(-LN(2)/2)*EX149+(1-EXP(-LN(2)/2))/(LN(2)/2)*ER150*EU150*VLOOKUP('Données projet'!$B$15,Paramètres!$A$1:$I$89,3,0)*0.475*44/12</f>
        <v>7.1744091763886925E-18</v>
      </c>
      <c r="EY150" s="24">
        <f t="shared" si="129"/>
        <v>1.7109779441341226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 t="e">
        <f>N151*VLOOKUP('Données projet'!$B$9,Paramètres!$A$1:$I$89,3,0)*VLOOKUP('Données projet'!$B$9,Paramètres!$A$1:$I$89,5,0)</f>
        <v>#N/A</v>
      </c>
      <c r="P151" s="14" t="e">
        <f t="shared" si="141"/>
        <v>#N/A</v>
      </c>
      <c r="Q151" s="22" t="e">
        <f t="shared" si="108"/>
        <v>#N/A</v>
      </c>
      <c r="R151" s="60" t="e">
        <f t="shared" si="109"/>
        <v>#N/A</v>
      </c>
      <c r="S151" s="60" t="e">
        <f ca="1">AVERAGE(OFFSET($R$3,0,0,'Données projet'!$E$9+1,1))-AVERAGE(OFFSET($H$3,0,0,'Données projet'!$E$9+1,1))</f>
        <v>#N/A</v>
      </c>
      <c r="T151" s="60" t="e">
        <f t="shared" si="142"/>
        <v>#N/A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 t="e">
        <f>EXP(-LN(2)/35)*Z150+(1-EXP(-LN(2)/35))/(LN(2)/35)*V151*W151*VLOOKUP('Données projet'!$B$9,Paramètres!$A$1:$I$89,3,0)*0.475*44/12</f>
        <v>#N/A</v>
      </c>
      <c r="AA151" s="23" t="e">
        <f>EXP(-LN(2)/25)*AA150+(1-EXP(-LN(2)/25))/(LN(2)/25)*Calculateur!V151*Calculateur!X151*VLOOKUP('Données projet'!$B$9,Paramètres!$A$1:$I$89,3,0)*0.475*44/12</f>
        <v>#N/A</v>
      </c>
      <c r="AB151" s="23" t="e">
        <f>EXP(-LN(2)/2)*AB150+(1-EXP(-LN(2)/2))/(LN(2)/2)*V151*Y151*VLOOKUP('Données projet'!$B$9,Paramètres!$A$1:$I$89,3,0)*0.475*44/12</f>
        <v>#N/A</v>
      </c>
      <c r="AC151" s="24" t="e">
        <f t="shared" si="111"/>
        <v>#N/A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0">
        <f t="shared" si="113"/>
        <v>857.02101155317064</v>
      </c>
      <c r="AN151" s="60">
        <f ca="1">AVERAGE(OFFSET($AM$3,0,0,'Données projet'!$E$10+1,1))-AVERAGE(OFFSET($H$3,0,0,'Données projet'!$E$10+1,1))</f>
        <v>428.8489304403459</v>
      </c>
      <c r="AO151" s="60">
        <f t="shared" si="144"/>
        <v>247.01165577562966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projet'!$B$11,Paramètres!$A$1:$I$89,3,0)*VLOOKUP('Données projet'!$B$11,Paramètres!$A$1:$I$89,5,0)</f>
        <v>-1.9065282685915009E-13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374.79806286316051</v>
      </c>
      <c r="BJ151" s="60">
        <f t="shared" si="146"/>
        <v>350.01856672839466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0.8449818311220495</v>
      </c>
      <c r="BR151" s="23">
        <f>EXP(-LN(2)/2)*BR150+(1-EXP(-LN(2)/2))/(LN(2)/2)*BL151*BO151*VLOOKUP('Données projet'!$B$11,Paramètres!$A$1:$I$89,3,0)*0.475*44/12</f>
        <v>1.9095456191424024E-17</v>
      </c>
      <c r="BS151" s="24">
        <f t="shared" si="117"/>
        <v>0.8449818311220495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260.76335999999918</v>
      </c>
      <c r="CA151" s="14">
        <f t="shared" si="147"/>
        <v>62.885067686031789</v>
      </c>
      <c r="CB151" s="22">
        <f t="shared" si="118"/>
        <v>563.68767821983727</v>
      </c>
      <c r="CC151" s="60">
        <f t="shared" si="119"/>
        <v>857.02101155317064</v>
      </c>
      <c r="CD151" s="60">
        <f ca="1">AVERAGE(OFFSET($CC$3,0,0,'Données projet'!$E$12+1,1))-AVERAGE(OFFSET($H$3,0,0,'Données projet'!$E$12+1,1))</f>
        <v>428.8489304403459</v>
      </c>
      <c r="CE151" s="60">
        <f t="shared" si="148"/>
        <v>247.01165577562966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-1.7053025658242404E-13</v>
      </c>
      <c r="CU151" s="18">
        <f>CT151*VLOOKUP('Données projet'!$B$13,Paramètres!$A$1:$I$89,3,0)*VLOOKUP('Données projet'!$B$13,Paramètres!$A$1:$I$89,5,0)</f>
        <v>-1.6227659216383472E-13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354.63118425028898</v>
      </c>
      <c r="CZ151" s="60">
        <f t="shared" si="150"/>
        <v>244.7141066773861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278.74703999999912</v>
      </c>
      <c r="DQ151" s="14">
        <f t="shared" si="151"/>
        <v>66.702153339553078</v>
      </c>
      <c r="DR151" s="22">
        <f t="shared" si="124"/>
        <v>601.65734506638671</v>
      </c>
      <c r="DS151" s="60">
        <f t="shared" si="125"/>
        <v>894.99067839972008</v>
      </c>
      <c r="DT151" s="60">
        <f ca="1">AVERAGE(OFFSET($DS$3,0,0,'Données projet'!$E$14+1,1))-AVERAGE(OFFSET($H$3,0,0,'Données projet'!$E$14+1,1))</f>
        <v>455.50822833641354</v>
      </c>
      <c r="DU151" s="60">
        <f t="shared" si="152"/>
        <v>261.14722581688039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207.03241199974599</v>
      </c>
      <c r="EP151" s="60">
        <f t="shared" si="154"/>
        <v>314.188568589113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1.3045568675139554</v>
      </c>
      <c r="EW151" s="23">
        <f>EXP(-LN(2)/25)*EW150+(1-EXP(-LN(2)/25))/(LN(2)/25)*Calculateur!ER151*Calculateur!ET151*VLOOKUP('Données projet'!$B$15,Paramètres!$A$1:$I$89,3,0)*0.475*44/12</f>
        <v>0.36992775491155871</v>
      </c>
      <c r="EX151" s="23">
        <f>EXP(-LN(2)/2)*EX150+(1-EXP(-LN(2)/2))/(LN(2)/2)*ER151*EU151*VLOOKUP('Données projet'!$B$15,Paramètres!$A$1:$I$89,3,0)*0.475*44/12</f>
        <v>5.0730733796314379E-18</v>
      </c>
      <c r="EY151" s="24">
        <f t="shared" si="129"/>
        <v>1.6744846224255141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 t="e">
        <f>N152*VLOOKUP('Données projet'!$B$9,Paramètres!$A$1:$I$89,3,0)*VLOOKUP('Données projet'!$B$9,Paramètres!$A$1:$I$89,5,0)</f>
        <v>#N/A</v>
      </c>
      <c r="P152" s="14" t="e">
        <f t="shared" si="141"/>
        <v>#N/A</v>
      </c>
      <c r="Q152" s="22" t="e">
        <f t="shared" si="108"/>
        <v>#N/A</v>
      </c>
      <c r="R152" s="60" t="e">
        <f t="shared" si="109"/>
        <v>#N/A</v>
      </c>
      <c r="S152" s="60" t="e">
        <f ca="1">AVERAGE(OFFSET($R$3,0,0,'Données projet'!$E$9+1,1))-AVERAGE(OFFSET($H$3,0,0,'Données projet'!$E$9+1,1))</f>
        <v>#N/A</v>
      </c>
      <c r="T152" s="60" t="e">
        <f t="shared" si="142"/>
        <v>#N/A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 t="e">
        <f>EXP(-LN(2)/35)*Z151+(1-EXP(-LN(2)/35))/(LN(2)/35)*V152*W152*VLOOKUP('Données projet'!$B$9,Paramètres!$A$1:$I$89,3,0)*0.475*44/12</f>
        <v>#N/A</v>
      </c>
      <c r="AA152" s="23" t="e">
        <f>EXP(-LN(2)/25)*AA151+(1-EXP(-LN(2)/25))/(LN(2)/25)*Calculateur!V152*Calculateur!X152*VLOOKUP('Données projet'!$B$9,Paramètres!$A$1:$I$89,3,0)*0.475*44/12</f>
        <v>#N/A</v>
      </c>
      <c r="AB152" s="23" t="e">
        <f>EXP(-LN(2)/2)*AB151+(1-EXP(-LN(2)/2))/(LN(2)/2)*V152*Y152*VLOOKUP('Données projet'!$B$9,Paramètres!$A$1:$I$89,3,0)*0.475*44/12</f>
        <v>#N/A</v>
      </c>
      <c r="AC152" s="24" t="e">
        <f t="shared" si="111"/>
        <v>#N/A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0">
        <f t="shared" si="113"/>
        <v>861.60859430939354</v>
      </c>
      <c r="AN152" s="60">
        <f ca="1">AVERAGE(OFFSET($AM$3,0,0,'Données projet'!$E$10+1,1))-AVERAGE(OFFSET($H$3,0,0,'Données projet'!$E$10+1,1))</f>
        <v>428.8489304403459</v>
      </c>
      <c r="AO152" s="60">
        <f t="shared" si="144"/>
        <v>247.01165577562966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projet'!$B$11,Paramètres!$A$1:$I$89,3,0)*VLOOKUP('Données projet'!$B$11,Paramètres!$A$1:$I$89,5,0)</f>
        <v>-1.9065282685915009E-13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374.79806286316051</v>
      </c>
      <c r="BJ152" s="60">
        <f t="shared" si="146"/>
        <v>350.01856672839466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0.82187575851435379</v>
      </c>
      <c r="BR152" s="23">
        <f>EXP(-LN(2)/2)*BR151+(1-EXP(-LN(2)/2))/(LN(2)/2)*BL152*BO152*VLOOKUP('Données projet'!$B$11,Paramètres!$A$1:$I$89,3,0)*0.475*44/12</f>
        <v>1.3502526562806573E-17</v>
      </c>
      <c r="BS152" s="24">
        <f t="shared" si="117"/>
        <v>0.82187575851435379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262.93487999999911</v>
      </c>
      <c r="CA152" s="14">
        <f t="shared" si="147"/>
        <v>63.347566493432595</v>
      </c>
      <c r="CB152" s="22">
        <f t="shared" si="118"/>
        <v>568.27526097606028</v>
      </c>
      <c r="CC152" s="60">
        <f t="shared" si="119"/>
        <v>861.60859430939354</v>
      </c>
      <c r="CD152" s="60">
        <f ca="1">AVERAGE(OFFSET($CC$3,0,0,'Données projet'!$E$12+1,1))-AVERAGE(OFFSET($H$3,0,0,'Données projet'!$E$12+1,1))</f>
        <v>428.8489304403459</v>
      </c>
      <c r="CE152" s="60">
        <f t="shared" si="148"/>
        <v>247.01165577562966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-1.7053025658242404E-13</v>
      </c>
      <c r="CU152" s="18">
        <f>CT152*VLOOKUP('Données projet'!$B$13,Paramètres!$A$1:$I$89,3,0)*VLOOKUP('Données projet'!$B$13,Paramètres!$A$1:$I$89,5,0)</f>
        <v>-1.6227659216383472E-13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354.63118425028898</v>
      </c>
      <c r="CZ152" s="60">
        <f t="shared" si="150"/>
        <v>244.7141066773861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281.06831999999906</v>
      </c>
      <c r="DQ152" s="14">
        <f t="shared" si="151"/>
        <v>67.192725545416479</v>
      </c>
      <c r="DR152" s="22">
        <f t="shared" si="124"/>
        <v>606.55465432493213</v>
      </c>
      <c r="DS152" s="60">
        <f t="shared" si="125"/>
        <v>899.8879876582655</v>
      </c>
      <c r="DT152" s="60">
        <f ca="1">AVERAGE(OFFSET($DS$3,0,0,'Données projet'!$E$14+1,1))-AVERAGE(OFFSET($H$3,0,0,'Données projet'!$E$14+1,1))</f>
        <v>455.50822833641354</v>
      </c>
      <c r="DU152" s="60">
        <f t="shared" si="152"/>
        <v>261.14722581688039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207.03241199974599</v>
      </c>
      <c r="EP152" s="60">
        <f t="shared" si="154"/>
        <v>314.188568589113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1.278975303043127</v>
      </c>
      <c r="EW152" s="23">
        <f>EXP(-LN(2)/25)*EW151+(1-EXP(-LN(2)/25))/(LN(2)/25)*Calculateur!ER152*Calculateur!ET152*VLOOKUP('Données projet'!$B$15,Paramètres!$A$1:$I$89,3,0)*0.475*44/12</f>
        <v>0.35981206099984697</v>
      </c>
      <c r="EX152" s="23">
        <f>EXP(-LN(2)/2)*EX151+(1-EXP(-LN(2)/2))/(LN(2)/2)*ER152*EU152*VLOOKUP('Données projet'!$B$15,Paramètres!$A$1:$I$89,3,0)*0.475*44/12</f>
        <v>3.5872045881943462E-18</v>
      </c>
      <c r="EY152" s="24">
        <f t="shared" si="129"/>
        <v>1.638787364042974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 t="e">
        <f>N153*VLOOKUP('Données projet'!$B$9,Paramètres!$A$1:$I$89,3,0)*VLOOKUP('Données projet'!$B$9,Paramètres!$A$1:$I$89,5,0)</f>
        <v>#N/A</v>
      </c>
      <c r="P153" s="14" t="e">
        <f t="shared" si="141"/>
        <v>#N/A</v>
      </c>
      <c r="Q153" s="22" t="e">
        <f t="shared" si="108"/>
        <v>#N/A</v>
      </c>
      <c r="R153" s="60" t="e">
        <f t="shared" si="109"/>
        <v>#N/A</v>
      </c>
      <c r="S153" s="60" t="e">
        <f ca="1">AVERAGE(OFFSET($R$3,0,0,'Données projet'!$E$9+1,1))-AVERAGE(OFFSET($H$3,0,0,'Données projet'!$E$9+1,1))</f>
        <v>#N/A</v>
      </c>
      <c r="T153" s="60" t="e">
        <f t="shared" si="142"/>
        <v>#N/A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 t="e">
        <f>EXP(-LN(2)/35)*Z152+(1-EXP(-LN(2)/35))/(LN(2)/35)*V153*W153*VLOOKUP('Données projet'!$B$9,Paramètres!$A$1:$I$89,3,0)*0.475*44/12</f>
        <v>#N/A</v>
      </c>
      <c r="AA153" s="23" t="e">
        <f>EXP(-LN(2)/25)*AA152+(1-EXP(-LN(2)/25))/(LN(2)/25)*Calculateur!V153*Calculateur!X153*VLOOKUP('Données projet'!$B$9,Paramètres!$A$1:$I$89,3,0)*0.475*44/12</f>
        <v>#N/A</v>
      </c>
      <c r="AB153" s="23" t="e">
        <f>EXP(-LN(2)/2)*AB152+(1-EXP(-LN(2)/2))/(LN(2)/2)*V153*Y153*VLOOKUP('Données projet'!$B$9,Paramètres!$A$1:$I$89,3,0)*0.475*44/12</f>
        <v>#N/A</v>
      </c>
      <c r="AC153" s="24" t="e">
        <f t="shared" si="111"/>
        <v>#N/A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0">
        <f t="shared" si="113"/>
        <v>866.19540306597469</v>
      </c>
      <c r="AN153" s="60">
        <f ca="1">AVERAGE(OFFSET($AM$3,0,0,'Données projet'!$E$10+1,1))-AVERAGE(OFFSET($H$3,0,0,'Données projet'!$E$10+1,1))</f>
        <v>428.8489304403459</v>
      </c>
      <c r="AO153" s="60">
        <f t="shared" si="144"/>
        <v>247.01165577562966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projet'!$B$11,Paramètres!$A$1:$I$89,3,0)*VLOOKUP('Données projet'!$B$11,Paramètres!$A$1:$I$89,5,0)</f>
        <v>-1.9065282685915009E-13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374.79806286316051</v>
      </c>
      <c r="BJ153" s="60">
        <f t="shared" si="146"/>
        <v>350.01856672839466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0.7994015226772111</v>
      </c>
      <c r="BR153" s="23">
        <f>EXP(-LN(2)/2)*BR152+(1-EXP(-LN(2)/2))/(LN(2)/2)*BL153*BO153*VLOOKUP('Données projet'!$B$11,Paramètres!$A$1:$I$89,3,0)*0.475*44/12</f>
        <v>9.5477280957120135E-18</v>
      </c>
      <c r="BS153" s="24">
        <f t="shared" si="117"/>
        <v>0.7994015226772111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265.1063999999991</v>
      </c>
      <c r="CA153" s="14">
        <f t="shared" si="147"/>
        <v>63.809620899125136</v>
      </c>
      <c r="CB153" s="22">
        <f t="shared" si="118"/>
        <v>572.86206973264132</v>
      </c>
      <c r="CC153" s="60">
        <f t="shared" si="119"/>
        <v>866.19540306597469</v>
      </c>
      <c r="CD153" s="60">
        <f ca="1">AVERAGE(OFFSET($CC$3,0,0,'Données projet'!$E$12+1,1))-AVERAGE(OFFSET($H$3,0,0,'Données projet'!$E$12+1,1))</f>
        <v>428.8489304403459</v>
      </c>
      <c r="CE153" s="60">
        <f t="shared" si="148"/>
        <v>247.01165577562966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-1.7053025658242404E-13</v>
      </c>
      <c r="CU153" s="18">
        <f>CT153*VLOOKUP('Données projet'!$B$13,Paramètres!$A$1:$I$89,3,0)*VLOOKUP('Données projet'!$B$13,Paramètres!$A$1:$I$89,5,0)</f>
        <v>-1.6227659216383472E-13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354.63118425028898</v>
      </c>
      <c r="CZ153" s="60">
        <f t="shared" si="150"/>
        <v>244.7141066773861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283.38959999999906</v>
      </c>
      <c r="DQ153" s="14">
        <f t="shared" si="151"/>
        <v>67.682826374656187</v>
      </c>
      <c r="DR153" s="22">
        <f t="shared" si="124"/>
        <v>611.45114260252456</v>
      </c>
      <c r="DS153" s="60">
        <f t="shared" si="125"/>
        <v>904.78447593585793</v>
      </c>
      <c r="DT153" s="60">
        <f ca="1">AVERAGE(OFFSET($DS$3,0,0,'Données projet'!$E$14+1,1))-AVERAGE(OFFSET($H$3,0,0,'Données projet'!$E$14+1,1))</f>
        <v>455.50822833641354</v>
      </c>
      <c r="DU153" s="60">
        <f t="shared" si="152"/>
        <v>261.14722581688039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207.03241199974599</v>
      </c>
      <c r="EP153" s="60">
        <f t="shared" si="154"/>
        <v>314.188568589113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1.2538953774483579</v>
      </c>
      <c r="EW153" s="23">
        <f>EXP(-LN(2)/25)*EW152+(1-EXP(-LN(2)/25))/(LN(2)/25)*Calculateur!ER153*Calculateur!ET153*VLOOKUP('Données projet'!$B$15,Paramètres!$A$1:$I$89,3,0)*0.475*44/12</f>
        <v>0.34997298127011223</v>
      </c>
      <c r="EX153" s="23">
        <f>EXP(-LN(2)/2)*EX152+(1-EXP(-LN(2)/2))/(LN(2)/2)*ER153*EU153*VLOOKUP('Données projet'!$B$15,Paramètres!$A$1:$I$89,3,0)*0.475*44/12</f>
        <v>2.5365366898157189E-18</v>
      </c>
      <c r="EY153" s="24">
        <f t="shared" si="129"/>
        <v>1.6038683587184701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 t="e">
        <f>N154*VLOOKUP('Données projet'!$B$9,Paramètres!$A$1:$I$89,3,0)*VLOOKUP('Données projet'!$B$9,Paramètres!$A$1:$I$89,5,0)</f>
        <v>#N/A</v>
      </c>
      <c r="P154" s="14" t="e">
        <f t="shared" si="141"/>
        <v>#N/A</v>
      </c>
      <c r="Q154" s="22" t="e">
        <f t="shared" ref="Q154:Q203" si="162">(O154+P154)*0.475*44/12</f>
        <v>#N/A</v>
      </c>
      <c r="R154" s="60" t="e">
        <f t="shared" si="109"/>
        <v>#N/A</v>
      </c>
      <c r="S154" s="60" t="e">
        <f ca="1">AVERAGE(OFFSET($R$3,0,0,'Données projet'!$E$9+1,1))-AVERAGE(OFFSET($H$3,0,0,'Données projet'!$E$9+1,1))</f>
        <v>#N/A</v>
      </c>
      <c r="T154" s="60" t="e">
        <f t="shared" si="142"/>
        <v>#N/A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 t="e">
        <f>EXP(-LN(2)/35)*Z153+(1-EXP(-LN(2)/35))/(LN(2)/35)*V154*W154*VLOOKUP('Données projet'!$B$9,Paramètres!$A$1:$I$89,3,0)*0.475*44/12</f>
        <v>#N/A</v>
      </c>
      <c r="AA154" s="23" t="e">
        <f>EXP(-LN(2)/25)*AA153+(1-EXP(-LN(2)/25))/(LN(2)/25)*Calculateur!V154*Calculateur!X154*VLOOKUP('Données projet'!$B$9,Paramètres!$A$1:$I$89,3,0)*0.475*44/12</f>
        <v>#N/A</v>
      </c>
      <c r="AB154" s="23" t="e">
        <f>EXP(-LN(2)/2)*AB153+(1-EXP(-LN(2)/2))/(LN(2)/2)*V154*Y154*VLOOKUP('Données projet'!$B$9,Paramètres!$A$1:$I$89,3,0)*0.475*44/12</f>
        <v>#N/A</v>
      </c>
      <c r="AC154" s="24" t="e">
        <f t="shared" ref="AC154:AC203" si="163">SUM(Z154:AB154)</f>
        <v>#N/A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428.8489304403459</v>
      </c>
      <c r="AO154" s="60">
        <f t="shared" si="144"/>
        <v>247.01165577562966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-1.9065282685915009E-13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374.79806286316051</v>
      </c>
      <c r="BJ154" s="60">
        <f t="shared" si="146"/>
        <v>350.01856672839466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0.7775418460009037</v>
      </c>
      <c r="BR154" s="23">
        <f>EXP(-LN(2)/2)*BR153+(1-EXP(-LN(2)/2))/(LN(2)/2)*BL154*BO154*VLOOKUP('Données projet'!$B$11,Paramètres!$A$1:$I$89,3,0)*0.475*44/12</f>
        <v>6.7512632814032872E-18</v>
      </c>
      <c r="BS154" s="24">
        <f t="shared" ref="BS154:BS203" si="169">SUM(BP154:BR154)</f>
        <v>0.7775418460009037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-8.7434273154940449E-13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428.8489304403459</v>
      </c>
      <c r="CE154" s="60">
        <f t="shared" si="148"/>
        <v>247.01165577562966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projet'!$B$13,Paramètres!$A$1:$I$89,3,0)*VLOOKUP('Données projet'!$B$13,Paramètres!$A$1:$I$89,5,0)</f>
        <v>-1.6227659216383472E-13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354.63118425028898</v>
      </c>
      <c r="CZ154" s="60">
        <f t="shared" si="150"/>
        <v>244.7141066773861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-9.3464223027694966E-13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455.50822833641354</v>
      </c>
      <c r="DU154" s="60">
        <f t="shared" si="152"/>
        <v>261.14722581688039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207.03241199974599</v>
      </c>
      <c r="EP154" s="60">
        <f t="shared" si="154"/>
        <v>314.188568589113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1.229307253897258</v>
      </c>
      <c r="EW154" s="23">
        <f>EXP(-LN(2)/25)*EW153+(1-EXP(-LN(2)/25))/(LN(2)/25)*Calculateur!ER154*Calculateur!ET154*VLOOKUP('Données projet'!$B$15,Paramètres!$A$1:$I$89,3,0)*0.475*44/12</f>
        <v>0.34040295169300178</v>
      </c>
      <c r="EX154" s="23">
        <f>EXP(-LN(2)/2)*EX153+(1-EXP(-LN(2)/2))/(LN(2)/2)*ER154*EU154*VLOOKUP('Données projet'!$B$15,Paramètres!$A$1:$I$89,3,0)*0.475*44/12</f>
        <v>1.7936022940971731E-18</v>
      </c>
      <c r="EY154" s="24">
        <f t="shared" ref="EY154:EY203" si="181">SUM(EV154:EX154)</f>
        <v>1.5697102055902599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 t="e">
        <f>N155*VLOOKUP('Données projet'!$B$9,Paramètres!$A$1:$I$89,3,0)*VLOOKUP('Données projet'!$B$9,Paramètres!$A$1:$I$89,5,0)</f>
        <v>#N/A</v>
      </c>
      <c r="P155" s="14" t="e">
        <f t="shared" si="141"/>
        <v>#N/A</v>
      </c>
      <c r="Q155" s="22" t="e">
        <f t="shared" si="162"/>
        <v>#N/A</v>
      </c>
      <c r="R155" s="60" t="e">
        <f t="shared" si="109"/>
        <v>#N/A</v>
      </c>
      <c r="S155" s="60" t="e">
        <f ca="1">AVERAGE(OFFSET($R$3,0,0,'Données projet'!$E$9+1,1))-AVERAGE(OFFSET($H$3,0,0,'Données projet'!$E$9+1,1))</f>
        <v>#N/A</v>
      </c>
      <c r="T155" s="60" t="e">
        <f t="shared" si="142"/>
        <v>#N/A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 t="e">
        <f>EXP(-LN(2)/35)*Z154+(1-EXP(-LN(2)/35))/(LN(2)/35)*V155*W155*VLOOKUP('Données projet'!$B$9,Paramètres!$A$1:$I$89,3,0)*0.475*44/12</f>
        <v>#N/A</v>
      </c>
      <c r="AA155" s="23" t="e">
        <f>EXP(-LN(2)/25)*AA154+(1-EXP(-LN(2)/25))/(LN(2)/25)*Calculateur!V155*Calculateur!X155*VLOOKUP('Données projet'!$B$9,Paramètres!$A$1:$I$89,3,0)*0.475*44/12</f>
        <v>#N/A</v>
      </c>
      <c r="AB155" s="23" t="e">
        <f>EXP(-LN(2)/2)*AB154+(1-EXP(-LN(2)/2))/(LN(2)/2)*V155*Y155*VLOOKUP('Données projet'!$B$9,Paramètres!$A$1:$I$89,3,0)*0.475*44/12</f>
        <v>#N/A</v>
      </c>
      <c r="AC155" s="24" t="e">
        <f t="shared" si="163"/>
        <v>#N/A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428.8489304403459</v>
      </c>
      <c r="AO155" s="60">
        <f t="shared" si="144"/>
        <v>247.01165577562966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-1.9065282685915009E-13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374.79806286316051</v>
      </c>
      <c r="BJ155" s="60">
        <f t="shared" si="146"/>
        <v>350.01856672839466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0.75627992333286043</v>
      </c>
      <c r="BR155" s="23">
        <f>EXP(-LN(2)/2)*BR154+(1-EXP(-LN(2)/2))/(LN(2)/2)*BL155*BO155*VLOOKUP('Données projet'!$B$11,Paramètres!$A$1:$I$89,3,0)*0.475*44/12</f>
        <v>4.7738640478560075E-18</v>
      </c>
      <c r="BS155" s="24">
        <f t="shared" si="169"/>
        <v>0.75627992333286043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-8.7434273154940449E-13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428.8489304403459</v>
      </c>
      <c r="CE155" s="60">
        <f t="shared" si="148"/>
        <v>247.01165577562966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projet'!$B$13,Paramètres!$A$1:$I$89,3,0)*VLOOKUP('Données projet'!$B$13,Paramètres!$A$1:$I$89,5,0)</f>
        <v>-1.6227659216383472E-13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354.63118425028898</v>
      </c>
      <c r="CZ155" s="60">
        <f t="shared" si="150"/>
        <v>244.7141066773861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-9.3464223027694966E-13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455.50822833641354</v>
      </c>
      <c r="DU155" s="60">
        <f t="shared" si="152"/>
        <v>261.14722581688039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207.03241199974599</v>
      </c>
      <c r="EP155" s="60">
        <f t="shared" si="154"/>
        <v>314.188568589113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1.2052012884517207</v>
      </c>
      <c r="EW155" s="23">
        <f>EXP(-LN(2)/25)*EW154+(1-EXP(-LN(2)/25))/(LN(2)/25)*Calculateur!ER155*Calculateur!ET155*VLOOKUP('Données projet'!$B$15,Paramètres!$A$1:$I$89,3,0)*0.475*44/12</f>
        <v>0.33109461507794341</v>
      </c>
      <c r="EX155" s="23">
        <f>EXP(-LN(2)/2)*EX154+(1-EXP(-LN(2)/2))/(LN(2)/2)*ER155*EU155*VLOOKUP('Données projet'!$B$15,Paramètres!$A$1:$I$89,3,0)*0.475*44/12</f>
        <v>1.2682683449078595E-18</v>
      </c>
      <c r="EY155" s="24">
        <f t="shared" si="181"/>
        <v>1.5362959035296642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 t="e">
        <f>N156*VLOOKUP('Données projet'!$B$9,Paramètres!$A$1:$I$89,3,0)*VLOOKUP('Données projet'!$B$9,Paramètres!$A$1:$I$89,5,0)</f>
        <v>#N/A</v>
      </c>
      <c r="P156" s="14" t="e">
        <f t="shared" si="141"/>
        <v>#N/A</v>
      </c>
      <c r="Q156" s="22" t="e">
        <f t="shared" si="162"/>
        <v>#N/A</v>
      </c>
      <c r="R156" s="60" t="e">
        <f t="shared" si="109"/>
        <v>#N/A</v>
      </c>
      <c r="S156" s="60" t="e">
        <f ca="1">AVERAGE(OFFSET($R$3,0,0,'Données projet'!$E$9+1,1))-AVERAGE(OFFSET($H$3,0,0,'Données projet'!$E$9+1,1))</f>
        <v>#N/A</v>
      </c>
      <c r="T156" s="60" t="e">
        <f t="shared" si="142"/>
        <v>#N/A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 t="e">
        <f>EXP(-LN(2)/35)*Z155+(1-EXP(-LN(2)/35))/(LN(2)/35)*V156*W156*VLOOKUP('Données projet'!$B$9,Paramètres!$A$1:$I$89,3,0)*0.475*44/12</f>
        <v>#N/A</v>
      </c>
      <c r="AA156" s="23" t="e">
        <f>EXP(-LN(2)/25)*AA155+(1-EXP(-LN(2)/25))/(LN(2)/25)*Calculateur!V156*Calculateur!X156*VLOOKUP('Données projet'!$B$9,Paramètres!$A$1:$I$89,3,0)*0.475*44/12</f>
        <v>#N/A</v>
      </c>
      <c r="AB156" s="23" t="e">
        <f>EXP(-LN(2)/2)*AB155+(1-EXP(-LN(2)/2))/(LN(2)/2)*V156*Y156*VLOOKUP('Données projet'!$B$9,Paramètres!$A$1:$I$89,3,0)*0.475*44/12</f>
        <v>#N/A</v>
      </c>
      <c r="AC156" s="24" t="e">
        <f t="shared" si="163"/>
        <v>#N/A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428.8489304403459</v>
      </c>
      <c r="AO156" s="60">
        <f t="shared" si="144"/>
        <v>247.01165577562966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-1.9065282685915009E-13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374.79806286316051</v>
      </c>
      <c r="BJ156" s="60">
        <f t="shared" si="146"/>
        <v>350.01856672839466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0.73559940905829069</v>
      </c>
      <c r="BR156" s="23">
        <f>EXP(-LN(2)/2)*BR155+(1-EXP(-LN(2)/2))/(LN(2)/2)*BL156*BO156*VLOOKUP('Données projet'!$B$11,Paramètres!$A$1:$I$89,3,0)*0.475*44/12</f>
        <v>3.3756316407016444E-18</v>
      </c>
      <c r="BS156" s="24">
        <f t="shared" si="169"/>
        <v>0.73559940905829069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-8.7434273154940449E-13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428.8489304403459</v>
      </c>
      <c r="CE156" s="60">
        <f t="shared" si="148"/>
        <v>247.01165577562966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projet'!$B$13,Paramètres!$A$1:$I$89,3,0)*VLOOKUP('Données projet'!$B$13,Paramètres!$A$1:$I$89,5,0)</f>
        <v>-1.6227659216383472E-13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354.63118425028898</v>
      </c>
      <c r="CZ156" s="60">
        <f t="shared" si="150"/>
        <v>244.7141066773861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-9.3464223027694966E-13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455.50822833641354</v>
      </c>
      <c r="DU156" s="60">
        <f t="shared" si="152"/>
        <v>261.14722581688039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207.03241199974599</v>
      </c>
      <c r="EP156" s="60">
        <f t="shared" si="154"/>
        <v>314.188568589113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1.1815680262853834</v>
      </c>
      <c r="EW156" s="23">
        <f>EXP(-LN(2)/25)*EW155+(1-EXP(-LN(2)/25))/(LN(2)/25)*Calculateur!ER156*Calculateur!ET156*VLOOKUP('Données projet'!$B$15,Paramètres!$A$1:$I$89,3,0)*0.475*44/12</f>
        <v>0.32204081541712798</v>
      </c>
      <c r="EX156" s="23">
        <f>EXP(-LN(2)/2)*EX155+(1-EXP(-LN(2)/2))/(LN(2)/2)*ER156*EU156*VLOOKUP('Données projet'!$B$15,Paramètres!$A$1:$I$89,3,0)*0.475*44/12</f>
        <v>8.9680114704858656E-19</v>
      </c>
      <c r="EY156" s="24">
        <f t="shared" si="181"/>
        <v>1.5036088417025113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 t="e">
        <f>N157*VLOOKUP('Données projet'!$B$9,Paramètres!$A$1:$I$89,3,0)*VLOOKUP('Données projet'!$B$9,Paramètres!$A$1:$I$89,5,0)</f>
        <v>#N/A</v>
      </c>
      <c r="P157" s="14" t="e">
        <f t="shared" si="141"/>
        <v>#N/A</v>
      </c>
      <c r="Q157" s="22" t="e">
        <f t="shared" si="162"/>
        <v>#N/A</v>
      </c>
      <c r="R157" s="60" t="e">
        <f t="shared" si="109"/>
        <v>#N/A</v>
      </c>
      <c r="S157" s="60" t="e">
        <f ca="1">AVERAGE(OFFSET($R$3,0,0,'Données projet'!$E$9+1,1))-AVERAGE(OFFSET($H$3,0,0,'Données projet'!$E$9+1,1))</f>
        <v>#N/A</v>
      </c>
      <c r="T157" s="60" t="e">
        <f t="shared" si="142"/>
        <v>#N/A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 t="e">
        <f>EXP(-LN(2)/35)*Z156+(1-EXP(-LN(2)/35))/(LN(2)/35)*V157*W157*VLOOKUP('Données projet'!$B$9,Paramètres!$A$1:$I$89,3,0)*0.475*44/12</f>
        <v>#N/A</v>
      </c>
      <c r="AA157" s="23" t="e">
        <f>EXP(-LN(2)/25)*AA156+(1-EXP(-LN(2)/25))/(LN(2)/25)*Calculateur!V157*Calculateur!X157*VLOOKUP('Données projet'!$B$9,Paramètres!$A$1:$I$89,3,0)*0.475*44/12</f>
        <v>#N/A</v>
      </c>
      <c r="AB157" s="23" t="e">
        <f>EXP(-LN(2)/2)*AB156+(1-EXP(-LN(2)/2))/(LN(2)/2)*V157*Y157*VLOOKUP('Données projet'!$B$9,Paramètres!$A$1:$I$89,3,0)*0.475*44/12</f>
        <v>#N/A</v>
      </c>
      <c r="AC157" s="24" t="e">
        <f t="shared" si="163"/>
        <v>#N/A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428.8489304403459</v>
      </c>
      <c r="AO157" s="60">
        <f t="shared" si="144"/>
        <v>247.01165577562966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-1.9065282685915009E-13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374.79806286316051</v>
      </c>
      <c r="BJ157" s="60">
        <f t="shared" si="146"/>
        <v>350.01856672839466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0.7154844045341</v>
      </c>
      <c r="BR157" s="23">
        <f>EXP(-LN(2)/2)*BR156+(1-EXP(-LN(2)/2))/(LN(2)/2)*BL157*BO157*VLOOKUP('Données projet'!$B$11,Paramètres!$A$1:$I$89,3,0)*0.475*44/12</f>
        <v>2.3869320239280042E-18</v>
      </c>
      <c r="BS157" s="24">
        <f t="shared" si="169"/>
        <v>0.7154844045341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-8.7434273154940449E-13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428.8489304403459</v>
      </c>
      <c r="CE157" s="60">
        <f t="shared" si="148"/>
        <v>247.01165577562966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projet'!$B$13,Paramètres!$A$1:$I$89,3,0)*VLOOKUP('Données projet'!$B$13,Paramètres!$A$1:$I$89,5,0)</f>
        <v>-1.6227659216383472E-13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354.63118425028898</v>
      </c>
      <c r="CZ157" s="60">
        <f t="shared" si="150"/>
        <v>244.7141066773861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-9.3464223027694966E-13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455.50822833641354</v>
      </c>
      <c r="DU157" s="60">
        <f t="shared" si="152"/>
        <v>261.14722581688039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207.03241199974599</v>
      </c>
      <c r="EP157" s="60">
        <f t="shared" si="154"/>
        <v>314.188568589113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1.1583981979752613</v>
      </c>
      <c r="EW157" s="23">
        <f>EXP(-LN(2)/25)*EW156+(1-EXP(-LN(2)/25))/(LN(2)/25)*Calculateur!ER157*Calculateur!ET157*VLOOKUP('Données projet'!$B$15,Paramètres!$A$1:$I$89,3,0)*0.475*44/12</f>
        <v>0.31323459238415619</v>
      </c>
      <c r="EX157" s="23">
        <f>EXP(-LN(2)/2)*EX156+(1-EXP(-LN(2)/2))/(LN(2)/2)*ER157*EU157*VLOOKUP('Données projet'!$B$15,Paramètres!$A$1:$I$89,3,0)*0.475*44/12</f>
        <v>6.3413417245392974E-19</v>
      </c>
      <c r="EY157" s="24">
        <f t="shared" si="181"/>
        <v>1.4716327903594175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 t="e">
        <f>N158*VLOOKUP('Données projet'!$B$9,Paramètres!$A$1:$I$89,3,0)*VLOOKUP('Données projet'!$B$9,Paramètres!$A$1:$I$89,5,0)</f>
        <v>#N/A</v>
      </c>
      <c r="P158" s="14" t="e">
        <f t="shared" si="141"/>
        <v>#N/A</v>
      </c>
      <c r="Q158" s="22" t="e">
        <f t="shared" si="162"/>
        <v>#N/A</v>
      </c>
      <c r="R158" s="60" t="e">
        <f t="shared" si="109"/>
        <v>#N/A</v>
      </c>
      <c r="S158" s="60" t="e">
        <f ca="1">AVERAGE(OFFSET($R$3,0,0,'Données projet'!$E$9+1,1))-AVERAGE(OFFSET($H$3,0,0,'Données projet'!$E$9+1,1))</f>
        <v>#N/A</v>
      </c>
      <c r="T158" s="60" t="e">
        <f t="shared" si="142"/>
        <v>#N/A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 t="e">
        <f>EXP(-LN(2)/35)*Z157+(1-EXP(-LN(2)/35))/(LN(2)/35)*V158*W158*VLOOKUP('Données projet'!$B$9,Paramètres!$A$1:$I$89,3,0)*0.475*44/12</f>
        <v>#N/A</v>
      </c>
      <c r="AA158" s="23" t="e">
        <f>EXP(-LN(2)/25)*AA157+(1-EXP(-LN(2)/25))/(LN(2)/25)*Calculateur!V158*Calculateur!X158*VLOOKUP('Données projet'!$B$9,Paramètres!$A$1:$I$89,3,0)*0.475*44/12</f>
        <v>#N/A</v>
      </c>
      <c r="AB158" s="23" t="e">
        <f>EXP(-LN(2)/2)*AB157+(1-EXP(-LN(2)/2))/(LN(2)/2)*V158*Y158*VLOOKUP('Données projet'!$B$9,Paramètres!$A$1:$I$89,3,0)*0.475*44/12</f>
        <v>#N/A</v>
      </c>
      <c r="AC158" s="24" t="e">
        <f t="shared" si="163"/>
        <v>#N/A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428.8489304403459</v>
      </c>
      <c r="AO158" s="60">
        <f t="shared" si="144"/>
        <v>247.01165577562966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-1.9065282685915009E-13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374.79806286316051</v>
      </c>
      <c r="BJ158" s="60">
        <f t="shared" si="146"/>
        <v>350.01856672839466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0.69591944586642551</v>
      </c>
      <c r="BR158" s="23">
        <f>EXP(-LN(2)/2)*BR157+(1-EXP(-LN(2)/2))/(LN(2)/2)*BL158*BO158*VLOOKUP('Données projet'!$B$11,Paramètres!$A$1:$I$89,3,0)*0.475*44/12</f>
        <v>1.6878158203508224E-18</v>
      </c>
      <c r="BS158" s="24">
        <f t="shared" si="169"/>
        <v>0.69591944586642551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-8.7434273154940449E-13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428.8489304403459</v>
      </c>
      <c r="CE158" s="60">
        <f t="shared" si="148"/>
        <v>247.01165577562966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projet'!$B$13,Paramètres!$A$1:$I$89,3,0)*VLOOKUP('Données projet'!$B$13,Paramètres!$A$1:$I$89,5,0)</f>
        <v>-1.6227659216383472E-13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354.63118425028898</v>
      </c>
      <c r="CZ158" s="60">
        <f t="shared" si="150"/>
        <v>244.7141066773861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-9.3464223027694966E-13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455.50822833641354</v>
      </c>
      <c r="DU158" s="60">
        <f t="shared" si="152"/>
        <v>261.14722581688039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207.03241199974599</v>
      </c>
      <c r="EP158" s="60">
        <f t="shared" si="154"/>
        <v>314.188568589113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1.1356827158661009</v>
      </c>
      <c r="EW158" s="23">
        <f>EXP(-LN(2)/25)*EW157+(1-EXP(-LN(2)/25))/(LN(2)/25)*Calculateur!ER158*Calculateur!ET158*VLOOKUP('Données projet'!$B$15,Paramètres!$A$1:$I$89,3,0)*0.475*44/12</f>
        <v>0.30466917598312016</v>
      </c>
      <c r="EX158" s="23">
        <f>EXP(-LN(2)/2)*EX157+(1-EXP(-LN(2)/2))/(LN(2)/2)*ER158*EU158*VLOOKUP('Données projet'!$B$15,Paramètres!$A$1:$I$89,3,0)*0.475*44/12</f>
        <v>4.4840057352429328E-19</v>
      </c>
      <c r="EY158" s="24">
        <f t="shared" si="181"/>
        <v>1.4403518918492211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 t="e">
        <f>N159*VLOOKUP('Données projet'!$B$9,Paramètres!$A$1:$I$89,3,0)*VLOOKUP('Données projet'!$B$9,Paramètres!$A$1:$I$89,5,0)</f>
        <v>#N/A</v>
      </c>
      <c r="P159" s="14" t="e">
        <f t="shared" si="141"/>
        <v>#N/A</v>
      </c>
      <c r="Q159" s="22" t="e">
        <f t="shared" si="162"/>
        <v>#N/A</v>
      </c>
      <c r="R159" s="60" t="e">
        <f t="shared" si="109"/>
        <v>#N/A</v>
      </c>
      <c r="S159" s="60" t="e">
        <f ca="1">AVERAGE(OFFSET($R$3,0,0,'Données projet'!$E$9+1,1))-AVERAGE(OFFSET($H$3,0,0,'Données projet'!$E$9+1,1))</f>
        <v>#N/A</v>
      </c>
      <c r="T159" s="60" t="e">
        <f t="shared" si="142"/>
        <v>#N/A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 t="e">
        <f>EXP(-LN(2)/35)*Z158+(1-EXP(-LN(2)/35))/(LN(2)/35)*V159*W159*VLOOKUP('Données projet'!$B$9,Paramètres!$A$1:$I$89,3,0)*0.475*44/12</f>
        <v>#N/A</v>
      </c>
      <c r="AA159" s="23" t="e">
        <f>EXP(-LN(2)/25)*AA158+(1-EXP(-LN(2)/25))/(LN(2)/25)*Calculateur!V159*Calculateur!X159*VLOOKUP('Données projet'!$B$9,Paramètres!$A$1:$I$89,3,0)*0.475*44/12</f>
        <v>#N/A</v>
      </c>
      <c r="AB159" s="23" t="e">
        <f>EXP(-LN(2)/2)*AB158+(1-EXP(-LN(2)/2))/(LN(2)/2)*V159*Y159*VLOOKUP('Données projet'!$B$9,Paramètres!$A$1:$I$89,3,0)*0.475*44/12</f>
        <v>#N/A</v>
      </c>
      <c r="AC159" s="24" t="e">
        <f t="shared" si="163"/>
        <v>#N/A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428.8489304403459</v>
      </c>
      <c r="AO159" s="60">
        <f t="shared" si="144"/>
        <v>247.01165577562966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-1.9065282685915009E-13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374.79806286316051</v>
      </c>
      <c r="BJ159" s="60">
        <f t="shared" si="146"/>
        <v>350.01856672839466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0.67688949202239501</v>
      </c>
      <c r="BR159" s="23">
        <f>EXP(-LN(2)/2)*BR158+(1-EXP(-LN(2)/2))/(LN(2)/2)*BL159*BO159*VLOOKUP('Données projet'!$B$11,Paramètres!$A$1:$I$89,3,0)*0.475*44/12</f>
        <v>1.1934660119640023E-18</v>
      </c>
      <c r="BS159" s="24">
        <f t="shared" si="169"/>
        <v>0.67688949202239501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-8.7434273154940449E-13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428.8489304403459</v>
      </c>
      <c r="CE159" s="60">
        <f t="shared" si="148"/>
        <v>247.01165577562966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projet'!$B$13,Paramètres!$A$1:$I$89,3,0)*VLOOKUP('Données projet'!$B$13,Paramètres!$A$1:$I$89,5,0)</f>
        <v>-1.6227659216383472E-13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354.63118425028898</v>
      </c>
      <c r="CZ159" s="60">
        <f t="shared" si="150"/>
        <v>244.7141066773861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-9.3464223027694966E-13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455.50822833641354</v>
      </c>
      <c r="DU159" s="60">
        <f t="shared" si="152"/>
        <v>261.14722581688039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207.03241199974599</v>
      </c>
      <c r="EP159" s="60">
        <f t="shared" si="154"/>
        <v>314.188568589113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1.1134126705060252</v>
      </c>
      <c r="EW159" s="23">
        <f>EXP(-LN(2)/25)*EW158+(1-EXP(-LN(2)/25))/(LN(2)/25)*Calculateur!ER159*Calculateur!ET159*VLOOKUP('Données projet'!$B$15,Paramètres!$A$1:$I$89,3,0)*0.475*44/12</f>
        <v>0.29633798134400607</v>
      </c>
      <c r="EX159" s="23">
        <f>EXP(-LN(2)/2)*EX158+(1-EXP(-LN(2)/2))/(LN(2)/2)*ER159*EU159*VLOOKUP('Données projet'!$B$15,Paramètres!$A$1:$I$89,3,0)*0.475*44/12</f>
        <v>3.1706708622696487E-19</v>
      </c>
      <c r="EY159" s="24">
        <f t="shared" si="181"/>
        <v>1.4097506518500313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 t="e">
        <f>N160*VLOOKUP('Données projet'!$B$9,Paramètres!$A$1:$I$89,3,0)*VLOOKUP('Données projet'!$B$9,Paramètres!$A$1:$I$89,5,0)</f>
        <v>#N/A</v>
      </c>
      <c r="P160" s="14" t="e">
        <f t="shared" si="141"/>
        <v>#N/A</v>
      </c>
      <c r="Q160" s="22" t="e">
        <f t="shared" si="162"/>
        <v>#N/A</v>
      </c>
      <c r="R160" s="60" t="e">
        <f t="shared" si="109"/>
        <v>#N/A</v>
      </c>
      <c r="S160" s="60" t="e">
        <f ca="1">AVERAGE(OFFSET($R$3,0,0,'Données projet'!$E$9+1,1))-AVERAGE(OFFSET($H$3,0,0,'Données projet'!$E$9+1,1))</f>
        <v>#N/A</v>
      </c>
      <c r="T160" s="60" t="e">
        <f t="shared" si="142"/>
        <v>#N/A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 t="e">
        <f>EXP(-LN(2)/35)*Z159+(1-EXP(-LN(2)/35))/(LN(2)/35)*V160*W160*VLOOKUP('Données projet'!$B$9,Paramètres!$A$1:$I$89,3,0)*0.475*44/12</f>
        <v>#N/A</v>
      </c>
      <c r="AA160" s="23" t="e">
        <f>EXP(-LN(2)/25)*AA159+(1-EXP(-LN(2)/25))/(LN(2)/25)*Calculateur!V160*Calculateur!X160*VLOOKUP('Données projet'!$B$9,Paramètres!$A$1:$I$89,3,0)*0.475*44/12</f>
        <v>#N/A</v>
      </c>
      <c r="AB160" s="23" t="e">
        <f>EXP(-LN(2)/2)*AB159+(1-EXP(-LN(2)/2))/(LN(2)/2)*V160*Y160*VLOOKUP('Données projet'!$B$9,Paramètres!$A$1:$I$89,3,0)*0.475*44/12</f>
        <v>#N/A</v>
      </c>
      <c r="AC160" s="24" t="e">
        <f t="shared" si="163"/>
        <v>#N/A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428.8489304403459</v>
      </c>
      <c r="AO160" s="60">
        <f t="shared" si="144"/>
        <v>247.01165577562966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-1.9065282685915009E-13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374.79806286316051</v>
      </c>
      <c r="BJ160" s="60">
        <f t="shared" si="146"/>
        <v>350.01856672839466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0.65837991326697132</v>
      </c>
      <c r="BR160" s="23">
        <f>EXP(-LN(2)/2)*BR159+(1-EXP(-LN(2)/2))/(LN(2)/2)*BL160*BO160*VLOOKUP('Données projet'!$B$11,Paramètres!$A$1:$I$89,3,0)*0.475*44/12</f>
        <v>8.4390791017541128E-19</v>
      </c>
      <c r="BS160" s="24">
        <f t="shared" si="169"/>
        <v>0.65837991326697132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-8.7434273154940449E-13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428.8489304403459</v>
      </c>
      <c r="CE160" s="60">
        <f t="shared" si="148"/>
        <v>247.01165577562966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projet'!$B$13,Paramètres!$A$1:$I$89,3,0)*VLOOKUP('Données projet'!$B$13,Paramètres!$A$1:$I$89,5,0)</f>
        <v>-1.6227659216383472E-13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354.63118425028898</v>
      </c>
      <c r="CZ160" s="60">
        <f t="shared" si="150"/>
        <v>244.7141066773861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-9.3464223027694966E-13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455.50822833641354</v>
      </c>
      <c r="DU160" s="60">
        <f t="shared" si="152"/>
        <v>261.14722581688039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207.03241199974599</v>
      </c>
      <c r="EP160" s="60">
        <f t="shared" si="154"/>
        <v>314.188568589113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1.0915793271520742</v>
      </c>
      <c r="EW160" s="23">
        <f>EXP(-LN(2)/25)*EW159+(1-EXP(-LN(2)/25))/(LN(2)/25)*Calculateur!ER160*Calculateur!ET160*VLOOKUP('Données projet'!$B$15,Paramètres!$A$1:$I$89,3,0)*0.475*44/12</f>
        <v>0.28823460366041709</v>
      </c>
      <c r="EX160" s="23">
        <f>EXP(-LN(2)/2)*EX159+(1-EXP(-LN(2)/2))/(LN(2)/2)*ER160*EU160*VLOOKUP('Données projet'!$B$15,Paramètres!$A$1:$I$89,3,0)*0.475*44/12</f>
        <v>2.2420028676214664E-19</v>
      </c>
      <c r="EY160" s="24">
        <f t="shared" si="181"/>
        <v>1.3798139308124913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 t="e">
        <f>N161*VLOOKUP('Données projet'!$B$9,Paramètres!$A$1:$I$89,3,0)*VLOOKUP('Données projet'!$B$9,Paramètres!$A$1:$I$89,5,0)</f>
        <v>#N/A</v>
      </c>
      <c r="P161" s="14" t="e">
        <f t="shared" si="141"/>
        <v>#N/A</v>
      </c>
      <c r="Q161" s="22" t="e">
        <f t="shared" si="162"/>
        <v>#N/A</v>
      </c>
      <c r="R161" s="60" t="e">
        <f t="shared" si="109"/>
        <v>#N/A</v>
      </c>
      <c r="S161" s="60" t="e">
        <f ca="1">AVERAGE(OFFSET($R$3,0,0,'Données projet'!$E$9+1,1))-AVERAGE(OFFSET($H$3,0,0,'Données projet'!$E$9+1,1))</f>
        <v>#N/A</v>
      </c>
      <c r="T161" s="60" t="e">
        <f t="shared" si="142"/>
        <v>#N/A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 t="e">
        <f>EXP(-LN(2)/35)*Z160+(1-EXP(-LN(2)/35))/(LN(2)/35)*V161*W161*VLOOKUP('Données projet'!$B$9,Paramètres!$A$1:$I$89,3,0)*0.475*44/12</f>
        <v>#N/A</v>
      </c>
      <c r="AA161" s="23" t="e">
        <f>EXP(-LN(2)/25)*AA160+(1-EXP(-LN(2)/25))/(LN(2)/25)*Calculateur!V161*Calculateur!X161*VLOOKUP('Données projet'!$B$9,Paramètres!$A$1:$I$89,3,0)*0.475*44/12</f>
        <v>#N/A</v>
      </c>
      <c r="AB161" s="23" t="e">
        <f>EXP(-LN(2)/2)*AB160+(1-EXP(-LN(2)/2))/(LN(2)/2)*V161*Y161*VLOOKUP('Données projet'!$B$9,Paramètres!$A$1:$I$89,3,0)*0.475*44/12</f>
        <v>#N/A</v>
      </c>
      <c r="AC161" s="24" t="e">
        <f t="shared" si="163"/>
        <v>#N/A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428.8489304403459</v>
      </c>
      <c r="AO161" s="60">
        <f t="shared" si="144"/>
        <v>247.01165577562966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-1.9065282685915009E-13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374.79806286316051</v>
      </c>
      <c r="BJ161" s="60">
        <f t="shared" si="146"/>
        <v>350.01856672839466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0.64037647991599111</v>
      </c>
      <c r="BR161" s="23">
        <f>EXP(-LN(2)/2)*BR160+(1-EXP(-LN(2)/2))/(LN(2)/2)*BL161*BO161*VLOOKUP('Données projet'!$B$11,Paramètres!$A$1:$I$89,3,0)*0.475*44/12</f>
        <v>5.9673300598200123E-19</v>
      </c>
      <c r="BS161" s="24">
        <f t="shared" si="169"/>
        <v>0.64037647991599111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-8.7434273154940449E-13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428.8489304403459</v>
      </c>
      <c r="CE161" s="60">
        <f t="shared" si="148"/>
        <v>247.01165577562966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projet'!$B$13,Paramètres!$A$1:$I$89,3,0)*VLOOKUP('Données projet'!$B$13,Paramètres!$A$1:$I$89,5,0)</f>
        <v>-1.6227659216383472E-13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354.63118425028898</v>
      </c>
      <c r="CZ161" s="60">
        <f t="shared" si="150"/>
        <v>244.7141066773861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-9.3464223027694966E-13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455.50822833641354</v>
      </c>
      <c r="DU161" s="60">
        <f t="shared" si="152"/>
        <v>261.14722581688039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207.03241199974599</v>
      </c>
      <c r="EP161" s="60">
        <f t="shared" si="154"/>
        <v>314.188568589113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1.0701741223442696</v>
      </c>
      <c r="EW161" s="23">
        <f>EXP(-LN(2)/25)*EW160+(1-EXP(-LN(2)/25))/(LN(2)/25)*Calculateur!ER161*Calculateur!ET161*VLOOKUP('Données projet'!$B$15,Paramètres!$A$1:$I$89,3,0)*0.475*44/12</f>
        <v>0.28035281326572392</v>
      </c>
      <c r="EX161" s="23">
        <f>EXP(-LN(2)/2)*EX160+(1-EXP(-LN(2)/2))/(LN(2)/2)*ER161*EU161*VLOOKUP('Données projet'!$B$15,Paramètres!$A$1:$I$89,3,0)*0.475*44/12</f>
        <v>1.5853354311348243E-19</v>
      </c>
      <c r="EY161" s="24">
        <f t="shared" si="181"/>
        <v>1.3505269356099934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 t="e">
        <f>N162*VLOOKUP('Données projet'!$B$9,Paramètres!$A$1:$I$89,3,0)*VLOOKUP('Données projet'!$B$9,Paramètres!$A$1:$I$89,5,0)</f>
        <v>#N/A</v>
      </c>
      <c r="P162" s="14" t="e">
        <f t="shared" si="141"/>
        <v>#N/A</v>
      </c>
      <c r="Q162" s="22" t="e">
        <f t="shared" si="162"/>
        <v>#N/A</v>
      </c>
      <c r="R162" s="60" t="e">
        <f t="shared" si="109"/>
        <v>#N/A</v>
      </c>
      <c r="S162" s="60" t="e">
        <f ca="1">AVERAGE(OFFSET($R$3,0,0,'Données projet'!$E$9+1,1))-AVERAGE(OFFSET($H$3,0,0,'Données projet'!$E$9+1,1))</f>
        <v>#N/A</v>
      </c>
      <c r="T162" s="60" t="e">
        <f t="shared" si="142"/>
        <v>#N/A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 t="e">
        <f>EXP(-LN(2)/35)*Z161+(1-EXP(-LN(2)/35))/(LN(2)/35)*V162*W162*VLOOKUP('Données projet'!$B$9,Paramètres!$A$1:$I$89,3,0)*0.475*44/12</f>
        <v>#N/A</v>
      </c>
      <c r="AA162" s="23" t="e">
        <f>EXP(-LN(2)/25)*AA161+(1-EXP(-LN(2)/25))/(LN(2)/25)*Calculateur!V162*Calculateur!X162*VLOOKUP('Données projet'!$B$9,Paramètres!$A$1:$I$89,3,0)*0.475*44/12</f>
        <v>#N/A</v>
      </c>
      <c r="AB162" s="23" t="e">
        <f>EXP(-LN(2)/2)*AB161+(1-EXP(-LN(2)/2))/(LN(2)/2)*V162*Y162*VLOOKUP('Données projet'!$B$9,Paramètres!$A$1:$I$89,3,0)*0.475*44/12</f>
        <v>#N/A</v>
      </c>
      <c r="AC162" s="24" t="e">
        <f t="shared" si="163"/>
        <v>#N/A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428.8489304403459</v>
      </c>
      <c r="AO162" s="60">
        <f t="shared" si="144"/>
        <v>247.01165577562966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-1.9065282685915009E-13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374.79806286316051</v>
      </c>
      <c r="BJ162" s="60">
        <f t="shared" si="146"/>
        <v>350.01856672839466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0.62286535139675281</v>
      </c>
      <c r="BR162" s="23">
        <f>EXP(-LN(2)/2)*BR161+(1-EXP(-LN(2)/2))/(LN(2)/2)*BL162*BO162*VLOOKUP('Données projet'!$B$11,Paramètres!$A$1:$I$89,3,0)*0.475*44/12</f>
        <v>4.2195395508770574E-19</v>
      </c>
      <c r="BS162" s="24">
        <f t="shared" si="169"/>
        <v>0.62286535139675281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-8.7434273154940449E-13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428.8489304403459</v>
      </c>
      <c r="CE162" s="60">
        <f t="shared" si="148"/>
        <v>247.01165577562966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projet'!$B$13,Paramètres!$A$1:$I$89,3,0)*VLOOKUP('Données projet'!$B$13,Paramètres!$A$1:$I$89,5,0)</f>
        <v>-1.6227659216383472E-13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354.63118425028898</v>
      </c>
      <c r="CZ162" s="60">
        <f t="shared" si="150"/>
        <v>244.7141066773861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-9.3464223027694966E-13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455.50822833641354</v>
      </c>
      <c r="DU162" s="60">
        <f t="shared" si="152"/>
        <v>261.14722581688039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207.03241199974599</v>
      </c>
      <c r="EP162" s="60">
        <f t="shared" si="154"/>
        <v>314.188568589113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1.0491886605468601</v>
      </c>
      <c r="EW162" s="23">
        <f>EXP(-LN(2)/25)*EW161+(1-EXP(-LN(2)/25))/(LN(2)/25)*Calculateur!ER162*Calculateur!ET162*VLOOKUP('Données projet'!$B$15,Paramètres!$A$1:$I$89,3,0)*0.475*44/12</f>
        <v>0.27268655084385901</v>
      </c>
      <c r="EX162" s="23">
        <f>EXP(-LN(2)/2)*EX161+(1-EXP(-LN(2)/2))/(LN(2)/2)*ER162*EU162*VLOOKUP('Données projet'!$B$15,Paramètres!$A$1:$I$89,3,0)*0.475*44/12</f>
        <v>1.1210014338107332E-19</v>
      </c>
      <c r="EY162" s="24">
        <f t="shared" si="181"/>
        <v>1.3218752113907191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 t="e">
        <f>N163*VLOOKUP('Données projet'!$B$9,Paramètres!$A$1:$I$89,3,0)*VLOOKUP('Données projet'!$B$9,Paramètres!$A$1:$I$89,5,0)</f>
        <v>#N/A</v>
      </c>
      <c r="P163" s="14" t="e">
        <f t="shared" si="141"/>
        <v>#N/A</v>
      </c>
      <c r="Q163" s="22" t="e">
        <f t="shared" si="162"/>
        <v>#N/A</v>
      </c>
      <c r="R163" s="60" t="e">
        <f t="shared" si="109"/>
        <v>#N/A</v>
      </c>
      <c r="S163" s="60" t="e">
        <f ca="1">AVERAGE(OFFSET($R$3,0,0,'Données projet'!$E$9+1,1))-AVERAGE(OFFSET($H$3,0,0,'Données projet'!$E$9+1,1))</f>
        <v>#N/A</v>
      </c>
      <c r="T163" s="60" t="e">
        <f t="shared" si="142"/>
        <v>#N/A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 t="e">
        <f>EXP(-LN(2)/35)*Z162+(1-EXP(-LN(2)/35))/(LN(2)/35)*V163*W163*VLOOKUP('Données projet'!$B$9,Paramètres!$A$1:$I$89,3,0)*0.475*44/12</f>
        <v>#N/A</v>
      </c>
      <c r="AA163" s="23" t="e">
        <f>EXP(-LN(2)/25)*AA162+(1-EXP(-LN(2)/25))/(LN(2)/25)*Calculateur!V163*Calculateur!X163*VLOOKUP('Données projet'!$B$9,Paramètres!$A$1:$I$89,3,0)*0.475*44/12</f>
        <v>#N/A</v>
      </c>
      <c r="AB163" s="23" t="e">
        <f>EXP(-LN(2)/2)*AB162+(1-EXP(-LN(2)/2))/(LN(2)/2)*V163*Y163*VLOOKUP('Données projet'!$B$9,Paramètres!$A$1:$I$89,3,0)*0.475*44/12</f>
        <v>#N/A</v>
      </c>
      <c r="AC163" s="24" t="e">
        <f t="shared" si="163"/>
        <v>#N/A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428.8489304403459</v>
      </c>
      <c r="AO163" s="60">
        <f t="shared" si="144"/>
        <v>247.01165577562966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-1.9065282685915009E-13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374.79806286316051</v>
      </c>
      <c r="BJ163" s="60">
        <f t="shared" si="146"/>
        <v>350.01856672839466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0.6058330656077433</v>
      </c>
      <c r="BR163" s="23">
        <f>EXP(-LN(2)/2)*BR162+(1-EXP(-LN(2)/2))/(LN(2)/2)*BL163*BO163*VLOOKUP('Données projet'!$B$11,Paramètres!$A$1:$I$89,3,0)*0.475*44/12</f>
        <v>2.9836650299100066E-19</v>
      </c>
      <c r="BS163" s="24">
        <f t="shared" si="169"/>
        <v>0.6058330656077433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-8.7434273154940449E-13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428.8489304403459</v>
      </c>
      <c r="CE163" s="60">
        <f t="shared" si="148"/>
        <v>247.01165577562966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projet'!$B$13,Paramètres!$A$1:$I$89,3,0)*VLOOKUP('Données projet'!$B$13,Paramètres!$A$1:$I$89,5,0)</f>
        <v>-1.6227659216383472E-13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354.63118425028898</v>
      </c>
      <c r="CZ163" s="60">
        <f t="shared" si="150"/>
        <v>244.7141066773861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-9.3464223027694966E-13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455.50822833641354</v>
      </c>
      <c r="DU163" s="60">
        <f t="shared" si="152"/>
        <v>261.14722581688039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207.03241199974599</v>
      </c>
      <c r="EP163" s="60">
        <f t="shared" si="154"/>
        <v>314.188568589113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1.02861471085543</v>
      </c>
      <c r="EW163" s="23">
        <f>EXP(-LN(2)/25)*EW162+(1-EXP(-LN(2)/25))/(LN(2)/25)*Calculateur!ER163*Calculateur!ET163*VLOOKUP('Données projet'!$B$15,Paramètres!$A$1:$I$89,3,0)*0.475*44/12</f>
        <v>0.26522992277107121</v>
      </c>
      <c r="EX163" s="23">
        <f>EXP(-LN(2)/2)*EX162+(1-EXP(-LN(2)/2))/(LN(2)/2)*ER163*EU163*VLOOKUP('Données projet'!$B$15,Paramètres!$A$1:$I$89,3,0)*0.475*44/12</f>
        <v>7.9266771556741217E-20</v>
      </c>
      <c r="EY163" s="24">
        <f t="shared" si="181"/>
        <v>1.2938446336265013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 t="e">
        <f>N164*VLOOKUP('Données projet'!$B$9,Paramètres!$A$1:$I$89,3,0)*VLOOKUP('Données projet'!$B$9,Paramètres!$A$1:$I$89,5,0)</f>
        <v>#N/A</v>
      </c>
      <c r="P164" s="14" t="e">
        <f t="shared" si="141"/>
        <v>#N/A</v>
      </c>
      <c r="Q164" s="22" t="e">
        <f t="shared" si="162"/>
        <v>#N/A</v>
      </c>
      <c r="R164" s="60" t="e">
        <f t="shared" si="109"/>
        <v>#N/A</v>
      </c>
      <c r="S164" s="60" t="e">
        <f ca="1">AVERAGE(OFFSET($R$3,0,0,'Données projet'!$E$9+1,1))-AVERAGE(OFFSET($H$3,0,0,'Données projet'!$E$9+1,1))</f>
        <v>#N/A</v>
      </c>
      <c r="T164" s="60" t="e">
        <f t="shared" si="142"/>
        <v>#N/A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 t="e">
        <f>EXP(-LN(2)/35)*Z163+(1-EXP(-LN(2)/35))/(LN(2)/35)*V164*W164*VLOOKUP('Données projet'!$B$9,Paramètres!$A$1:$I$89,3,0)*0.475*44/12</f>
        <v>#N/A</v>
      </c>
      <c r="AA164" s="23" t="e">
        <f>EXP(-LN(2)/25)*AA163+(1-EXP(-LN(2)/25))/(LN(2)/25)*Calculateur!V164*Calculateur!X164*VLOOKUP('Données projet'!$B$9,Paramètres!$A$1:$I$89,3,0)*0.475*44/12</f>
        <v>#N/A</v>
      </c>
      <c r="AB164" s="23" t="e">
        <f>EXP(-LN(2)/2)*AB163+(1-EXP(-LN(2)/2))/(LN(2)/2)*V164*Y164*VLOOKUP('Données projet'!$B$9,Paramètres!$A$1:$I$89,3,0)*0.475*44/12</f>
        <v>#N/A</v>
      </c>
      <c r="AC164" s="24" t="e">
        <f t="shared" si="163"/>
        <v>#N/A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428.8489304403459</v>
      </c>
      <c r="AO164" s="60">
        <f t="shared" si="144"/>
        <v>247.01165577562966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-1.9065282685915009E-13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374.79806286316051</v>
      </c>
      <c r="BJ164" s="60">
        <f t="shared" si="146"/>
        <v>350.01856672839466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0.58926652856932327</v>
      </c>
      <c r="BR164" s="23">
        <f>EXP(-LN(2)/2)*BR163+(1-EXP(-LN(2)/2))/(LN(2)/2)*BL164*BO164*VLOOKUP('Données projet'!$B$11,Paramètres!$A$1:$I$89,3,0)*0.475*44/12</f>
        <v>2.1097697754385289E-19</v>
      </c>
      <c r="BS164" s="24">
        <f t="shared" si="169"/>
        <v>0.58926652856932327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-8.7434273154940449E-13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428.8489304403459</v>
      </c>
      <c r="CE164" s="60">
        <f t="shared" si="148"/>
        <v>247.01165577562966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projet'!$B$13,Paramètres!$A$1:$I$89,3,0)*VLOOKUP('Données projet'!$B$13,Paramètres!$A$1:$I$89,5,0)</f>
        <v>-1.6227659216383472E-13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354.63118425028898</v>
      </c>
      <c r="CZ164" s="60">
        <f t="shared" si="150"/>
        <v>244.7141066773861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-9.3464223027694966E-13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455.50822833641354</v>
      </c>
      <c r="DU164" s="60">
        <f t="shared" si="152"/>
        <v>261.14722581688039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207.03241199974599</v>
      </c>
      <c r="EP164" s="60">
        <f t="shared" si="154"/>
        <v>314.188568589113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1.0084442037685788</v>
      </c>
      <c r="EW164" s="23">
        <f>EXP(-LN(2)/25)*EW163+(1-EXP(-LN(2)/25))/(LN(2)/25)*Calculateur!ER164*Calculateur!ET164*VLOOKUP('Données projet'!$B$15,Paramètres!$A$1:$I$89,3,0)*0.475*44/12</f>
        <v>0.2579771965850608</v>
      </c>
      <c r="EX164" s="23">
        <f>EXP(-LN(2)/2)*EX163+(1-EXP(-LN(2)/2))/(LN(2)/2)*ER164*EU164*VLOOKUP('Données projet'!$B$15,Paramètres!$A$1:$I$89,3,0)*0.475*44/12</f>
        <v>5.605007169053666E-20</v>
      </c>
      <c r="EY164" s="24">
        <f t="shared" si="181"/>
        <v>1.2664214003536396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 t="e">
        <f>N165*VLOOKUP('Données projet'!$B$9,Paramètres!$A$1:$I$89,3,0)*VLOOKUP('Données projet'!$B$9,Paramètres!$A$1:$I$89,5,0)</f>
        <v>#N/A</v>
      </c>
      <c r="P165" s="14" t="e">
        <f t="shared" si="141"/>
        <v>#N/A</v>
      </c>
      <c r="Q165" s="22" t="e">
        <f t="shared" si="162"/>
        <v>#N/A</v>
      </c>
      <c r="R165" s="60" t="e">
        <f t="shared" si="109"/>
        <v>#N/A</v>
      </c>
      <c r="S165" s="60" t="e">
        <f ca="1">AVERAGE(OFFSET($R$3,0,0,'Données projet'!$E$9+1,1))-AVERAGE(OFFSET($H$3,0,0,'Données projet'!$E$9+1,1))</f>
        <v>#N/A</v>
      </c>
      <c r="T165" s="60" t="e">
        <f t="shared" si="142"/>
        <v>#N/A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 t="e">
        <f>EXP(-LN(2)/35)*Z164+(1-EXP(-LN(2)/35))/(LN(2)/35)*V165*W165*VLOOKUP('Données projet'!$B$9,Paramètres!$A$1:$I$89,3,0)*0.475*44/12</f>
        <v>#N/A</v>
      </c>
      <c r="AA165" s="23" t="e">
        <f>EXP(-LN(2)/25)*AA164+(1-EXP(-LN(2)/25))/(LN(2)/25)*Calculateur!V165*Calculateur!X165*VLOOKUP('Données projet'!$B$9,Paramètres!$A$1:$I$89,3,0)*0.475*44/12</f>
        <v>#N/A</v>
      </c>
      <c r="AB165" s="23" t="e">
        <f>EXP(-LN(2)/2)*AB164+(1-EXP(-LN(2)/2))/(LN(2)/2)*V165*Y165*VLOOKUP('Données projet'!$B$9,Paramètres!$A$1:$I$89,3,0)*0.475*44/12</f>
        <v>#N/A</v>
      </c>
      <c r="AC165" s="24" t="e">
        <f t="shared" si="163"/>
        <v>#N/A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428.8489304403459</v>
      </c>
      <c r="AO165" s="60">
        <f t="shared" si="144"/>
        <v>247.01165577562966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-1.9065282685915009E-13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374.79806286316051</v>
      </c>
      <c r="BJ165" s="60">
        <f t="shared" si="146"/>
        <v>350.01856672839466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0.57315300435741512</v>
      </c>
      <c r="BR165" s="23">
        <f>EXP(-LN(2)/2)*BR164+(1-EXP(-LN(2)/2))/(LN(2)/2)*BL165*BO165*VLOOKUP('Données projet'!$B$11,Paramètres!$A$1:$I$89,3,0)*0.475*44/12</f>
        <v>1.4918325149550036E-19</v>
      </c>
      <c r="BS165" s="24">
        <f t="shared" si="169"/>
        <v>0.57315300435741512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-8.7434273154940449E-13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428.8489304403459</v>
      </c>
      <c r="CE165" s="60">
        <f t="shared" si="148"/>
        <v>247.01165577562966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projet'!$B$13,Paramètres!$A$1:$I$89,3,0)*VLOOKUP('Données projet'!$B$13,Paramètres!$A$1:$I$89,5,0)</f>
        <v>-1.6227659216383472E-13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354.63118425028898</v>
      </c>
      <c r="CZ165" s="60">
        <f t="shared" si="150"/>
        <v>244.7141066773861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-9.3464223027694966E-13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455.50822833641354</v>
      </c>
      <c r="DU165" s="60">
        <f t="shared" si="152"/>
        <v>261.14722581688039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207.03241199974599</v>
      </c>
      <c r="EP165" s="60">
        <f t="shared" si="154"/>
        <v>314.188568589113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0.98866922802290613</v>
      </c>
      <c r="EW165" s="23">
        <f>EXP(-LN(2)/25)*EW164+(1-EXP(-LN(2)/25))/(LN(2)/25)*Calculateur!ER165*Calculateur!ET165*VLOOKUP('Données projet'!$B$15,Paramètres!$A$1:$I$89,3,0)*0.475*44/12</f>
        <v>0.25092279657801114</v>
      </c>
      <c r="EX165" s="23">
        <f>EXP(-LN(2)/2)*EX164+(1-EXP(-LN(2)/2))/(LN(2)/2)*ER165*EU165*VLOOKUP('Données projet'!$B$15,Paramètres!$A$1:$I$89,3,0)*0.475*44/12</f>
        <v>3.9633385778370609E-20</v>
      </c>
      <c r="EY165" s="24">
        <f t="shared" si="181"/>
        <v>1.2395920246009173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 t="e">
        <f>N166*VLOOKUP('Données projet'!$B$9,Paramètres!$A$1:$I$89,3,0)*VLOOKUP('Données projet'!$B$9,Paramètres!$A$1:$I$89,5,0)</f>
        <v>#N/A</v>
      </c>
      <c r="P166" s="14" t="e">
        <f t="shared" si="141"/>
        <v>#N/A</v>
      </c>
      <c r="Q166" s="22" t="e">
        <f t="shared" si="162"/>
        <v>#N/A</v>
      </c>
      <c r="R166" s="60" t="e">
        <f t="shared" si="109"/>
        <v>#N/A</v>
      </c>
      <c r="S166" s="60" t="e">
        <f ca="1">AVERAGE(OFFSET($R$3,0,0,'Données projet'!$E$9+1,1))-AVERAGE(OFFSET($H$3,0,0,'Données projet'!$E$9+1,1))</f>
        <v>#N/A</v>
      </c>
      <c r="T166" s="60" t="e">
        <f t="shared" si="142"/>
        <v>#N/A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 t="e">
        <f>EXP(-LN(2)/35)*Z165+(1-EXP(-LN(2)/35))/(LN(2)/35)*V166*W166*VLOOKUP('Données projet'!$B$9,Paramètres!$A$1:$I$89,3,0)*0.475*44/12</f>
        <v>#N/A</v>
      </c>
      <c r="AA166" s="23" t="e">
        <f>EXP(-LN(2)/25)*AA165+(1-EXP(-LN(2)/25))/(LN(2)/25)*Calculateur!V166*Calculateur!X166*VLOOKUP('Données projet'!$B$9,Paramètres!$A$1:$I$89,3,0)*0.475*44/12</f>
        <v>#N/A</v>
      </c>
      <c r="AB166" s="23" t="e">
        <f>EXP(-LN(2)/2)*AB165+(1-EXP(-LN(2)/2))/(LN(2)/2)*V166*Y166*VLOOKUP('Données projet'!$B$9,Paramètres!$A$1:$I$89,3,0)*0.475*44/12</f>
        <v>#N/A</v>
      </c>
      <c r="AC166" s="24" t="e">
        <f t="shared" si="163"/>
        <v>#N/A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428.8489304403459</v>
      </c>
      <c r="AO166" s="60">
        <f t="shared" si="144"/>
        <v>247.01165577562966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-1.9065282685915009E-13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374.79806286316051</v>
      </c>
      <c r="BJ166" s="60">
        <f t="shared" si="146"/>
        <v>350.01856672839466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0.55748010531245507</v>
      </c>
      <c r="BR166" s="23">
        <f>EXP(-LN(2)/2)*BR165+(1-EXP(-LN(2)/2))/(LN(2)/2)*BL166*BO166*VLOOKUP('Données projet'!$B$11,Paramètres!$A$1:$I$89,3,0)*0.475*44/12</f>
        <v>1.0548848877192647E-19</v>
      </c>
      <c r="BS166" s="24">
        <f t="shared" si="169"/>
        <v>0.55748010531245507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-8.7434273154940449E-13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428.8489304403459</v>
      </c>
      <c r="CE166" s="60">
        <f t="shared" si="148"/>
        <v>247.01165577562966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projet'!$B$13,Paramètres!$A$1:$I$89,3,0)*VLOOKUP('Données projet'!$B$13,Paramètres!$A$1:$I$89,5,0)</f>
        <v>-1.6227659216383472E-13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354.63118425028898</v>
      </c>
      <c r="CZ166" s="60">
        <f t="shared" si="150"/>
        <v>244.7141066773861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-9.3464223027694966E-13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455.50822833641354</v>
      </c>
      <c r="DU166" s="60">
        <f t="shared" si="152"/>
        <v>261.14722581688039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207.03241199974599</v>
      </c>
      <c r="EP166" s="60">
        <f t="shared" si="154"/>
        <v>314.188568589113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0.96928202749006187</v>
      </c>
      <c r="EW166" s="23">
        <f>EXP(-LN(2)/25)*EW165+(1-EXP(-LN(2)/25))/(LN(2)/25)*Calculateur!ER166*Calculateur!ET166*VLOOKUP('Données projet'!$B$15,Paramètres!$A$1:$I$89,3,0)*0.475*44/12</f>
        <v>0.24406129951012906</v>
      </c>
      <c r="EX166" s="23">
        <f>EXP(-LN(2)/2)*EX165+(1-EXP(-LN(2)/2))/(LN(2)/2)*ER166*EU166*VLOOKUP('Données projet'!$B$15,Paramètres!$A$1:$I$89,3,0)*0.475*44/12</f>
        <v>2.802503584526833E-20</v>
      </c>
      <c r="EY166" s="24">
        <f t="shared" si="181"/>
        <v>1.213343327000191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 t="e">
        <f>N167*VLOOKUP('Données projet'!$B$9,Paramètres!$A$1:$I$89,3,0)*VLOOKUP('Données projet'!$B$9,Paramètres!$A$1:$I$89,5,0)</f>
        <v>#N/A</v>
      </c>
      <c r="P167" s="14" t="e">
        <f t="shared" si="141"/>
        <v>#N/A</v>
      </c>
      <c r="Q167" s="22" t="e">
        <f t="shared" si="162"/>
        <v>#N/A</v>
      </c>
      <c r="R167" s="60" t="e">
        <f t="shared" si="109"/>
        <v>#N/A</v>
      </c>
      <c r="S167" s="60" t="e">
        <f ca="1">AVERAGE(OFFSET($R$3,0,0,'Données projet'!$E$9+1,1))-AVERAGE(OFFSET($H$3,0,0,'Données projet'!$E$9+1,1))</f>
        <v>#N/A</v>
      </c>
      <c r="T167" s="60" t="e">
        <f t="shared" si="142"/>
        <v>#N/A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 t="e">
        <f>EXP(-LN(2)/35)*Z166+(1-EXP(-LN(2)/35))/(LN(2)/35)*V167*W167*VLOOKUP('Données projet'!$B$9,Paramètres!$A$1:$I$89,3,0)*0.475*44/12</f>
        <v>#N/A</v>
      </c>
      <c r="AA167" s="23" t="e">
        <f>EXP(-LN(2)/25)*AA166+(1-EXP(-LN(2)/25))/(LN(2)/25)*Calculateur!V167*Calculateur!X167*VLOOKUP('Données projet'!$B$9,Paramètres!$A$1:$I$89,3,0)*0.475*44/12</f>
        <v>#N/A</v>
      </c>
      <c r="AB167" s="23" t="e">
        <f>EXP(-LN(2)/2)*AB166+(1-EXP(-LN(2)/2))/(LN(2)/2)*V167*Y167*VLOOKUP('Données projet'!$B$9,Paramètres!$A$1:$I$89,3,0)*0.475*44/12</f>
        <v>#N/A</v>
      </c>
      <c r="AC167" s="24" t="e">
        <f t="shared" si="163"/>
        <v>#N/A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428.8489304403459</v>
      </c>
      <c r="AO167" s="60">
        <f t="shared" si="144"/>
        <v>247.01165577562966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-1.9065282685915009E-13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374.79806286316051</v>
      </c>
      <c r="BJ167" s="60">
        <f t="shared" si="146"/>
        <v>350.01856672839466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0.5422357825160814</v>
      </c>
      <c r="BR167" s="23">
        <f>EXP(-LN(2)/2)*BR166+(1-EXP(-LN(2)/2))/(LN(2)/2)*BL167*BO167*VLOOKUP('Données projet'!$B$11,Paramètres!$A$1:$I$89,3,0)*0.475*44/12</f>
        <v>7.459162574775019E-20</v>
      </c>
      <c r="BS167" s="24">
        <f t="shared" si="169"/>
        <v>0.5422357825160814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-8.7434273154940449E-13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428.8489304403459</v>
      </c>
      <c r="CE167" s="60">
        <f t="shared" si="148"/>
        <v>247.01165577562966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projet'!$B$13,Paramètres!$A$1:$I$89,3,0)*VLOOKUP('Données projet'!$B$13,Paramètres!$A$1:$I$89,5,0)</f>
        <v>-1.6227659216383472E-13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354.63118425028898</v>
      </c>
      <c r="CZ167" s="60">
        <f t="shared" si="150"/>
        <v>244.7141066773861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-9.3464223027694966E-13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455.50822833641354</v>
      </c>
      <c r="DU167" s="60">
        <f t="shared" si="152"/>
        <v>261.14722581688039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207.03241199974599</v>
      </c>
      <c r="EP167" s="60">
        <f t="shared" si="154"/>
        <v>314.188568589113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0.950274998134642</v>
      </c>
      <c r="EW167" s="23">
        <f>EXP(-LN(2)/25)*EW166+(1-EXP(-LN(2)/25))/(LN(2)/25)*Calculateur!ER167*Calculateur!ET167*VLOOKUP('Données projet'!$B$15,Paramètres!$A$1:$I$89,3,0)*0.475*44/12</f>
        <v>0.23738743044039864</v>
      </c>
      <c r="EX167" s="23">
        <f>EXP(-LN(2)/2)*EX166+(1-EXP(-LN(2)/2))/(LN(2)/2)*ER167*EU167*VLOOKUP('Données projet'!$B$15,Paramètres!$A$1:$I$89,3,0)*0.475*44/12</f>
        <v>1.9816692889185304E-20</v>
      </c>
      <c r="EY167" s="24">
        <f t="shared" si="181"/>
        <v>1.1876624285750406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 t="e">
        <f>N168*VLOOKUP('Données projet'!$B$9,Paramètres!$A$1:$I$89,3,0)*VLOOKUP('Données projet'!$B$9,Paramètres!$A$1:$I$89,5,0)</f>
        <v>#N/A</v>
      </c>
      <c r="P168" s="14" t="e">
        <f t="shared" si="141"/>
        <v>#N/A</v>
      </c>
      <c r="Q168" s="22" t="e">
        <f t="shared" si="162"/>
        <v>#N/A</v>
      </c>
      <c r="R168" s="60" t="e">
        <f t="shared" si="109"/>
        <v>#N/A</v>
      </c>
      <c r="S168" s="60" t="e">
        <f ca="1">AVERAGE(OFFSET($R$3,0,0,'Données projet'!$E$9+1,1))-AVERAGE(OFFSET($H$3,0,0,'Données projet'!$E$9+1,1))</f>
        <v>#N/A</v>
      </c>
      <c r="T168" s="60" t="e">
        <f t="shared" si="142"/>
        <v>#N/A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 t="e">
        <f>EXP(-LN(2)/35)*Z167+(1-EXP(-LN(2)/35))/(LN(2)/35)*V168*W168*VLOOKUP('Données projet'!$B$9,Paramètres!$A$1:$I$89,3,0)*0.475*44/12</f>
        <v>#N/A</v>
      </c>
      <c r="AA168" s="23" t="e">
        <f>EXP(-LN(2)/25)*AA167+(1-EXP(-LN(2)/25))/(LN(2)/25)*Calculateur!V168*Calculateur!X168*VLOOKUP('Données projet'!$B$9,Paramètres!$A$1:$I$89,3,0)*0.475*44/12</f>
        <v>#N/A</v>
      </c>
      <c r="AB168" s="23" t="e">
        <f>EXP(-LN(2)/2)*AB167+(1-EXP(-LN(2)/2))/(LN(2)/2)*V168*Y168*VLOOKUP('Données projet'!$B$9,Paramètres!$A$1:$I$89,3,0)*0.475*44/12</f>
        <v>#N/A</v>
      </c>
      <c r="AC168" s="24" t="e">
        <f t="shared" si="163"/>
        <v>#N/A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428.8489304403459</v>
      </c>
      <c r="AO168" s="60">
        <f t="shared" si="144"/>
        <v>247.01165577562966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-1.9065282685915009E-13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374.79806286316051</v>
      </c>
      <c r="BJ168" s="60">
        <f t="shared" si="146"/>
        <v>350.01856672839466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0.52740831652823861</v>
      </c>
      <c r="BR168" s="23">
        <f>EXP(-LN(2)/2)*BR167+(1-EXP(-LN(2)/2))/(LN(2)/2)*BL168*BO168*VLOOKUP('Données projet'!$B$11,Paramètres!$A$1:$I$89,3,0)*0.475*44/12</f>
        <v>5.2744244385963241E-20</v>
      </c>
      <c r="BS168" s="24">
        <f t="shared" si="169"/>
        <v>0.52740831652823861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-8.7434273154940449E-13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428.8489304403459</v>
      </c>
      <c r="CE168" s="60">
        <f t="shared" si="148"/>
        <v>247.01165577562966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projet'!$B$13,Paramètres!$A$1:$I$89,3,0)*VLOOKUP('Données projet'!$B$13,Paramètres!$A$1:$I$89,5,0)</f>
        <v>-1.6227659216383472E-13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354.63118425028898</v>
      </c>
      <c r="CZ168" s="60">
        <f t="shared" si="150"/>
        <v>244.7141066773861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-9.3464223027694966E-13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455.50822833641354</v>
      </c>
      <c r="DU168" s="60">
        <f t="shared" si="152"/>
        <v>261.14722581688039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207.03241199974599</v>
      </c>
      <c r="EP168" s="60">
        <f t="shared" si="154"/>
        <v>314.188568589113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0.9316406850317388</v>
      </c>
      <c r="EW168" s="23">
        <f>EXP(-LN(2)/25)*EW167+(1-EXP(-LN(2)/25))/(LN(2)/25)*Calculateur!ER168*Calculateur!ET168*VLOOKUP('Données projet'!$B$15,Paramètres!$A$1:$I$89,3,0)*0.475*44/12</f>
        <v>0.23089605867134352</v>
      </c>
      <c r="EX168" s="23">
        <f>EXP(-LN(2)/2)*EX167+(1-EXP(-LN(2)/2))/(LN(2)/2)*ER168*EU168*VLOOKUP('Données projet'!$B$15,Paramètres!$A$1:$I$89,3,0)*0.475*44/12</f>
        <v>1.4012517922634165E-20</v>
      </c>
      <c r="EY168" s="24">
        <f t="shared" si="181"/>
        <v>1.1625367437030822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 t="e">
        <f>N169*VLOOKUP('Données projet'!$B$9,Paramètres!$A$1:$I$89,3,0)*VLOOKUP('Données projet'!$B$9,Paramètres!$A$1:$I$89,5,0)</f>
        <v>#N/A</v>
      </c>
      <c r="P169" s="14" t="e">
        <f t="shared" si="141"/>
        <v>#N/A</v>
      </c>
      <c r="Q169" s="22" t="e">
        <f t="shared" si="162"/>
        <v>#N/A</v>
      </c>
      <c r="R169" s="60" t="e">
        <f t="shared" si="109"/>
        <v>#N/A</v>
      </c>
      <c r="S169" s="60" t="e">
        <f ca="1">AVERAGE(OFFSET($R$3,0,0,'Données projet'!$E$9+1,1))-AVERAGE(OFFSET($H$3,0,0,'Données projet'!$E$9+1,1))</f>
        <v>#N/A</v>
      </c>
      <c r="T169" s="60" t="e">
        <f t="shared" si="142"/>
        <v>#N/A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 t="e">
        <f>EXP(-LN(2)/35)*Z168+(1-EXP(-LN(2)/35))/(LN(2)/35)*V169*W169*VLOOKUP('Données projet'!$B$9,Paramètres!$A$1:$I$89,3,0)*0.475*44/12</f>
        <v>#N/A</v>
      </c>
      <c r="AA169" s="23" t="e">
        <f>EXP(-LN(2)/25)*AA168+(1-EXP(-LN(2)/25))/(LN(2)/25)*Calculateur!V169*Calculateur!X169*VLOOKUP('Données projet'!$B$9,Paramètres!$A$1:$I$89,3,0)*0.475*44/12</f>
        <v>#N/A</v>
      </c>
      <c r="AB169" s="23" t="e">
        <f>EXP(-LN(2)/2)*AB168+(1-EXP(-LN(2)/2))/(LN(2)/2)*V169*Y169*VLOOKUP('Données projet'!$B$9,Paramètres!$A$1:$I$89,3,0)*0.475*44/12</f>
        <v>#N/A</v>
      </c>
      <c r="AC169" s="24" t="e">
        <f t="shared" si="163"/>
        <v>#N/A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428.8489304403459</v>
      </c>
      <c r="AO169" s="60">
        <f t="shared" si="144"/>
        <v>247.01165577562966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-1.9065282685915009E-13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374.79806286316051</v>
      </c>
      <c r="BJ169" s="60">
        <f t="shared" si="146"/>
        <v>350.01856672839466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0.51298630837757597</v>
      </c>
      <c r="BR169" s="23">
        <f>EXP(-LN(2)/2)*BR168+(1-EXP(-LN(2)/2))/(LN(2)/2)*BL169*BO169*VLOOKUP('Données projet'!$B$11,Paramètres!$A$1:$I$89,3,0)*0.475*44/12</f>
        <v>3.7295812873875101E-20</v>
      </c>
      <c r="BS169" s="24">
        <f t="shared" si="169"/>
        <v>0.51298630837757597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-8.7434273154940449E-13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428.8489304403459</v>
      </c>
      <c r="CE169" s="60">
        <f t="shared" si="148"/>
        <v>247.01165577562966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projet'!$B$13,Paramètres!$A$1:$I$89,3,0)*VLOOKUP('Données projet'!$B$13,Paramètres!$A$1:$I$89,5,0)</f>
        <v>-1.6227659216383472E-13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354.63118425028898</v>
      </c>
      <c r="CZ169" s="60">
        <f t="shared" si="150"/>
        <v>244.7141066773861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-9.3464223027694966E-13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455.50822833641354</v>
      </c>
      <c r="DU169" s="60">
        <f t="shared" si="152"/>
        <v>261.14722581688039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207.03241199974599</v>
      </c>
      <c r="EP169" s="60">
        <f t="shared" si="154"/>
        <v>314.188568589113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0.91337177944297476</v>
      </c>
      <c r="EW169" s="23">
        <f>EXP(-LN(2)/25)*EW168+(1-EXP(-LN(2)/25))/(LN(2)/25)*Calculateur!ER169*Calculateur!ET169*VLOOKUP('Données projet'!$B$15,Paramètres!$A$1:$I$89,3,0)*0.475*44/12</f>
        <v>0.22458219380467964</v>
      </c>
      <c r="EX169" s="23">
        <f>EXP(-LN(2)/2)*EX168+(1-EXP(-LN(2)/2))/(LN(2)/2)*ER169*EU169*VLOOKUP('Données projet'!$B$15,Paramètres!$A$1:$I$89,3,0)*0.475*44/12</f>
        <v>9.9083464445926521E-21</v>
      </c>
      <c r="EY169" s="24">
        <f t="shared" si="181"/>
        <v>1.1379539732476545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 t="e">
        <f>N170*VLOOKUP('Données projet'!$B$9,Paramètres!$A$1:$I$89,3,0)*VLOOKUP('Données projet'!$B$9,Paramètres!$A$1:$I$89,5,0)</f>
        <v>#N/A</v>
      </c>
      <c r="P170" s="14" t="e">
        <f t="shared" si="141"/>
        <v>#N/A</v>
      </c>
      <c r="Q170" s="22" t="e">
        <f t="shared" si="162"/>
        <v>#N/A</v>
      </c>
      <c r="R170" s="60" t="e">
        <f t="shared" si="109"/>
        <v>#N/A</v>
      </c>
      <c r="S170" s="60" t="e">
        <f ca="1">AVERAGE(OFFSET($R$3,0,0,'Données projet'!$E$9+1,1))-AVERAGE(OFFSET($H$3,0,0,'Données projet'!$E$9+1,1))</f>
        <v>#N/A</v>
      </c>
      <c r="T170" s="60" t="e">
        <f t="shared" si="142"/>
        <v>#N/A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 t="e">
        <f>EXP(-LN(2)/35)*Z169+(1-EXP(-LN(2)/35))/(LN(2)/35)*V170*W170*VLOOKUP('Données projet'!$B$9,Paramètres!$A$1:$I$89,3,0)*0.475*44/12</f>
        <v>#N/A</v>
      </c>
      <c r="AA170" s="23" t="e">
        <f>EXP(-LN(2)/25)*AA169+(1-EXP(-LN(2)/25))/(LN(2)/25)*Calculateur!V170*Calculateur!X170*VLOOKUP('Données projet'!$B$9,Paramètres!$A$1:$I$89,3,0)*0.475*44/12</f>
        <v>#N/A</v>
      </c>
      <c r="AB170" s="23" t="e">
        <f>EXP(-LN(2)/2)*AB169+(1-EXP(-LN(2)/2))/(LN(2)/2)*V170*Y170*VLOOKUP('Données projet'!$B$9,Paramètres!$A$1:$I$89,3,0)*0.475*44/12</f>
        <v>#N/A</v>
      </c>
      <c r="AC170" s="24" t="e">
        <f t="shared" si="163"/>
        <v>#N/A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428.8489304403459</v>
      </c>
      <c r="AO170" s="60">
        <f t="shared" si="144"/>
        <v>247.01165577562966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-1.9065282685915009E-13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374.79806286316051</v>
      </c>
      <c r="BJ170" s="60">
        <f t="shared" si="146"/>
        <v>350.01856672839466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0.49895867079821365</v>
      </c>
      <c r="BR170" s="23">
        <f>EXP(-LN(2)/2)*BR169+(1-EXP(-LN(2)/2))/(LN(2)/2)*BL170*BO170*VLOOKUP('Données projet'!$B$11,Paramètres!$A$1:$I$89,3,0)*0.475*44/12</f>
        <v>2.6372122192981624E-20</v>
      </c>
      <c r="BS170" s="24">
        <f t="shared" si="169"/>
        <v>0.49895867079821365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-8.7434273154940449E-13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428.8489304403459</v>
      </c>
      <c r="CE170" s="60">
        <f t="shared" si="148"/>
        <v>247.01165577562966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projet'!$B$13,Paramètres!$A$1:$I$89,3,0)*VLOOKUP('Données projet'!$B$13,Paramètres!$A$1:$I$89,5,0)</f>
        <v>-1.6227659216383472E-13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354.63118425028898</v>
      </c>
      <c r="CZ170" s="60">
        <f t="shared" si="150"/>
        <v>244.7141066773861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-9.3464223027694966E-13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455.50822833641354</v>
      </c>
      <c r="DU170" s="60">
        <f t="shared" si="152"/>
        <v>261.14722581688039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207.03241199974599</v>
      </c>
      <c r="EP170" s="60">
        <f t="shared" si="154"/>
        <v>314.188568589113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0.89546111594987421</v>
      </c>
      <c r="EW170" s="23">
        <f>EXP(-LN(2)/25)*EW169+(1-EXP(-LN(2)/25))/(LN(2)/25)*Calculateur!ER170*Calculateur!ET170*VLOOKUP('Données projet'!$B$15,Paramètres!$A$1:$I$89,3,0)*0.475*44/12</f>
        <v>0.21844098190482639</v>
      </c>
      <c r="EX170" s="23">
        <f>EXP(-LN(2)/2)*EX169+(1-EXP(-LN(2)/2))/(LN(2)/2)*ER170*EU170*VLOOKUP('Données projet'!$B$15,Paramètres!$A$1:$I$89,3,0)*0.475*44/12</f>
        <v>7.0062589613170825E-21</v>
      </c>
      <c r="EY170" s="24">
        <f t="shared" si="181"/>
        <v>1.1139020978547005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 t="e">
        <f>N171*VLOOKUP('Données projet'!$B$9,Paramètres!$A$1:$I$89,3,0)*VLOOKUP('Données projet'!$B$9,Paramètres!$A$1:$I$89,5,0)</f>
        <v>#N/A</v>
      </c>
      <c r="P171" s="14" t="e">
        <f t="shared" si="141"/>
        <v>#N/A</v>
      </c>
      <c r="Q171" s="22" t="e">
        <f t="shared" si="162"/>
        <v>#N/A</v>
      </c>
      <c r="R171" s="60" t="e">
        <f t="shared" si="109"/>
        <v>#N/A</v>
      </c>
      <c r="S171" s="60" t="e">
        <f ca="1">AVERAGE(OFFSET($R$3,0,0,'Données projet'!$E$9+1,1))-AVERAGE(OFFSET($H$3,0,0,'Données projet'!$E$9+1,1))</f>
        <v>#N/A</v>
      </c>
      <c r="T171" s="60" t="e">
        <f t="shared" si="142"/>
        <v>#N/A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 t="e">
        <f>EXP(-LN(2)/35)*Z170+(1-EXP(-LN(2)/35))/(LN(2)/35)*V171*W171*VLOOKUP('Données projet'!$B$9,Paramètres!$A$1:$I$89,3,0)*0.475*44/12</f>
        <v>#N/A</v>
      </c>
      <c r="AA171" s="23" t="e">
        <f>EXP(-LN(2)/25)*AA170+(1-EXP(-LN(2)/25))/(LN(2)/25)*Calculateur!V171*Calculateur!X171*VLOOKUP('Données projet'!$B$9,Paramètres!$A$1:$I$89,3,0)*0.475*44/12</f>
        <v>#N/A</v>
      </c>
      <c r="AB171" s="23" t="e">
        <f>EXP(-LN(2)/2)*AB170+(1-EXP(-LN(2)/2))/(LN(2)/2)*V171*Y171*VLOOKUP('Données projet'!$B$9,Paramètres!$A$1:$I$89,3,0)*0.475*44/12</f>
        <v>#N/A</v>
      </c>
      <c r="AC171" s="24" t="e">
        <f t="shared" si="163"/>
        <v>#N/A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428.8489304403459</v>
      </c>
      <c r="AO171" s="60">
        <f t="shared" si="144"/>
        <v>247.01165577562966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-1.9065282685915009E-13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374.79806286316051</v>
      </c>
      <c r="BJ171" s="60">
        <f t="shared" si="146"/>
        <v>350.01856672839466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0.48531461970614037</v>
      </c>
      <c r="BR171" s="23">
        <f>EXP(-LN(2)/2)*BR170+(1-EXP(-LN(2)/2))/(LN(2)/2)*BL171*BO171*VLOOKUP('Données projet'!$B$11,Paramètres!$A$1:$I$89,3,0)*0.475*44/12</f>
        <v>1.8647906436937554E-20</v>
      </c>
      <c r="BS171" s="24">
        <f t="shared" si="169"/>
        <v>0.48531461970614037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-8.7434273154940449E-13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428.8489304403459</v>
      </c>
      <c r="CE171" s="60">
        <f t="shared" si="148"/>
        <v>247.01165577562966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projet'!$B$13,Paramètres!$A$1:$I$89,3,0)*VLOOKUP('Données projet'!$B$13,Paramètres!$A$1:$I$89,5,0)</f>
        <v>-1.6227659216383472E-13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354.63118425028898</v>
      </c>
      <c r="CZ171" s="60">
        <f t="shared" si="150"/>
        <v>244.7141066773861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-9.3464223027694966E-13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455.50822833641354</v>
      </c>
      <c r="DU171" s="60">
        <f t="shared" si="152"/>
        <v>261.14722581688039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207.03241199974599</v>
      </c>
      <c r="EP171" s="60">
        <f t="shared" si="154"/>
        <v>314.188568589113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0.8779016696434474</v>
      </c>
      <c r="EW171" s="23">
        <f>EXP(-LN(2)/25)*EW170+(1-EXP(-LN(2)/25))/(LN(2)/25)*Calculateur!ER171*Calculateur!ET171*VLOOKUP('Données projet'!$B$15,Paramètres!$A$1:$I$89,3,0)*0.475*44/12</f>
        <v>0.21246770176732693</v>
      </c>
      <c r="EX171" s="23">
        <f>EXP(-LN(2)/2)*EX170+(1-EXP(-LN(2)/2))/(LN(2)/2)*ER171*EU171*VLOOKUP('Données projet'!$B$15,Paramètres!$A$1:$I$89,3,0)*0.475*44/12</f>
        <v>4.9541732222963261E-21</v>
      </c>
      <c r="EY171" s="24">
        <f t="shared" si="181"/>
        <v>1.0903693714107743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 t="e">
        <f>N172*VLOOKUP('Données projet'!$B$9,Paramètres!$A$1:$I$89,3,0)*VLOOKUP('Données projet'!$B$9,Paramètres!$A$1:$I$89,5,0)</f>
        <v>#N/A</v>
      </c>
      <c r="P172" s="14" t="e">
        <f t="shared" si="141"/>
        <v>#N/A</v>
      </c>
      <c r="Q172" s="22" t="e">
        <f t="shared" si="162"/>
        <v>#N/A</v>
      </c>
      <c r="R172" s="60" t="e">
        <f t="shared" si="109"/>
        <v>#N/A</v>
      </c>
      <c r="S172" s="60" t="e">
        <f ca="1">AVERAGE(OFFSET($R$3,0,0,'Données projet'!$E$9+1,1))-AVERAGE(OFFSET($H$3,0,0,'Données projet'!$E$9+1,1))</f>
        <v>#N/A</v>
      </c>
      <c r="T172" s="60" t="e">
        <f t="shared" si="142"/>
        <v>#N/A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 t="e">
        <f>EXP(-LN(2)/35)*Z171+(1-EXP(-LN(2)/35))/(LN(2)/35)*V172*W172*VLOOKUP('Données projet'!$B$9,Paramètres!$A$1:$I$89,3,0)*0.475*44/12</f>
        <v>#N/A</v>
      </c>
      <c r="AA172" s="23" t="e">
        <f>EXP(-LN(2)/25)*AA171+(1-EXP(-LN(2)/25))/(LN(2)/25)*Calculateur!V172*Calculateur!X172*VLOOKUP('Données projet'!$B$9,Paramètres!$A$1:$I$89,3,0)*0.475*44/12</f>
        <v>#N/A</v>
      </c>
      <c r="AB172" s="23" t="e">
        <f>EXP(-LN(2)/2)*AB171+(1-EXP(-LN(2)/2))/(LN(2)/2)*V172*Y172*VLOOKUP('Données projet'!$B$9,Paramètres!$A$1:$I$89,3,0)*0.475*44/12</f>
        <v>#N/A</v>
      </c>
      <c r="AC172" s="24" t="e">
        <f t="shared" si="163"/>
        <v>#N/A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428.8489304403459</v>
      </c>
      <c r="AO172" s="60">
        <f t="shared" si="144"/>
        <v>247.01165577562966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-1.9065282685915009E-13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374.79806286316051</v>
      </c>
      <c r="BJ172" s="60">
        <f t="shared" si="146"/>
        <v>350.01856672839466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0.47204366590868929</v>
      </c>
      <c r="BR172" s="23">
        <f>EXP(-LN(2)/2)*BR171+(1-EXP(-LN(2)/2))/(LN(2)/2)*BL172*BO172*VLOOKUP('Données projet'!$B$11,Paramètres!$A$1:$I$89,3,0)*0.475*44/12</f>
        <v>1.3186061096490815E-20</v>
      </c>
      <c r="BS172" s="24">
        <f t="shared" si="169"/>
        <v>0.47204366590868929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-8.7434273154940449E-13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428.8489304403459</v>
      </c>
      <c r="CE172" s="60">
        <f t="shared" si="148"/>
        <v>247.01165577562966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projet'!$B$13,Paramètres!$A$1:$I$89,3,0)*VLOOKUP('Données projet'!$B$13,Paramètres!$A$1:$I$89,5,0)</f>
        <v>-1.6227659216383472E-13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354.63118425028898</v>
      </c>
      <c r="CZ172" s="60">
        <f t="shared" si="150"/>
        <v>244.7141066773861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-9.3464223027694966E-13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455.50822833641354</v>
      </c>
      <c r="DU172" s="60">
        <f t="shared" si="152"/>
        <v>261.14722581688039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207.03241199974599</v>
      </c>
      <c r="EP172" s="60">
        <f t="shared" si="154"/>
        <v>314.188568589113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0.86068655336888489</v>
      </c>
      <c r="EW172" s="23">
        <f>EXP(-LN(2)/25)*EW171+(1-EXP(-LN(2)/25))/(LN(2)/25)*Calculateur!ER172*Calculateur!ET172*VLOOKUP('Données projet'!$B$15,Paramètres!$A$1:$I$89,3,0)*0.475*44/12</f>
        <v>0.20665776128930854</v>
      </c>
      <c r="EX172" s="23">
        <f>EXP(-LN(2)/2)*EX171+(1-EXP(-LN(2)/2))/(LN(2)/2)*ER172*EU172*VLOOKUP('Données projet'!$B$15,Paramètres!$A$1:$I$89,3,0)*0.475*44/12</f>
        <v>3.5031294806585413E-21</v>
      </c>
      <c r="EY172" s="24">
        <f t="shared" si="181"/>
        <v>1.0673443146581933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 t="e">
        <f>N173*VLOOKUP('Données projet'!$B$9,Paramètres!$A$1:$I$89,3,0)*VLOOKUP('Données projet'!$B$9,Paramètres!$A$1:$I$89,5,0)</f>
        <v>#N/A</v>
      </c>
      <c r="P173" s="14" t="e">
        <f t="shared" si="141"/>
        <v>#N/A</v>
      </c>
      <c r="Q173" s="22" t="e">
        <f t="shared" si="162"/>
        <v>#N/A</v>
      </c>
      <c r="R173" s="60" t="e">
        <f t="shared" si="109"/>
        <v>#N/A</v>
      </c>
      <c r="S173" s="60" t="e">
        <f ca="1">AVERAGE(OFFSET($R$3,0,0,'Données projet'!$E$9+1,1))-AVERAGE(OFFSET($H$3,0,0,'Données projet'!$E$9+1,1))</f>
        <v>#N/A</v>
      </c>
      <c r="T173" s="60" t="e">
        <f t="shared" si="142"/>
        <v>#N/A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 t="e">
        <f>EXP(-LN(2)/35)*Z172+(1-EXP(-LN(2)/35))/(LN(2)/35)*V173*W173*VLOOKUP('Données projet'!$B$9,Paramètres!$A$1:$I$89,3,0)*0.475*44/12</f>
        <v>#N/A</v>
      </c>
      <c r="AA173" s="23" t="e">
        <f>EXP(-LN(2)/25)*AA172+(1-EXP(-LN(2)/25))/(LN(2)/25)*Calculateur!V173*Calculateur!X173*VLOOKUP('Données projet'!$B$9,Paramètres!$A$1:$I$89,3,0)*0.475*44/12</f>
        <v>#N/A</v>
      </c>
      <c r="AB173" s="23" t="e">
        <f>EXP(-LN(2)/2)*AB172+(1-EXP(-LN(2)/2))/(LN(2)/2)*V173*Y173*VLOOKUP('Données projet'!$B$9,Paramètres!$A$1:$I$89,3,0)*0.475*44/12</f>
        <v>#N/A</v>
      </c>
      <c r="AC173" s="24" t="e">
        <f t="shared" si="163"/>
        <v>#N/A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428.8489304403459</v>
      </c>
      <c r="AO173" s="60">
        <f t="shared" si="144"/>
        <v>247.01165577562966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-1.9065282685915009E-13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374.79806286316051</v>
      </c>
      <c r="BJ173" s="60">
        <f t="shared" si="146"/>
        <v>350.01856672839466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0.45913560704071865</v>
      </c>
      <c r="BR173" s="23">
        <f>EXP(-LN(2)/2)*BR172+(1-EXP(-LN(2)/2))/(LN(2)/2)*BL173*BO173*VLOOKUP('Données projet'!$B$11,Paramètres!$A$1:$I$89,3,0)*0.475*44/12</f>
        <v>9.3239532184687783E-21</v>
      </c>
      <c r="BS173" s="24">
        <f t="shared" si="169"/>
        <v>0.45913560704071865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-8.7434273154940449E-13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428.8489304403459</v>
      </c>
      <c r="CE173" s="60">
        <f t="shared" si="148"/>
        <v>247.01165577562966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projet'!$B$13,Paramètres!$A$1:$I$89,3,0)*VLOOKUP('Données projet'!$B$13,Paramètres!$A$1:$I$89,5,0)</f>
        <v>-1.6227659216383472E-13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354.63118425028898</v>
      </c>
      <c r="CZ173" s="60">
        <f t="shared" si="150"/>
        <v>244.7141066773861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-9.3464223027694966E-13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455.50822833641354</v>
      </c>
      <c r="DU173" s="60">
        <f t="shared" si="152"/>
        <v>261.14722581688039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207.03241199974599</v>
      </c>
      <c r="EP173" s="60">
        <f t="shared" si="154"/>
        <v>314.188568589113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0.84380901502428241</v>
      </c>
      <c r="EW173" s="23">
        <f>EXP(-LN(2)/25)*EW172+(1-EXP(-LN(2)/25))/(LN(2)/25)*Calculateur!ER173*Calculateur!ET173*VLOOKUP('Données projet'!$B$15,Paramètres!$A$1:$I$89,3,0)*0.475*44/12</f>
        <v>0.20100669393919307</v>
      </c>
      <c r="EX173" s="23">
        <f>EXP(-LN(2)/2)*EX172+(1-EXP(-LN(2)/2))/(LN(2)/2)*ER173*EU173*VLOOKUP('Données projet'!$B$15,Paramètres!$A$1:$I$89,3,0)*0.475*44/12</f>
        <v>2.477086611148163E-21</v>
      </c>
      <c r="EY173" s="24">
        <f t="shared" si="181"/>
        <v>1.0448157089634755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 t="e">
        <f>N174*VLOOKUP('Données projet'!$B$9,Paramètres!$A$1:$I$89,3,0)*VLOOKUP('Données projet'!$B$9,Paramètres!$A$1:$I$89,5,0)</f>
        <v>#N/A</v>
      </c>
      <c r="P174" s="14" t="e">
        <f t="shared" si="141"/>
        <v>#N/A</v>
      </c>
      <c r="Q174" s="22" t="e">
        <f t="shared" si="162"/>
        <v>#N/A</v>
      </c>
      <c r="R174" s="60" t="e">
        <f t="shared" si="109"/>
        <v>#N/A</v>
      </c>
      <c r="S174" s="60" t="e">
        <f ca="1">AVERAGE(OFFSET($R$3,0,0,'Données projet'!$E$9+1,1))-AVERAGE(OFFSET($H$3,0,0,'Données projet'!$E$9+1,1))</f>
        <v>#N/A</v>
      </c>
      <c r="T174" s="60" t="e">
        <f t="shared" si="142"/>
        <v>#N/A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 t="e">
        <f>EXP(-LN(2)/35)*Z173+(1-EXP(-LN(2)/35))/(LN(2)/35)*V174*W174*VLOOKUP('Données projet'!$B$9,Paramètres!$A$1:$I$89,3,0)*0.475*44/12</f>
        <v>#N/A</v>
      </c>
      <c r="AA174" s="23" t="e">
        <f>EXP(-LN(2)/25)*AA173+(1-EXP(-LN(2)/25))/(LN(2)/25)*Calculateur!V174*Calculateur!X174*VLOOKUP('Données projet'!$B$9,Paramètres!$A$1:$I$89,3,0)*0.475*44/12</f>
        <v>#N/A</v>
      </c>
      <c r="AB174" s="23" t="e">
        <f>EXP(-LN(2)/2)*AB173+(1-EXP(-LN(2)/2))/(LN(2)/2)*V174*Y174*VLOOKUP('Données projet'!$B$9,Paramètres!$A$1:$I$89,3,0)*0.475*44/12</f>
        <v>#N/A</v>
      </c>
      <c r="AC174" s="24" t="e">
        <f t="shared" si="163"/>
        <v>#N/A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428.8489304403459</v>
      </c>
      <c r="AO174" s="60">
        <f t="shared" si="144"/>
        <v>247.01165577562966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-1.9065282685915009E-13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374.79806286316051</v>
      </c>
      <c r="BJ174" s="60">
        <f t="shared" si="146"/>
        <v>350.01856672839466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0.44658051972129797</v>
      </c>
      <c r="BR174" s="23">
        <f>EXP(-LN(2)/2)*BR173+(1-EXP(-LN(2)/2))/(LN(2)/2)*BL174*BO174*VLOOKUP('Données projet'!$B$11,Paramètres!$A$1:$I$89,3,0)*0.475*44/12</f>
        <v>6.5930305482454082E-21</v>
      </c>
      <c r="BS174" s="24">
        <f t="shared" si="169"/>
        <v>0.44658051972129797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-8.7434273154940449E-13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428.8489304403459</v>
      </c>
      <c r="CE174" s="60">
        <f t="shared" si="148"/>
        <v>247.01165577562966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projet'!$B$13,Paramètres!$A$1:$I$89,3,0)*VLOOKUP('Données projet'!$B$13,Paramètres!$A$1:$I$89,5,0)</f>
        <v>-1.6227659216383472E-13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354.63118425028898</v>
      </c>
      <c r="CZ174" s="60">
        <f t="shared" si="150"/>
        <v>244.7141066773861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-9.3464223027694966E-13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455.50822833641354</v>
      </c>
      <c r="DU174" s="60">
        <f t="shared" si="152"/>
        <v>261.14722581688039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207.03241199974599</v>
      </c>
      <c r="EP174" s="60">
        <f t="shared" si="154"/>
        <v>314.188568589113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0.82726243491233564</v>
      </c>
      <c r="EW174" s="23">
        <f>EXP(-LN(2)/25)*EW173+(1-EXP(-LN(2)/25))/(LN(2)/25)*Calculateur!ER174*Calculateur!ET174*VLOOKUP('Données projet'!$B$15,Paramètres!$A$1:$I$89,3,0)*0.475*44/12</f>
        <v>0.19551015532294322</v>
      </c>
      <c r="EX174" s="23">
        <f>EXP(-LN(2)/2)*EX173+(1-EXP(-LN(2)/2))/(LN(2)/2)*ER174*EU174*VLOOKUP('Données projet'!$B$15,Paramètres!$A$1:$I$89,3,0)*0.475*44/12</f>
        <v>1.7515647403292706E-21</v>
      </c>
      <c r="EY174" s="24">
        <f t="shared" si="181"/>
        <v>1.0227725902352789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 t="e">
        <f>N175*VLOOKUP('Données projet'!$B$9,Paramètres!$A$1:$I$89,3,0)*VLOOKUP('Données projet'!$B$9,Paramètres!$A$1:$I$89,5,0)</f>
        <v>#N/A</v>
      </c>
      <c r="P175" s="14" t="e">
        <f t="shared" si="141"/>
        <v>#N/A</v>
      </c>
      <c r="Q175" s="22" t="e">
        <f t="shared" si="162"/>
        <v>#N/A</v>
      </c>
      <c r="R175" s="60" t="e">
        <f t="shared" si="109"/>
        <v>#N/A</v>
      </c>
      <c r="S175" s="60" t="e">
        <f ca="1">AVERAGE(OFFSET($R$3,0,0,'Données projet'!$E$9+1,1))-AVERAGE(OFFSET($H$3,0,0,'Données projet'!$E$9+1,1))</f>
        <v>#N/A</v>
      </c>
      <c r="T175" s="60" t="e">
        <f t="shared" si="142"/>
        <v>#N/A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 t="e">
        <f>EXP(-LN(2)/35)*Z174+(1-EXP(-LN(2)/35))/(LN(2)/35)*V175*W175*VLOOKUP('Données projet'!$B$9,Paramètres!$A$1:$I$89,3,0)*0.475*44/12</f>
        <v>#N/A</v>
      </c>
      <c r="AA175" s="23" t="e">
        <f>EXP(-LN(2)/25)*AA174+(1-EXP(-LN(2)/25))/(LN(2)/25)*Calculateur!V175*Calculateur!X175*VLOOKUP('Données projet'!$B$9,Paramètres!$A$1:$I$89,3,0)*0.475*44/12</f>
        <v>#N/A</v>
      </c>
      <c r="AB175" s="23" t="e">
        <f>EXP(-LN(2)/2)*AB174+(1-EXP(-LN(2)/2))/(LN(2)/2)*V175*Y175*VLOOKUP('Données projet'!$B$9,Paramètres!$A$1:$I$89,3,0)*0.475*44/12</f>
        <v>#N/A</v>
      </c>
      <c r="AC175" s="24" t="e">
        <f t="shared" si="163"/>
        <v>#N/A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428.8489304403459</v>
      </c>
      <c r="AO175" s="60">
        <f t="shared" si="144"/>
        <v>247.01165577562966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-1.9065282685915009E-13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374.79806286316051</v>
      </c>
      <c r="BJ175" s="60">
        <f t="shared" si="146"/>
        <v>350.01856672839466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0.43436875192487023</v>
      </c>
      <c r="BR175" s="23">
        <f>EXP(-LN(2)/2)*BR174+(1-EXP(-LN(2)/2))/(LN(2)/2)*BL175*BO175*VLOOKUP('Données projet'!$B$11,Paramètres!$A$1:$I$89,3,0)*0.475*44/12</f>
        <v>4.6619766092343899E-21</v>
      </c>
      <c r="BS175" s="24">
        <f t="shared" si="169"/>
        <v>0.43436875192487023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-8.7434273154940449E-13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428.8489304403459</v>
      </c>
      <c r="CE175" s="60">
        <f t="shared" si="148"/>
        <v>247.01165577562966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projet'!$B$13,Paramètres!$A$1:$I$89,3,0)*VLOOKUP('Données projet'!$B$13,Paramètres!$A$1:$I$89,5,0)</f>
        <v>-1.6227659216383472E-13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354.63118425028898</v>
      </c>
      <c r="CZ175" s="60">
        <f t="shared" si="150"/>
        <v>244.7141066773861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-9.3464223027694966E-13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455.50822833641354</v>
      </c>
      <c r="DU175" s="60">
        <f t="shared" si="152"/>
        <v>261.14722581688039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207.03241199974599</v>
      </c>
      <c r="EP175" s="60">
        <f t="shared" si="154"/>
        <v>314.188568589113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0.8110403231439669</v>
      </c>
      <c r="EW175" s="23">
        <f>EXP(-LN(2)/25)*EW174+(1-EXP(-LN(2)/25))/(LN(2)/25)*Calculateur!ER175*Calculateur!ET175*VLOOKUP('Données projet'!$B$15,Paramètres!$A$1:$I$89,3,0)*0.475*44/12</f>
        <v>0.19016391984420511</v>
      </c>
      <c r="EX175" s="23">
        <f>EXP(-LN(2)/2)*EX174+(1-EXP(-LN(2)/2))/(LN(2)/2)*ER175*EU175*VLOOKUP('Données projet'!$B$15,Paramètres!$A$1:$I$89,3,0)*0.475*44/12</f>
        <v>1.2385433055740815E-21</v>
      </c>
      <c r="EY175" s="24">
        <f t="shared" si="181"/>
        <v>1.001204242988172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 t="e">
        <f>N176*VLOOKUP('Données projet'!$B$9,Paramètres!$A$1:$I$89,3,0)*VLOOKUP('Données projet'!$B$9,Paramètres!$A$1:$I$89,5,0)</f>
        <v>#N/A</v>
      </c>
      <c r="P176" s="14" t="e">
        <f t="shared" si="141"/>
        <v>#N/A</v>
      </c>
      <c r="Q176" s="22" t="e">
        <f t="shared" si="162"/>
        <v>#N/A</v>
      </c>
      <c r="R176" s="60" t="e">
        <f t="shared" si="109"/>
        <v>#N/A</v>
      </c>
      <c r="S176" s="60" t="e">
        <f ca="1">AVERAGE(OFFSET($R$3,0,0,'Données projet'!$E$9+1,1))-AVERAGE(OFFSET($H$3,0,0,'Données projet'!$E$9+1,1))</f>
        <v>#N/A</v>
      </c>
      <c r="T176" s="60" t="e">
        <f t="shared" si="142"/>
        <v>#N/A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 t="e">
        <f>EXP(-LN(2)/35)*Z175+(1-EXP(-LN(2)/35))/(LN(2)/35)*V176*W176*VLOOKUP('Données projet'!$B$9,Paramètres!$A$1:$I$89,3,0)*0.475*44/12</f>
        <v>#N/A</v>
      </c>
      <c r="AA176" s="23" t="e">
        <f>EXP(-LN(2)/25)*AA175+(1-EXP(-LN(2)/25))/(LN(2)/25)*Calculateur!V176*Calculateur!X176*VLOOKUP('Données projet'!$B$9,Paramètres!$A$1:$I$89,3,0)*0.475*44/12</f>
        <v>#N/A</v>
      </c>
      <c r="AB176" s="23" t="e">
        <f>EXP(-LN(2)/2)*AB175+(1-EXP(-LN(2)/2))/(LN(2)/2)*V176*Y176*VLOOKUP('Données projet'!$B$9,Paramètres!$A$1:$I$89,3,0)*0.475*44/12</f>
        <v>#N/A</v>
      </c>
      <c r="AC176" s="24" t="e">
        <f t="shared" si="163"/>
        <v>#N/A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428.8489304403459</v>
      </c>
      <c r="AO176" s="60">
        <f t="shared" si="144"/>
        <v>247.01165577562966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-1.9065282685915009E-13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374.79806286316051</v>
      </c>
      <c r="BJ176" s="60">
        <f t="shared" si="146"/>
        <v>350.01856672839466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0.42249091556102475</v>
      </c>
      <c r="BR176" s="23">
        <f>EXP(-LN(2)/2)*BR175+(1-EXP(-LN(2)/2))/(LN(2)/2)*BL176*BO176*VLOOKUP('Données projet'!$B$11,Paramètres!$A$1:$I$89,3,0)*0.475*44/12</f>
        <v>3.2965152741227048E-21</v>
      </c>
      <c r="BS176" s="24">
        <f t="shared" si="169"/>
        <v>0.42249091556102475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-8.7434273154940449E-13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428.8489304403459</v>
      </c>
      <c r="CE176" s="60">
        <f t="shared" si="148"/>
        <v>247.01165577562966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projet'!$B$13,Paramètres!$A$1:$I$89,3,0)*VLOOKUP('Données projet'!$B$13,Paramètres!$A$1:$I$89,5,0)</f>
        <v>-1.6227659216383472E-13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354.63118425028898</v>
      </c>
      <c r="CZ176" s="60">
        <f t="shared" si="150"/>
        <v>244.7141066773861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-9.3464223027694966E-13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455.50822833641354</v>
      </c>
      <c r="DU176" s="60">
        <f t="shared" si="152"/>
        <v>261.14722581688039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207.03241199974599</v>
      </c>
      <c r="EP176" s="60">
        <f t="shared" si="154"/>
        <v>314.188568589113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0.7951363170928647</v>
      </c>
      <c r="EW176" s="23">
        <f>EXP(-LN(2)/25)*EW175+(1-EXP(-LN(2)/25))/(LN(2)/25)*Calculateur!ER176*Calculateur!ET176*VLOOKUP('Données projet'!$B$15,Paramètres!$A$1:$I$89,3,0)*0.475*44/12</f>
        <v>0.18496387745577941</v>
      </c>
      <c r="EX176" s="23">
        <f>EXP(-LN(2)/2)*EX175+(1-EXP(-LN(2)/2))/(LN(2)/2)*ER176*EU176*VLOOKUP('Données projet'!$B$15,Paramètres!$A$1:$I$89,3,0)*0.475*44/12</f>
        <v>8.7578237016463531E-22</v>
      </c>
      <c r="EY176" s="24">
        <f t="shared" si="181"/>
        <v>0.98010019454864405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 t="e">
        <f>N177*VLOOKUP('Données projet'!$B$9,Paramètres!$A$1:$I$89,3,0)*VLOOKUP('Données projet'!$B$9,Paramètres!$A$1:$I$89,5,0)</f>
        <v>#N/A</v>
      </c>
      <c r="P177" s="14" t="e">
        <f t="shared" si="141"/>
        <v>#N/A</v>
      </c>
      <c r="Q177" s="22" t="e">
        <f t="shared" si="162"/>
        <v>#N/A</v>
      </c>
      <c r="R177" s="60" t="e">
        <f t="shared" si="109"/>
        <v>#N/A</v>
      </c>
      <c r="S177" s="60" t="e">
        <f ca="1">AVERAGE(OFFSET($R$3,0,0,'Données projet'!$E$9+1,1))-AVERAGE(OFFSET($H$3,0,0,'Données projet'!$E$9+1,1))</f>
        <v>#N/A</v>
      </c>
      <c r="T177" s="60" t="e">
        <f t="shared" si="142"/>
        <v>#N/A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 t="e">
        <f>EXP(-LN(2)/35)*Z176+(1-EXP(-LN(2)/35))/(LN(2)/35)*V177*W177*VLOOKUP('Données projet'!$B$9,Paramètres!$A$1:$I$89,3,0)*0.475*44/12</f>
        <v>#N/A</v>
      </c>
      <c r="AA177" s="23" t="e">
        <f>EXP(-LN(2)/25)*AA176+(1-EXP(-LN(2)/25))/(LN(2)/25)*Calculateur!V177*Calculateur!X177*VLOOKUP('Données projet'!$B$9,Paramètres!$A$1:$I$89,3,0)*0.475*44/12</f>
        <v>#N/A</v>
      </c>
      <c r="AB177" s="23" t="e">
        <f>EXP(-LN(2)/2)*AB176+(1-EXP(-LN(2)/2))/(LN(2)/2)*V177*Y177*VLOOKUP('Données projet'!$B$9,Paramètres!$A$1:$I$89,3,0)*0.475*44/12</f>
        <v>#N/A</v>
      </c>
      <c r="AC177" s="24" t="e">
        <f t="shared" si="163"/>
        <v>#N/A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428.8489304403459</v>
      </c>
      <c r="AO177" s="60">
        <f t="shared" si="144"/>
        <v>247.01165577562966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-1.9065282685915009E-13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374.79806286316051</v>
      </c>
      <c r="BJ177" s="60">
        <f t="shared" si="146"/>
        <v>350.01856672839466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0.4109378792571769</v>
      </c>
      <c r="BR177" s="23">
        <f>EXP(-LN(2)/2)*BR176+(1-EXP(-LN(2)/2))/(LN(2)/2)*BL177*BO177*VLOOKUP('Données projet'!$B$11,Paramètres!$A$1:$I$89,3,0)*0.475*44/12</f>
        <v>2.3309883046171953E-21</v>
      </c>
      <c r="BS177" s="24">
        <f t="shared" si="169"/>
        <v>0.4109378792571769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-8.7434273154940449E-13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428.8489304403459</v>
      </c>
      <c r="CE177" s="60">
        <f t="shared" si="148"/>
        <v>247.01165577562966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projet'!$B$13,Paramètres!$A$1:$I$89,3,0)*VLOOKUP('Données projet'!$B$13,Paramètres!$A$1:$I$89,5,0)</f>
        <v>-1.6227659216383472E-13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354.63118425028898</v>
      </c>
      <c r="CZ177" s="60">
        <f t="shared" si="150"/>
        <v>244.7141066773861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-9.3464223027694966E-13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455.50822833641354</v>
      </c>
      <c r="DU177" s="60">
        <f t="shared" si="152"/>
        <v>261.14722581688039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207.03241199974599</v>
      </c>
      <c r="EP177" s="60">
        <f t="shared" si="154"/>
        <v>314.188568589113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0.77954417889993877</v>
      </c>
      <c r="EW177" s="23">
        <f>EXP(-LN(2)/25)*EW176+(1-EXP(-LN(2)/25))/(LN(2)/25)*Calculateur!ER177*Calculateur!ET177*VLOOKUP('Données projet'!$B$15,Paramètres!$A$1:$I$89,3,0)*0.475*44/12</f>
        <v>0.17990603049992354</v>
      </c>
      <c r="EX177" s="23">
        <f>EXP(-LN(2)/2)*EX176+(1-EXP(-LN(2)/2))/(LN(2)/2)*ER177*EU177*VLOOKUP('Données projet'!$B$15,Paramètres!$A$1:$I$89,3,0)*0.475*44/12</f>
        <v>6.1927165278704076E-22</v>
      </c>
      <c r="EY177" s="24">
        <f t="shared" si="181"/>
        <v>0.95945020939986225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 t="e">
        <f>N178*VLOOKUP('Données projet'!$B$9,Paramètres!$A$1:$I$89,3,0)*VLOOKUP('Données projet'!$B$9,Paramètres!$A$1:$I$89,5,0)</f>
        <v>#N/A</v>
      </c>
      <c r="P178" s="14" t="e">
        <f t="shared" si="141"/>
        <v>#N/A</v>
      </c>
      <c r="Q178" s="22" t="e">
        <f t="shared" si="162"/>
        <v>#N/A</v>
      </c>
      <c r="R178" s="60" t="e">
        <f t="shared" si="109"/>
        <v>#N/A</v>
      </c>
      <c r="S178" s="60" t="e">
        <f ca="1">AVERAGE(OFFSET($R$3,0,0,'Données projet'!$E$9+1,1))-AVERAGE(OFFSET($H$3,0,0,'Données projet'!$E$9+1,1))</f>
        <v>#N/A</v>
      </c>
      <c r="T178" s="60" t="e">
        <f t="shared" si="142"/>
        <v>#N/A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 t="e">
        <f>EXP(-LN(2)/35)*Z177+(1-EXP(-LN(2)/35))/(LN(2)/35)*V178*W178*VLOOKUP('Données projet'!$B$9,Paramètres!$A$1:$I$89,3,0)*0.475*44/12</f>
        <v>#N/A</v>
      </c>
      <c r="AA178" s="23" t="e">
        <f>EXP(-LN(2)/25)*AA177+(1-EXP(-LN(2)/25))/(LN(2)/25)*Calculateur!V178*Calculateur!X178*VLOOKUP('Données projet'!$B$9,Paramètres!$A$1:$I$89,3,0)*0.475*44/12</f>
        <v>#N/A</v>
      </c>
      <c r="AB178" s="23" t="e">
        <f>EXP(-LN(2)/2)*AB177+(1-EXP(-LN(2)/2))/(LN(2)/2)*V178*Y178*VLOOKUP('Données projet'!$B$9,Paramètres!$A$1:$I$89,3,0)*0.475*44/12</f>
        <v>#N/A</v>
      </c>
      <c r="AC178" s="24" t="e">
        <f t="shared" si="163"/>
        <v>#N/A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428.8489304403459</v>
      </c>
      <c r="AO178" s="60">
        <f t="shared" si="144"/>
        <v>247.01165577562966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-1.9065282685915009E-13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374.79806286316051</v>
      </c>
      <c r="BJ178" s="60">
        <f t="shared" si="146"/>
        <v>350.01856672839466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0.39970076133860555</v>
      </c>
      <c r="BR178" s="23">
        <f>EXP(-LN(2)/2)*BR177+(1-EXP(-LN(2)/2))/(LN(2)/2)*BL178*BO178*VLOOKUP('Données projet'!$B$11,Paramètres!$A$1:$I$89,3,0)*0.475*44/12</f>
        <v>1.6482576370613526E-21</v>
      </c>
      <c r="BS178" s="24">
        <f t="shared" si="169"/>
        <v>0.39970076133860555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-8.7434273154940449E-13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428.8489304403459</v>
      </c>
      <c r="CE178" s="60">
        <f t="shared" si="148"/>
        <v>247.01165577562966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projet'!$B$13,Paramètres!$A$1:$I$89,3,0)*VLOOKUP('Données projet'!$B$13,Paramètres!$A$1:$I$89,5,0)</f>
        <v>-1.6227659216383472E-13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354.63118425028898</v>
      </c>
      <c r="CZ178" s="60">
        <f t="shared" si="150"/>
        <v>244.7141066773861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-9.3464223027694966E-13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455.50822833641354</v>
      </c>
      <c r="DU178" s="60">
        <f t="shared" si="152"/>
        <v>261.14722581688039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207.03241199974599</v>
      </c>
      <c r="EP178" s="60">
        <f t="shared" si="154"/>
        <v>314.188568589113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0.76425779302671082</v>
      </c>
      <c r="EW178" s="23">
        <f>EXP(-LN(2)/25)*EW177+(1-EXP(-LN(2)/25))/(LN(2)/25)*Calculateur!ER178*Calculateur!ET178*VLOOKUP('Données projet'!$B$15,Paramètres!$A$1:$I$89,3,0)*0.475*44/12</f>
        <v>0.17498649063505617</v>
      </c>
      <c r="EX178" s="23">
        <f>EXP(-LN(2)/2)*EX177+(1-EXP(-LN(2)/2))/(LN(2)/2)*ER178*EU178*VLOOKUP('Données projet'!$B$15,Paramètres!$A$1:$I$89,3,0)*0.475*44/12</f>
        <v>4.3789118508231766E-22</v>
      </c>
      <c r="EY178" s="24">
        <f t="shared" si="181"/>
        <v>0.93924428366176693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 t="e">
        <f>N179*VLOOKUP('Données projet'!$B$9,Paramètres!$A$1:$I$89,3,0)*VLOOKUP('Données projet'!$B$9,Paramètres!$A$1:$I$89,5,0)</f>
        <v>#N/A</v>
      </c>
      <c r="P179" s="14" t="e">
        <f t="shared" si="141"/>
        <v>#N/A</v>
      </c>
      <c r="Q179" s="22" t="e">
        <f t="shared" si="162"/>
        <v>#N/A</v>
      </c>
      <c r="R179" s="60" t="e">
        <f t="shared" si="109"/>
        <v>#N/A</v>
      </c>
      <c r="S179" s="60" t="e">
        <f ca="1">AVERAGE(OFFSET($R$3,0,0,'Données projet'!$E$9+1,1))-AVERAGE(OFFSET($H$3,0,0,'Données projet'!$E$9+1,1))</f>
        <v>#N/A</v>
      </c>
      <c r="T179" s="60" t="e">
        <f t="shared" si="142"/>
        <v>#N/A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 t="e">
        <f>EXP(-LN(2)/35)*Z178+(1-EXP(-LN(2)/35))/(LN(2)/35)*V179*W179*VLOOKUP('Données projet'!$B$9,Paramètres!$A$1:$I$89,3,0)*0.475*44/12</f>
        <v>#N/A</v>
      </c>
      <c r="AA179" s="23" t="e">
        <f>EXP(-LN(2)/25)*AA178+(1-EXP(-LN(2)/25))/(LN(2)/25)*Calculateur!V179*Calculateur!X179*VLOOKUP('Données projet'!$B$9,Paramètres!$A$1:$I$89,3,0)*0.475*44/12</f>
        <v>#N/A</v>
      </c>
      <c r="AB179" s="23" t="e">
        <f>EXP(-LN(2)/2)*AB178+(1-EXP(-LN(2)/2))/(LN(2)/2)*V179*Y179*VLOOKUP('Données projet'!$B$9,Paramètres!$A$1:$I$89,3,0)*0.475*44/12</f>
        <v>#N/A</v>
      </c>
      <c r="AC179" s="24" t="e">
        <f t="shared" si="163"/>
        <v>#N/A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428.8489304403459</v>
      </c>
      <c r="AO179" s="60">
        <f t="shared" si="144"/>
        <v>247.01165577562966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-1.9065282685915009E-13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374.79806286316051</v>
      </c>
      <c r="BJ179" s="60">
        <f t="shared" si="146"/>
        <v>350.01856672839466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0.38877092300045185</v>
      </c>
      <c r="BR179" s="23">
        <f>EXP(-LN(2)/2)*BR178+(1-EXP(-LN(2)/2))/(LN(2)/2)*BL179*BO179*VLOOKUP('Données projet'!$B$11,Paramètres!$A$1:$I$89,3,0)*0.475*44/12</f>
        <v>1.1654941523085978E-21</v>
      </c>
      <c r="BS179" s="24">
        <f t="shared" si="169"/>
        <v>0.38877092300045185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-8.7434273154940449E-13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428.8489304403459</v>
      </c>
      <c r="CE179" s="60">
        <f t="shared" si="148"/>
        <v>247.01165577562966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projet'!$B$13,Paramètres!$A$1:$I$89,3,0)*VLOOKUP('Données projet'!$B$13,Paramètres!$A$1:$I$89,5,0)</f>
        <v>-1.6227659216383472E-13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354.63118425028898</v>
      </c>
      <c r="CZ179" s="60">
        <f t="shared" si="150"/>
        <v>244.7141066773861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-9.3464223027694966E-13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455.50822833641354</v>
      </c>
      <c r="DU179" s="60">
        <f t="shared" si="152"/>
        <v>261.14722581688039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207.03241199974599</v>
      </c>
      <c r="EP179" s="60">
        <f t="shared" si="154"/>
        <v>314.188568589113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0.74927116385668213</v>
      </c>
      <c r="EW179" s="23">
        <f>EXP(-LN(2)/25)*EW178+(1-EXP(-LN(2)/25))/(LN(2)/25)*Calculateur!ER179*Calculateur!ET179*VLOOKUP('Données projet'!$B$15,Paramètres!$A$1:$I$89,3,0)*0.475*44/12</f>
        <v>0.17020147584650094</v>
      </c>
      <c r="EX179" s="23">
        <f>EXP(-LN(2)/2)*EX178+(1-EXP(-LN(2)/2))/(LN(2)/2)*ER179*EU179*VLOOKUP('Données projet'!$B$15,Paramètres!$A$1:$I$89,3,0)*0.475*44/12</f>
        <v>3.0963582639352038E-22</v>
      </c>
      <c r="EY179" s="24">
        <f t="shared" si="181"/>
        <v>0.91947263970318305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 t="e">
        <f>N180*VLOOKUP('Données projet'!$B$9,Paramètres!$A$1:$I$89,3,0)*VLOOKUP('Données projet'!$B$9,Paramètres!$A$1:$I$89,5,0)</f>
        <v>#N/A</v>
      </c>
      <c r="P180" s="14" t="e">
        <f t="shared" si="141"/>
        <v>#N/A</v>
      </c>
      <c r="Q180" s="22" t="e">
        <f t="shared" si="162"/>
        <v>#N/A</v>
      </c>
      <c r="R180" s="60" t="e">
        <f t="shared" si="109"/>
        <v>#N/A</v>
      </c>
      <c r="S180" s="60" t="e">
        <f ca="1">AVERAGE(OFFSET($R$3,0,0,'Données projet'!$E$9+1,1))-AVERAGE(OFFSET($H$3,0,0,'Données projet'!$E$9+1,1))</f>
        <v>#N/A</v>
      </c>
      <c r="T180" s="60" t="e">
        <f t="shared" si="142"/>
        <v>#N/A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 t="e">
        <f>EXP(-LN(2)/35)*Z179+(1-EXP(-LN(2)/35))/(LN(2)/35)*V180*W180*VLOOKUP('Données projet'!$B$9,Paramètres!$A$1:$I$89,3,0)*0.475*44/12</f>
        <v>#N/A</v>
      </c>
      <c r="AA180" s="23" t="e">
        <f>EXP(-LN(2)/25)*AA179+(1-EXP(-LN(2)/25))/(LN(2)/25)*Calculateur!V180*Calculateur!X180*VLOOKUP('Données projet'!$B$9,Paramètres!$A$1:$I$89,3,0)*0.475*44/12</f>
        <v>#N/A</v>
      </c>
      <c r="AB180" s="23" t="e">
        <f>EXP(-LN(2)/2)*AB179+(1-EXP(-LN(2)/2))/(LN(2)/2)*V180*Y180*VLOOKUP('Données projet'!$B$9,Paramètres!$A$1:$I$89,3,0)*0.475*44/12</f>
        <v>#N/A</v>
      </c>
      <c r="AC180" s="24" t="e">
        <f t="shared" si="163"/>
        <v>#N/A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428.8489304403459</v>
      </c>
      <c r="AO180" s="60">
        <f t="shared" si="144"/>
        <v>247.01165577562966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-1.9065282685915009E-13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374.79806286316051</v>
      </c>
      <c r="BJ180" s="60">
        <f t="shared" si="146"/>
        <v>350.01856672839466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0.37813996166643021</v>
      </c>
      <c r="BR180" s="23">
        <f>EXP(-LN(2)/2)*BR179+(1-EXP(-LN(2)/2))/(LN(2)/2)*BL180*BO180*VLOOKUP('Données projet'!$B$11,Paramètres!$A$1:$I$89,3,0)*0.475*44/12</f>
        <v>8.2412881853067649E-22</v>
      </c>
      <c r="BS180" s="24">
        <f t="shared" si="169"/>
        <v>0.37813996166643021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-8.7434273154940449E-13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428.8489304403459</v>
      </c>
      <c r="CE180" s="60">
        <f t="shared" si="148"/>
        <v>247.01165577562966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projet'!$B$13,Paramètres!$A$1:$I$89,3,0)*VLOOKUP('Données projet'!$B$13,Paramètres!$A$1:$I$89,5,0)</f>
        <v>-1.6227659216383472E-13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354.63118425028898</v>
      </c>
      <c r="CZ180" s="60">
        <f t="shared" si="150"/>
        <v>244.7141066773861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-9.3464223027694966E-13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455.50822833641354</v>
      </c>
      <c r="DU180" s="60">
        <f t="shared" si="152"/>
        <v>261.14722581688039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207.03241199974599</v>
      </c>
      <c r="EP180" s="60">
        <f t="shared" si="154"/>
        <v>314.188568589113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0.73457841334373652</v>
      </c>
      <c r="EW180" s="23">
        <f>EXP(-LN(2)/25)*EW179+(1-EXP(-LN(2)/25))/(LN(2)/25)*Calculateur!ER180*Calculateur!ET180*VLOOKUP('Données projet'!$B$15,Paramètres!$A$1:$I$89,3,0)*0.475*44/12</f>
        <v>0.16554730753897176</v>
      </c>
      <c r="EX180" s="23">
        <f>EXP(-LN(2)/2)*EX179+(1-EXP(-LN(2)/2))/(LN(2)/2)*ER180*EU180*VLOOKUP('Données projet'!$B$15,Paramètres!$A$1:$I$89,3,0)*0.475*44/12</f>
        <v>2.1894559254115883E-22</v>
      </c>
      <c r="EY180" s="24">
        <f t="shared" si="181"/>
        <v>0.90012572088270826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 t="e">
        <f>N181*VLOOKUP('Données projet'!$B$9,Paramètres!$A$1:$I$89,3,0)*VLOOKUP('Données projet'!$B$9,Paramètres!$A$1:$I$89,5,0)</f>
        <v>#N/A</v>
      </c>
      <c r="P181" s="14" t="e">
        <f t="shared" si="141"/>
        <v>#N/A</v>
      </c>
      <c r="Q181" s="22" t="e">
        <f t="shared" si="162"/>
        <v>#N/A</v>
      </c>
      <c r="R181" s="60" t="e">
        <f t="shared" si="109"/>
        <v>#N/A</v>
      </c>
      <c r="S181" s="60" t="e">
        <f ca="1">AVERAGE(OFFSET($R$3,0,0,'Données projet'!$E$9+1,1))-AVERAGE(OFFSET($H$3,0,0,'Données projet'!$E$9+1,1))</f>
        <v>#N/A</v>
      </c>
      <c r="T181" s="60" t="e">
        <f t="shared" si="142"/>
        <v>#N/A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 t="e">
        <f>EXP(-LN(2)/35)*Z180+(1-EXP(-LN(2)/35))/(LN(2)/35)*V181*W181*VLOOKUP('Données projet'!$B$9,Paramètres!$A$1:$I$89,3,0)*0.475*44/12</f>
        <v>#N/A</v>
      </c>
      <c r="AA181" s="23" t="e">
        <f>EXP(-LN(2)/25)*AA180+(1-EXP(-LN(2)/25))/(LN(2)/25)*Calculateur!V181*Calculateur!X181*VLOOKUP('Données projet'!$B$9,Paramètres!$A$1:$I$89,3,0)*0.475*44/12</f>
        <v>#N/A</v>
      </c>
      <c r="AB181" s="23" t="e">
        <f>EXP(-LN(2)/2)*AB180+(1-EXP(-LN(2)/2))/(LN(2)/2)*V181*Y181*VLOOKUP('Données projet'!$B$9,Paramètres!$A$1:$I$89,3,0)*0.475*44/12</f>
        <v>#N/A</v>
      </c>
      <c r="AC181" s="24" t="e">
        <f t="shared" si="163"/>
        <v>#N/A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428.8489304403459</v>
      </c>
      <c r="AO181" s="60">
        <f t="shared" si="144"/>
        <v>247.01165577562966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-1.9065282685915009E-13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374.79806286316051</v>
      </c>
      <c r="BJ181" s="60">
        <f t="shared" si="146"/>
        <v>350.01856672839466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0.36779970452914534</v>
      </c>
      <c r="BR181" s="23">
        <f>EXP(-LN(2)/2)*BR180+(1-EXP(-LN(2)/2))/(LN(2)/2)*BL181*BO181*VLOOKUP('Données projet'!$B$11,Paramètres!$A$1:$I$89,3,0)*0.475*44/12</f>
        <v>5.8274707615429902E-22</v>
      </c>
      <c r="BS181" s="24">
        <f t="shared" si="169"/>
        <v>0.36779970452914534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-8.7434273154940449E-13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428.8489304403459</v>
      </c>
      <c r="CE181" s="60">
        <f t="shared" si="148"/>
        <v>247.01165577562966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projet'!$B$13,Paramètres!$A$1:$I$89,3,0)*VLOOKUP('Données projet'!$B$13,Paramètres!$A$1:$I$89,5,0)</f>
        <v>-1.6227659216383472E-13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354.63118425028898</v>
      </c>
      <c r="CZ181" s="60">
        <f t="shared" si="150"/>
        <v>244.7141066773861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-9.3464223027694966E-13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455.50822833641354</v>
      </c>
      <c r="DU181" s="60">
        <f t="shared" si="152"/>
        <v>261.14722581688039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207.03241199974599</v>
      </c>
      <c r="EP181" s="60">
        <f t="shared" si="154"/>
        <v>314.188568589113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0.72017377870665689</v>
      </c>
      <c r="EW181" s="23">
        <f>EXP(-LN(2)/25)*EW180+(1-EXP(-LN(2)/25))/(LN(2)/25)*Calculateur!ER181*Calculateur!ET181*VLOOKUP('Données projet'!$B$15,Paramètres!$A$1:$I$89,3,0)*0.475*44/12</f>
        <v>0.16102040770856405</v>
      </c>
      <c r="EX181" s="23">
        <f>EXP(-LN(2)/2)*EX180+(1-EXP(-LN(2)/2))/(LN(2)/2)*ER181*EU181*VLOOKUP('Données projet'!$B$15,Paramètres!$A$1:$I$89,3,0)*0.475*44/12</f>
        <v>1.5481791319676019E-22</v>
      </c>
      <c r="EY181" s="24">
        <f t="shared" si="181"/>
        <v>0.88119418641522096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 t="e">
        <f>N182*VLOOKUP('Données projet'!$B$9,Paramètres!$A$1:$I$89,3,0)*VLOOKUP('Données projet'!$B$9,Paramètres!$A$1:$I$89,5,0)</f>
        <v>#N/A</v>
      </c>
      <c r="P182" s="14" t="e">
        <f t="shared" si="141"/>
        <v>#N/A</v>
      </c>
      <c r="Q182" s="22" t="e">
        <f t="shared" si="162"/>
        <v>#N/A</v>
      </c>
      <c r="R182" s="60" t="e">
        <f t="shared" si="109"/>
        <v>#N/A</v>
      </c>
      <c r="S182" s="60" t="e">
        <f ca="1">AVERAGE(OFFSET($R$3,0,0,'Données projet'!$E$9+1,1))-AVERAGE(OFFSET($H$3,0,0,'Données projet'!$E$9+1,1))</f>
        <v>#N/A</v>
      </c>
      <c r="T182" s="60" t="e">
        <f t="shared" si="142"/>
        <v>#N/A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 t="e">
        <f>EXP(-LN(2)/35)*Z181+(1-EXP(-LN(2)/35))/(LN(2)/35)*V182*W182*VLOOKUP('Données projet'!$B$9,Paramètres!$A$1:$I$89,3,0)*0.475*44/12</f>
        <v>#N/A</v>
      </c>
      <c r="AA182" s="23" t="e">
        <f>EXP(-LN(2)/25)*AA181+(1-EXP(-LN(2)/25))/(LN(2)/25)*Calculateur!V182*Calculateur!X182*VLOOKUP('Données projet'!$B$9,Paramètres!$A$1:$I$89,3,0)*0.475*44/12</f>
        <v>#N/A</v>
      </c>
      <c r="AB182" s="23" t="e">
        <f>EXP(-LN(2)/2)*AB181+(1-EXP(-LN(2)/2))/(LN(2)/2)*V182*Y182*VLOOKUP('Données projet'!$B$9,Paramètres!$A$1:$I$89,3,0)*0.475*44/12</f>
        <v>#N/A</v>
      </c>
      <c r="AC182" s="24" t="e">
        <f t="shared" si="163"/>
        <v>#N/A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428.8489304403459</v>
      </c>
      <c r="AO182" s="60">
        <f t="shared" si="144"/>
        <v>247.01165577562966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-1.9065282685915009E-13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374.79806286316051</v>
      </c>
      <c r="BJ182" s="60">
        <f t="shared" si="146"/>
        <v>350.01856672839466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0.35774220226705</v>
      </c>
      <c r="BR182" s="23">
        <f>EXP(-LN(2)/2)*BR181+(1-EXP(-LN(2)/2))/(LN(2)/2)*BL182*BO182*VLOOKUP('Données projet'!$B$11,Paramètres!$A$1:$I$89,3,0)*0.475*44/12</f>
        <v>4.1206440926533829E-22</v>
      </c>
      <c r="BS182" s="24">
        <f t="shared" si="169"/>
        <v>0.35774220226705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-8.7434273154940449E-13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428.8489304403459</v>
      </c>
      <c r="CE182" s="60">
        <f t="shared" si="148"/>
        <v>247.01165577562966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projet'!$B$13,Paramètres!$A$1:$I$89,3,0)*VLOOKUP('Données projet'!$B$13,Paramètres!$A$1:$I$89,5,0)</f>
        <v>-1.6227659216383472E-13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354.63118425028898</v>
      </c>
      <c r="CZ182" s="60">
        <f t="shared" si="150"/>
        <v>244.7141066773861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-9.3464223027694966E-13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455.50822833641354</v>
      </c>
      <c r="DU182" s="60">
        <f t="shared" si="152"/>
        <v>261.14722581688039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207.03241199974599</v>
      </c>
      <c r="EP182" s="60">
        <f t="shared" si="154"/>
        <v>314.188568589113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0.70605161016885076</v>
      </c>
      <c r="EW182" s="23">
        <f>EXP(-LN(2)/25)*EW181+(1-EXP(-LN(2)/25))/(LN(2)/25)*Calculateur!ER182*Calculateur!ET182*VLOOKUP('Données projet'!$B$15,Paramètres!$A$1:$I$89,3,0)*0.475*44/12</f>
        <v>0.15661729619207815</v>
      </c>
      <c r="EX182" s="23">
        <f>EXP(-LN(2)/2)*EX181+(1-EXP(-LN(2)/2))/(LN(2)/2)*ER182*EU182*VLOOKUP('Données projet'!$B$15,Paramètres!$A$1:$I$89,3,0)*0.475*44/12</f>
        <v>1.0947279627057941E-22</v>
      </c>
      <c r="EY182" s="24">
        <f t="shared" si="181"/>
        <v>0.86266890636092897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 t="e">
        <f>N183*VLOOKUP('Données projet'!$B$9,Paramètres!$A$1:$I$89,3,0)*VLOOKUP('Données projet'!$B$9,Paramètres!$A$1:$I$89,5,0)</f>
        <v>#N/A</v>
      </c>
      <c r="P183" s="14" t="e">
        <f t="shared" si="141"/>
        <v>#N/A</v>
      </c>
      <c r="Q183" s="22" t="e">
        <f t="shared" si="162"/>
        <v>#N/A</v>
      </c>
      <c r="R183" s="60" t="e">
        <f t="shared" si="109"/>
        <v>#N/A</v>
      </c>
      <c r="S183" s="60" t="e">
        <f ca="1">AVERAGE(OFFSET($R$3,0,0,'Données projet'!$E$9+1,1))-AVERAGE(OFFSET($H$3,0,0,'Données projet'!$E$9+1,1))</f>
        <v>#N/A</v>
      </c>
      <c r="T183" s="60" t="e">
        <f t="shared" si="142"/>
        <v>#N/A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 t="e">
        <f>EXP(-LN(2)/35)*Z182+(1-EXP(-LN(2)/35))/(LN(2)/35)*V183*W183*VLOOKUP('Données projet'!$B$9,Paramètres!$A$1:$I$89,3,0)*0.475*44/12</f>
        <v>#N/A</v>
      </c>
      <c r="AA183" s="23" t="e">
        <f>EXP(-LN(2)/25)*AA182+(1-EXP(-LN(2)/25))/(LN(2)/25)*Calculateur!V183*Calculateur!X183*VLOOKUP('Données projet'!$B$9,Paramètres!$A$1:$I$89,3,0)*0.475*44/12</f>
        <v>#N/A</v>
      </c>
      <c r="AB183" s="23" t="e">
        <f>EXP(-LN(2)/2)*AB182+(1-EXP(-LN(2)/2))/(LN(2)/2)*V183*Y183*VLOOKUP('Données projet'!$B$9,Paramètres!$A$1:$I$89,3,0)*0.475*44/12</f>
        <v>#N/A</v>
      </c>
      <c r="AC183" s="24" t="e">
        <f t="shared" si="163"/>
        <v>#N/A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428.8489304403459</v>
      </c>
      <c r="AO183" s="60">
        <f t="shared" si="144"/>
        <v>247.01165577562966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-1.9065282685915009E-13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374.79806286316051</v>
      </c>
      <c r="BJ183" s="60">
        <f t="shared" si="146"/>
        <v>350.01856672839466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0.34795972293321276</v>
      </c>
      <c r="BR183" s="23">
        <f>EXP(-LN(2)/2)*BR182+(1-EXP(-LN(2)/2))/(LN(2)/2)*BL183*BO183*VLOOKUP('Données projet'!$B$11,Paramètres!$A$1:$I$89,3,0)*0.475*44/12</f>
        <v>2.9137353807714956E-22</v>
      </c>
      <c r="BS183" s="24">
        <f t="shared" si="169"/>
        <v>0.34795972293321276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-8.7434273154940449E-13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428.8489304403459</v>
      </c>
      <c r="CE183" s="60">
        <f t="shared" si="148"/>
        <v>247.01165577562966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projet'!$B$13,Paramètres!$A$1:$I$89,3,0)*VLOOKUP('Données projet'!$B$13,Paramètres!$A$1:$I$89,5,0)</f>
        <v>-1.6227659216383472E-13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354.63118425028898</v>
      </c>
      <c r="CZ183" s="60">
        <f t="shared" si="150"/>
        <v>244.7141066773861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-9.3464223027694966E-13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455.50822833641354</v>
      </c>
      <c r="DU183" s="60">
        <f t="shared" si="152"/>
        <v>261.14722581688039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207.03241199974599</v>
      </c>
      <c r="EP183" s="60">
        <f t="shared" si="154"/>
        <v>314.188568589113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0.69220636874239871</v>
      </c>
      <c r="EW183" s="23">
        <f>EXP(-LN(2)/25)*EW182+(1-EXP(-LN(2)/25))/(LN(2)/25)*Calculateur!ER183*Calculateur!ET183*VLOOKUP('Données projet'!$B$15,Paramètres!$A$1:$I$89,3,0)*0.475*44/12</f>
        <v>0.15233458799156011</v>
      </c>
      <c r="EX183" s="23">
        <f>EXP(-LN(2)/2)*EX182+(1-EXP(-LN(2)/2))/(LN(2)/2)*ER183*EU183*VLOOKUP('Données projet'!$B$15,Paramètres!$A$1:$I$89,3,0)*0.475*44/12</f>
        <v>7.7408956598380095E-23</v>
      </c>
      <c r="EY183" s="24">
        <f t="shared" si="181"/>
        <v>0.84454095673395879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 t="e">
        <f>N184*VLOOKUP('Données projet'!$B$9,Paramètres!$A$1:$I$89,3,0)*VLOOKUP('Données projet'!$B$9,Paramètres!$A$1:$I$89,5,0)</f>
        <v>#N/A</v>
      </c>
      <c r="P184" s="14" t="e">
        <f t="shared" si="141"/>
        <v>#N/A</v>
      </c>
      <c r="Q184" s="22" t="e">
        <f t="shared" si="162"/>
        <v>#N/A</v>
      </c>
      <c r="R184" s="60" t="e">
        <f t="shared" si="109"/>
        <v>#N/A</v>
      </c>
      <c r="S184" s="60" t="e">
        <f ca="1">AVERAGE(OFFSET($R$3,0,0,'Données projet'!$E$9+1,1))-AVERAGE(OFFSET($H$3,0,0,'Données projet'!$E$9+1,1))</f>
        <v>#N/A</v>
      </c>
      <c r="T184" s="60" t="e">
        <f t="shared" si="142"/>
        <v>#N/A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 t="e">
        <f>EXP(-LN(2)/35)*Z183+(1-EXP(-LN(2)/35))/(LN(2)/35)*V184*W184*VLOOKUP('Données projet'!$B$9,Paramètres!$A$1:$I$89,3,0)*0.475*44/12</f>
        <v>#N/A</v>
      </c>
      <c r="AA184" s="23" t="e">
        <f>EXP(-LN(2)/25)*AA183+(1-EXP(-LN(2)/25))/(LN(2)/25)*Calculateur!V184*Calculateur!X184*VLOOKUP('Données projet'!$B$9,Paramètres!$A$1:$I$89,3,0)*0.475*44/12</f>
        <v>#N/A</v>
      </c>
      <c r="AB184" s="23" t="e">
        <f>EXP(-LN(2)/2)*AB183+(1-EXP(-LN(2)/2))/(LN(2)/2)*V184*Y184*VLOOKUP('Données projet'!$B$9,Paramètres!$A$1:$I$89,3,0)*0.475*44/12</f>
        <v>#N/A</v>
      </c>
      <c r="AC184" s="24" t="e">
        <f t="shared" si="163"/>
        <v>#N/A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428.8489304403459</v>
      </c>
      <c r="AO184" s="60">
        <f t="shared" si="144"/>
        <v>247.01165577562966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-1.9065282685915009E-13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374.79806286316051</v>
      </c>
      <c r="BJ184" s="60">
        <f t="shared" si="146"/>
        <v>350.01856672839466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0.33844474601119751</v>
      </c>
      <c r="BR184" s="23">
        <f>EXP(-LN(2)/2)*BR183+(1-EXP(-LN(2)/2))/(LN(2)/2)*BL184*BO184*VLOOKUP('Données projet'!$B$11,Paramètres!$A$1:$I$89,3,0)*0.475*44/12</f>
        <v>2.0603220463266917E-22</v>
      </c>
      <c r="BS184" s="24">
        <f t="shared" si="169"/>
        <v>0.33844474601119751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-8.7434273154940449E-13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428.8489304403459</v>
      </c>
      <c r="CE184" s="60">
        <f t="shared" si="148"/>
        <v>247.01165577562966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projet'!$B$13,Paramètres!$A$1:$I$89,3,0)*VLOOKUP('Données projet'!$B$13,Paramètres!$A$1:$I$89,5,0)</f>
        <v>-1.6227659216383472E-13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354.63118425028898</v>
      </c>
      <c r="CZ184" s="60">
        <f t="shared" si="150"/>
        <v>244.7141066773861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-9.3464223027694966E-13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455.50822833641354</v>
      </c>
      <c r="DU184" s="60">
        <f t="shared" si="152"/>
        <v>261.14722581688039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207.03241199974599</v>
      </c>
      <c r="EP184" s="60">
        <f t="shared" si="154"/>
        <v>314.188568589113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0.67863262405555602</v>
      </c>
      <c r="EW184" s="23">
        <f>EXP(-LN(2)/25)*EW183+(1-EXP(-LN(2)/25))/(LN(2)/25)*Calculateur!ER184*Calculateur!ET184*VLOOKUP('Données projet'!$B$15,Paramètres!$A$1:$I$89,3,0)*0.475*44/12</f>
        <v>0.14816899067200306</v>
      </c>
      <c r="EX184" s="23">
        <f>EXP(-LN(2)/2)*EX183+(1-EXP(-LN(2)/2))/(LN(2)/2)*ER184*EU184*VLOOKUP('Données projet'!$B$15,Paramètres!$A$1:$I$89,3,0)*0.475*44/12</f>
        <v>5.4736398135289707E-23</v>
      </c>
      <c r="EY184" s="24">
        <f t="shared" si="181"/>
        <v>0.82680161472755909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 t="e">
        <f>N185*VLOOKUP('Données projet'!$B$9,Paramètres!$A$1:$I$89,3,0)*VLOOKUP('Données projet'!$B$9,Paramètres!$A$1:$I$89,5,0)</f>
        <v>#N/A</v>
      </c>
      <c r="P185" s="14" t="e">
        <f t="shared" si="141"/>
        <v>#N/A</v>
      </c>
      <c r="Q185" s="22" t="e">
        <f t="shared" si="162"/>
        <v>#N/A</v>
      </c>
      <c r="R185" s="60" t="e">
        <f t="shared" si="109"/>
        <v>#N/A</v>
      </c>
      <c r="S185" s="60" t="e">
        <f ca="1">AVERAGE(OFFSET($R$3,0,0,'Données projet'!$E$9+1,1))-AVERAGE(OFFSET($H$3,0,0,'Données projet'!$E$9+1,1))</f>
        <v>#N/A</v>
      </c>
      <c r="T185" s="60" t="e">
        <f t="shared" si="142"/>
        <v>#N/A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 t="e">
        <f>EXP(-LN(2)/35)*Z184+(1-EXP(-LN(2)/35))/(LN(2)/35)*V185*W185*VLOOKUP('Données projet'!$B$9,Paramètres!$A$1:$I$89,3,0)*0.475*44/12</f>
        <v>#N/A</v>
      </c>
      <c r="AA185" s="23" t="e">
        <f>EXP(-LN(2)/25)*AA184+(1-EXP(-LN(2)/25))/(LN(2)/25)*Calculateur!V185*Calculateur!X185*VLOOKUP('Données projet'!$B$9,Paramètres!$A$1:$I$89,3,0)*0.475*44/12</f>
        <v>#N/A</v>
      </c>
      <c r="AB185" s="23" t="e">
        <f>EXP(-LN(2)/2)*AB184+(1-EXP(-LN(2)/2))/(LN(2)/2)*V185*Y185*VLOOKUP('Données projet'!$B$9,Paramètres!$A$1:$I$89,3,0)*0.475*44/12</f>
        <v>#N/A</v>
      </c>
      <c r="AC185" s="24" t="e">
        <f t="shared" si="163"/>
        <v>#N/A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428.8489304403459</v>
      </c>
      <c r="AO185" s="60">
        <f t="shared" si="144"/>
        <v>247.01165577562966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-1.9065282685915009E-13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374.79806286316051</v>
      </c>
      <c r="BJ185" s="60">
        <f t="shared" si="146"/>
        <v>350.01856672839466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0.32918995663348566</v>
      </c>
      <c r="BR185" s="23">
        <f>EXP(-LN(2)/2)*BR184+(1-EXP(-LN(2)/2))/(LN(2)/2)*BL185*BO185*VLOOKUP('Données projet'!$B$11,Paramètres!$A$1:$I$89,3,0)*0.475*44/12</f>
        <v>1.456867690385748E-22</v>
      </c>
      <c r="BS185" s="24">
        <f t="shared" si="169"/>
        <v>0.32918995663348566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-8.7434273154940449E-13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428.8489304403459</v>
      </c>
      <c r="CE185" s="60">
        <f t="shared" si="148"/>
        <v>247.01165577562966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projet'!$B$13,Paramètres!$A$1:$I$89,3,0)*VLOOKUP('Données projet'!$B$13,Paramètres!$A$1:$I$89,5,0)</f>
        <v>-1.6227659216383472E-13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354.63118425028898</v>
      </c>
      <c r="CZ185" s="60">
        <f t="shared" si="150"/>
        <v>244.7141066773861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-9.3464223027694966E-13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455.50822833641354</v>
      </c>
      <c r="DU185" s="60">
        <f t="shared" si="152"/>
        <v>261.14722581688039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207.03241199974599</v>
      </c>
      <c r="EP185" s="60">
        <f t="shared" si="154"/>
        <v>314.188568589113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0.66532505222285554</v>
      </c>
      <c r="EW185" s="23">
        <f>EXP(-LN(2)/25)*EW184+(1-EXP(-LN(2)/25))/(LN(2)/25)*Calculateur!ER185*Calculateur!ET185*VLOOKUP('Données projet'!$B$15,Paramètres!$A$1:$I$89,3,0)*0.475*44/12</f>
        <v>0.14411730183020857</v>
      </c>
      <c r="EX185" s="23">
        <f>EXP(-LN(2)/2)*EX184+(1-EXP(-LN(2)/2))/(LN(2)/2)*ER185*EU185*VLOOKUP('Données projet'!$B$15,Paramètres!$A$1:$I$89,3,0)*0.475*44/12</f>
        <v>3.8704478299190047E-23</v>
      </c>
      <c r="EY185" s="24">
        <f t="shared" si="181"/>
        <v>0.80944235405306408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 t="e">
        <f>N186*VLOOKUP('Données projet'!$B$9,Paramètres!$A$1:$I$89,3,0)*VLOOKUP('Données projet'!$B$9,Paramètres!$A$1:$I$89,5,0)</f>
        <v>#N/A</v>
      </c>
      <c r="P186" s="14" t="e">
        <f t="shared" si="141"/>
        <v>#N/A</v>
      </c>
      <c r="Q186" s="22" t="e">
        <f t="shared" si="162"/>
        <v>#N/A</v>
      </c>
      <c r="R186" s="60" t="e">
        <f t="shared" si="109"/>
        <v>#N/A</v>
      </c>
      <c r="S186" s="60" t="e">
        <f ca="1">AVERAGE(OFFSET($R$3,0,0,'Données projet'!$E$9+1,1))-AVERAGE(OFFSET($H$3,0,0,'Données projet'!$E$9+1,1))</f>
        <v>#N/A</v>
      </c>
      <c r="T186" s="60" t="e">
        <f t="shared" si="142"/>
        <v>#N/A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 t="e">
        <f>EXP(-LN(2)/35)*Z185+(1-EXP(-LN(2)/35))/(LN(2)/35)*V186*W186*VLOOKUP('Données projet'!$B$9,Paramètres!$A$1:$I$89,3,0)*0.475*44/12</f>
        <v>#N/A</v>
      </c>
      <c r="AA186" s="23" t="e">
        <f>EXP(-LN(2)/25)*AA185+(1-EXP(-LN(2)/25))/(LN(2)/25)*Calculateur!V186*Calculateur!X186*VLOOKUP('Données projet'!$B$9,Paramètres!$A$1:$I$89,3,0)*0.475*44/12</f>
        <v>#N/A</v>
      </c>
      <c r="AB186" s="23" t="e">
        <f>EXP(-LN(2)/2)*AB185+(1-EXP(-LN(2)/2))/(LN(2)/2)*V186*Y186*VLOOKUP('Données projet'!$B$9,Paramètres!$A$1:$I$89,3,0)*0.475*44/12</f>
        <v>#N/A</v>
      </c>
      <c r="AC186" s="24" t="e">
        <f t="shared" si="163"/>
        <v>#N/A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428.8489304403459</v>
      </c>
      <c r="AO186" s="60">
        <f t="shared" si="144"/>
        <v>247.01165577562966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-1.9065282685915009E-13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374.79806286316051</v>
      </c>
      <c r="BJ186" s="60">
        <f t="shared" si="146"/>
        <v>350.01856672839466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0.32018823995799556</v>
      </c>
      <c r="BR186" s="23">
        <f>EXP(-LN(2)/2)*BR185+(1-EXP(-LN(2)/2))/(LN(2)/2)*BL186*BO186*VLOOKUP('Données projet'!$B$11,Paramètres!$A$1:$I$89,3,0)*0.475*44/12</f>
        <v>1.0301610231633461E-22</v>
      </c>
      <c r="BS186" s="24">
        <f t="shared" si="169"/>
        <v>0.32018823995799556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-8.7434273154940449E-13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428.8489304403459</v>
      </c>
      <c r="CE186" s="60">
        <f t="shared" si="148"/>
        <v>247.01165577562966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projet'!$B$13,Paramètres!$A$1:$I$89,3,0)*VLOOKUP('Données projet'!$B$13,Paramètres!$A$1:$I$89,5,0)</f>
        <v>-1.6227659216383472E-13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354.63118425028898</v>
      </c>
      <c r="CZ186" s="60">
        <f t="shared" si="150"/>
        <v>244.7141066773861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-9.3464223027694966E-13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455.50822833641354</v>
      </c>
      <c r="DU186" s="60">
        <f t="shared" si="152"/>
        <v>261.14722581688039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207.03241199974599</v>
      </c>
      <c r="EP186" s="60">
        <f t="shared" si="154"/>
        <v>314.188568589113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0.65227843375697692</v>
      </c>
      <c r="EW186" s="23">
        <f>EXP(-LN(2)/25)*EW185+(1-EXP(-LN(2)/25))/(LN(2)/25)*Calculateur!ER186*Calculateur!ET186*VLOOKUP('Données projet'!$B$15,Paramètres!$A$1:$I$89,3,0)*0.475*44/12</f>
        <v>0.14017640663286199</v>
      </c>
      <c r="EX186" s="23">
        <f>EXP(-LN(2)/2)*EX185+(1-EXP(-LN(2)/2))/(LN(2)/2)*ER186*EU186*VLOOKUP('Données projet'!$B$15,Paramètres!$A$1:$I$89,3,0)*0.475*44/12</f>
        <v>2.7368199067644854E-23</v>
      </c>
      <c r="EY186" s="24">
        <f t="shared" si="181"/>
        <v>0.79245484038983893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 t="e">
        <f>N187*VLOOKUP('Données projet'!$B$9,Paramètres!$A$1:$I$89,3,0)*VLOOKUP('Données projet'!$B$9,Paramètres!$A$1:$I$89,5,0)</f>
        <v>#N/A</v>
      </c>
      <c r="P187" s="14" t="e">
        <f t="shared" si="141"/>
        <v>#N/A</v>
      </c>
      <c r="Q187" s="22" t="e">
        <f t="shared" si="162"/>
        <v>#N/A</v>
      </c>
      <c r="R187" s="60" t="e">
        <f t="shared" si="109"/>
        <v>#N/A</v>
      </c>
      <c r="S187" s="60" t="e">
        <f ca="1">AVERAGE(OFFSET($R$3,0,0,'Données projet'!$E$9+1,1))-AVERAGE(OFFSET($H$3,0,0,'Données projet'!$E$9+1,1))</f>
        <v>#N/A</v>
      </c>
      <c r="T187" s="60" t="e">
        <f t="shared" si="142"/>
        <v>#N/A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 t="e">
        <f>EXP(-LN(2)/35)*Z186+(1-EXP(-LN(2)/35))/(LN(2)/35)*V187*W187*VLOOKUP('Données projet'!$B$9,Paramètres!$A$1:$I$89,3,0)*0.475*44/12</f>
        <v>#N/A</v>
      </c>
      <c r="AA187" s="23" t="e">
        <f>EXP(-LN(2)/25)*AA186+(1-EXP(-LN(2)/25))/(LN(2)/25)*Calculateur!V187*Calculateur!X187*VLOOKUP('Données projet'!$B$9,Paramètres!$A$1:$I$89,3,0)*0.475*44/12</f>
        <v>#N/A</v>
      </c>
      <c r="AB187" s="23" t="e">
        <f>EXP(-LN(2)/2)*AB186+(1-EXP(-LN(2)/2))/(LN(2)/2)*V187*Y187*VLOOKUP('Données projet'!$B$9,Paramètres!$A$1:$I$89,3,0)*0.475*44/12</f>
        <v>#N/A</v>
      </c>
      <c r="AC187" s="24" t="e">
        <f t="shared" si="163"/>
        <v>#N/A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428.8489304403459</v>
      </c>
      <c r="AO187" s="60">
        <f t="shared" si="144"/>
        <v>247.01165577562966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-1.9065282685915009E-13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374.79806286316051</v>
      </c>
      <c r="BJ187" s="60">
        <f t="shared" si="146"/>
        <v>350.01856672839466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0.3114326756983764</v>
      </c>
      <c r="BR187" s="23">
        <f>EXP(-LN(2)/2)*BR186+(1-EXP(-LN(2)/2))/(LN(2)/2)*BL187*BO187*VLOOKUP('Données projet'!$B$11,Paramètres!$A$1:$I$89,3,0)*0.475*44/12</f>
        <v>7.2843384519287413E-23</v>
      </c>
      <c r="BS187" s="24">
        <f t="shared" si="169"/>
        <v>0.3114326756983764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-8.7434273154940449E-13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428.8489304403459</v>
      </c>
      <c r="CE187" s="60">
        <f t="shared" si="148"/>
        <v>247.01165577562966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projet'!$B$13,Paramètres!$A$1:$I$89,3,0)*VLOOKUP('Données projet'!$B$13,Paramètres!$A$1:$I$89,5,0)</f>
        <v>-1.6227659216383472E-13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354.63118425028898</v>
      </c>
      <c r="CZ187" s="60">
        <f t="shared" si="150"/>
        <v>244.7141066773861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-9.3464223027694966E-13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455.50822833641354</v>
      </c>
      <c r="DU187" s="60">
        <f t="shared" si="152"/>
        <v>261.14722581688039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207.03241199974599</v>
      </c>
      <c r="EP187" s="60">
        <f t="shared" si="154"/>
        <v>314.188568589113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0.63948765152156273</v>
      </c>
      <c r="EW187" s="23">
        <f>EXP(-LN(2)/25)*EW186+(1-EXP(-LN(2)/25))/(LN(2)/25)*Calculateur!ER187*Calculateur!ET187*VLOOKUP('Données projet'!$B$15,Paramètres!$A$1:$I$89,3,0)*0.475*44/12</f>
        <v>0.13634327542192953</v>
      </c>
      <c r="EX187" s="23">
        <f>EXP(-LN(2)/2)*EX186+(1-EXP(-LN(2)/2))/(LN(2)/2)*ER187*EU187*VLOOKUP('Données projet'!$B$15,Paramètres!$A$1:$I$89,3,0)*0.475*44/12</f>
        <v>1.9352239149595024E-23</v>
      </c>
      <c r="EY187" s="24">
        <f t="shared" si="181"/>
        <v>0.77583092694349221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 t="e">
        <f>N188*VLOOKUP('Données projet'!$B$9,Paramètres!$A$1:$I$89,3,0)*VLOOKUP('Données projet'!$B$9,Paramètres!$A$1:$I$89,5,0)</f>
        <v>#N/A</v>
      </c>
      <c r="P188" s="14" t="e">
        <f t="shared" si="141"/>
        <v>#N/A</v>
      </c>
      <c r="Q188" s="22" t="e">
        <f t="shared" si="162"/>
        <v>#N/A</v>
      </c>
      <c r="R188" s="60" t="e">
        <f t="shared" si="109"/>
        <v>#N/A</v>
      </c>
      <c r="S188" s="60" t="e">
        <f ca="1">AVERAGE(OFFSET($R$3,0,0,'Données projet'!$E$9+1,1))-AVERAGE(OFFSET($H$3,0,0,'Données projet'!$E$9+1,1))</f>
        <v>#N/A</v>
      </c>
      <c r="T188" s="60" t="e">
        <f t="shared" si="142"/>
        <v>#N/A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 t="e">
        <f>EXP(-LN(2)/35)*Z187+(1-EXP(-LN(2)/35))/(LN(2)/35)*V188*W188*VLOOKUP('Données projet'!$B$9,Paramètres!$A$1:$I$89,3,0)*0.475*44/12</f>
        <v>#N/A</v>
      </c>
      <c r="AA188" s="23" t="e">
        <f>EXP(-LN(2)/25)*AA187+(1-EXP(-LN(2)/25))/(LN(2)/25)*Calculateur!V188*Calculateur!X188*VLOOKUP('Données projet'!$B$9,Paramètres!$A$1:$I$89,3,0)*0.475*44/12</f>
        <v>#N/A</v>
      </c>
      <c r="AB188" s="23" t="e">
        <f>EXP(-LN(2)/2)*AB187+(1-EXP(-LN(2)/2))/(LN(2)/2)*V188*Y188*VLOOKUP('Données projet'!$B$9,Paramètres!$A$1:$I$89,3,0)*0.475*44/12</f>
        <v>#N/A</v>
      </c>
      <c r="AC188" s="24" t="e">
        <f t="shared" si="163"/>
        <v>#N/A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428.8489304403459</v>
      </c>
      <c r="AO188" s="60">
        <f t="shared" si="144"/>
        <v>247.01165577562966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-1.9065282685915009E-13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374.79806286316051</v>
      </c>
      <c r="BJ188" s="60">
        <f t="shared" si="146"/>
        <v>350.01856672839466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0.30291653280387165</v>
      </c>
      <c r="BR188" s="23">
        <f>EXP(-LN(2)/2)*BR187+(1-EXP(-LN(2)/2))/(LN(2)/2)*BL188*BO188*VLOOKUP('Données projet'!$B$11,Paramètres!$A$1:$I$89,3,0)*0.475*44/12</f>
        <v>5.150805115816731E-23</v>
      </c>
      <c r="BS188" s="24">
        <f t="shared" si="169"/>
        <v>0.30291653280387165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-8.7434273154940449E-13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428.8489304403459</v>
      </c>
      <c r="CE188" s="60">
        <f t="shared" si="148"/>
        <v>247.01165577562966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projet'!$B$13,Paramètres!$A$1:$I$89,3,0)*VLOOKUP('Données projet'!$B$13,Paramètres!$A$1:$I$89,5,0)</f>
        <v>-1.6227659216383472E-13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354.63118425028898</v>
      </c>
      <c r="CZ188" s="60">
        <f t="shared" si="150"/>
        <v>244.7141066773861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-9.3464223027694966E-13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455.50822833641354</v>
      </c>
      <c r="DU188" s="60">
        <f t="shared" si="152"/>
        <v>261.14722581688039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207.03241199974599</v>
      </c>
      <c r="EP188" s="60">
        <f t="shared" si="154"/>
        <v>314.188568589113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0.62694768872417816</v>
      </c>
      <c r="EW188" s="23">
        <f>EXP(-LN(2)/25)*EW187+(1-EXP(-LN(2)/25))/(LN(2)/25)*Calculateur!ER188*Calculateur!ET188*VLOOKUP('Données projet'!$B$15,Paramètres!$A$1:$I$89,3,0)*0.475*44/12</f>
        <v>0.13261496138553563</v>
      </c>
      <c r="EX188" s="23">
        <f>EXP(-LN(2)/2)*EX187+(1-EXP(-LN(2)/2))/(LN(2)/2)*ER188*EU188*VLOOKUP('Données projet'!$B$15,Paramètres!$A$1:$I$89,3,0)*0.475*44/12</f>
        <v>1.3684099533822427E-23</v>
      </c>
      <c r="EY188" s="24">
        <f t="shared" si="181"/>
        <v>0.7595626501097138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 t="e">
        <f>N189*VLOOKUP('Données projet'!$B$9,Paramètres!$A$1:$I$89,3,0)*VLOOKUP('Données projet'!$B$9,Paramètres!$A$1:$I$89,5,0)</f>
        <v>#N/A</v>
      </c>
      <c r="P189" s="14" t="e">
        <f t="shared" si="141"/>
        <v>#N/A</v>
      </c>
      <c r="Q189" s="22" t="e">
        <f t="shared" si="162"/>
        <v>#N/A</v>
      </c>
      <c r="R189" s="60" t="e">
        <f t="shared" si="109"/>
        <v>#N/A</v>
      </c>
      <c r="S189" s="60" t="e">
        <f ca="1">AVERAGE(OFFSET($R$3,0,0,'Données projet'!$E$9+1,1))-AVERAGE(OFFSET($H$3,0,0,'Données projet'!$E$9+1,1))</f>
        <v>#N/A</v>
      </c>
      <c r="T189" s="60" t="e">
        <f t="shared" si="142"/>
        <v>#N/A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 t="e">
        <f>EXP(-LN(2)/35)*Z188+(1-EXP(-LN(2)/35))/(LN(2)/35)*V189*W189*VLOOKUP('Données projet'!$B$9,Paramètres!$A$1:$I$89,3,0)*0.475*44/12</f>
        <v>#N/A</v>
      </c>
      <c r="AA189" s="23" t="e">
        <f>EXP(-LN(2)/25)*AA188+(1-EXP(-LN(2)/25))/(LN(2)/25)*Calculateur!V189*Calculateur!X189*VLOOKUP('Données projet'!$B$9,Paramètres!$A$1:$I$89,3,0)*0.475*44/12</f>
        <v>#N/A</v>
      </c>
      <c r="AB189" s="23" t="e">
        <f>EXP(-LN(2)/2)*AB188+(1-EXP(-LN(2)/2))/(LN(2)/2)*V189*Y189*VLOOKUP('Données projet'!$B$9,Paramètres!$A$1:$I$89,3,0)*0.475*44/12</f>
        <v>#N/A</v>
      </c>
      <c r="AC189" s="24" t="e">
        <f t="shared" si="163"/>
        <v>#N/A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428.8489304403459</v>
      </c>
      <c r="AO189" s="60">
        <f t="shared" si="144"/>
        <v>247.01165577562966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-1.9065282685915009E-13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374.79806286316051</v>
      </c>
      <c r="BJ189" s="60">
        <f t="shared" si="146"/>
        <v>350.01856672839466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0.29463326428466163</v>
      </c>
      <c r="BR189" s="23">
        <f>EXP(-LN(2)/2)*BR188+(1-EXP(-LN(2)/2))/(LN(2)/2)*BL189*BO189*VLOOKUP('Données projet'!$B$11,Paramètres!$A$1:$I$89,3,0)*0.475*44/12</f>
        <v>3.6421692259643712E-23</v>
      </c>
      <c r="BS189" s="24">
        <f t="shared" si="169"/>
        <v>0.29463326428466163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-8.7434273154940449E-13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428.8489304403459</v>
      </c>
      <c r="CE189" s="60">
        <f t="shared" si="148"/>
        <v>247.01165577562966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projet'!$B$13,Paramètres!$A$1:$I$89,3,0)*VLOOKUP('Données projet'!$B$13,Paramètres!$A$1:$I$89,5,0)</f>
        <v>-1.6227659216383472E-13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354.63118425028898</v>
      </c>
      <c r="CZ189" s="60">
        <f t="shared" si="150"/>
        <v>244.7141066773861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-9.3464223027694966E-13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455.50822833641354</v>
      </c>
      <c r="DU189" s="60">
        <f t="shared" si="152"/>
        <v>261.14722581688039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207.03241199974599</v>
      </c>
      <c r="EP189" s="60">
        <f t="shared" si="154"/>
        <v>314.188568589113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0.61465362694862824</v>
      </c>
      <c r="EW189" s="23">
        <f>EXP(-LN(2)/25)*EW188+(1-EXP(-LN(2)/25))/(LN(2)/25)*Calculateur!ER189*Calculateur!ET189*VLOOKUP('Données projet'!$B$15,Paramètres!$A$1:$I$89,3,0)*0.475*44/12</f>
        <v>0.12898859829253043</v>
      </c>
      <c r="EX189" s="23">
        <f>EXP(-LN(2)/2)*EX188+(1-EXP(-LN(2)/2))/(LN(2)/2)*ER189*EU189*VLOOKUP('Données projet'!$B$15,Paramètres!$A$1:$I$89,3,0)*0.475*44/12</f>
        <v>9.6761195747975119E-24</v>
      </c>
      <c r="EY189" s="24">
        <f t="shared" si="181"/>
        <v>0.74364222524115864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 t="e">
        <f>N190*VLOOKUP('Données projet'!$B$9,Paramètres!$A$1:$I$89,3,0)*VLOOKUP('Données projet'!$B$9,Paramètres!$A$1:$I$89,5,0)</f>
        <v>#N/A</v>
      </c>
      <c r="P190" s="14" t="e">
        <f t="shared" si="141"/>
        <v>#N/A</v>
      </c>
      <c r="Q190" s="22" t="e">
        <f t="shared" si="162"/>
        <v>#N/A</v>
      </c>
      <c r="R190" s="60" t="e">
        <f t="shared" si="109"/>
        <v>#N/A</v>
      </c>
      <c r="S190" s="60" t="e">
        <f ca="1">AVERAGE(OFFSET($R$3,0,0,'Données projet'!$E$9+1,1))-AVERAGE(OFFSET($H$3,0,0,'Données projet'!$E$9+1,1))</f>
        <v>#N/A</v>
      </c>
      <c r="T190" s="60" t="e">
        <f t="shared" si="142"/>
        <v>#N/A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 t="e">
        <f>EXP(-LN(2)/35)*Z189+(1-EXP(-LN(2)/35))/(LN(2)/35)*V190*W190*VLOOKUP('Données projet'!$B$9,Paramètres!$A$1:$I$89,3,0)*0.475*44/12</f>
        <v>#N/A</v>
      </c>
      <c r="AA190" s="23" t="e">
        <f>EXP(-LN(2)/25)*AA189+(1-EXP(-LN(2)/25))/(LN(2)/25)*Calculateur!V190*Calculateur!X190*VLOOKUP('Données projet'!$B$9,Paramètres!$A$1:$I$89,3,0)*0.475*44/12</f>
        <v>#N/A</v>
      </c>
      <c r="AB190" s="23" t="e">
        <f>EXP(-LN(2)/2)*AB189+(1-EXP(-LN(2)/2))/(LN(2)/2)*V190*Y190*VLOOKUP('Données projet'!$B$9,Paramètres!$A$1:$I$89,3,0)*0.475*44/12</f>
        <v>#N/A</v>
      </c>
      <c r="AC190" s="24" t="e">
        <f t="shared" si="163"/>
        <v>#N/A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428.8489304403459</v>
      </c>
      <c r="AO190" s="60">
        <f t="shared" si="144"/>
        <v>247.01165577562966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-1.9065282685915009E-13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374.79806286316051</v>
      </c>
      <c r="BJ190" s="60">
        <f t="shared" si="146"/>
        <v>350.01856672839466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0.28657650217870756</v>
      </c>
      <c r="BR190" s="23">
        <f>EXP(-LN(2)/2)*BR189+(1-EXP(-LN(2)/2))/(LN(2)/2)*BL190*BO190*VLOOKUP('Données projet'!$B$11,Paramètres!$A$1:$I$89,3,0)*0.475*44/12</f>
        <v>2.5754025579083661E-23</v>
      </c>
      <c r="BS190" s="24">
        <f t="shared" si="169"/>
        <v>0.28657650217870756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-8.7434273154940449E-13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428.8489304403459</v>
      </c>
      <c r="CE190" s="60">
        <f t="shared" si="148"/>
        <v>247.01165577562966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projet'!$B$13,Paramètres!$A$1:$I$89,3,0)*VLOOKUP('Données projet'!$B$13,Paramètres!$A$1:$I$89,5,0)</f>
        <v>-1.6227659216383472E-13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354.63118425028898</v>
      </c>
      <c r="CZ190" s="60">
        <f t="shared" si="150"/>
        <v>244.7141066773861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-9.3464223027694966E-13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455.50822833641354</v>
      </c>
      <c r="DU190" s="60">
        <f t="shared" si="152"/>
        <v>261.14722581688039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207.03241199974599</v>
      </c>
      <c r="EP190" s="60">
        <f t="shared" si="154"/>
        <v>314.188568589113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0.60260064422585957</v>
      </c>
      <c r="EW190" s="23">
        <f>EXP(-LN(2)/25)*EW189+(1-EXP(-LN(2)/25))/(LN(2)/25)*Calculateur!ER190*Calculateur!ET190*VLOOKUP('Données projet'!$B$15,Paramètres!$A$1:$I$89,3,0)*0.475*44/12</f>
        <v>0.1254613982890056</v>
      </c>
      <c r="EX190" s="23">
        <f>EXP(-LN(2)/2)*EX189+(1-EXP(-LN(2)/2))/(LN(2)/2)*ER190*EU190*VLOOKUP('Données projet'!$B$15,Paramètres!$A$1:$I$89,3,0)*0.475*44/12</f>
        <v>6.8420497669112134E-24</v>
      </c>
      <c r="EY190" s="24">
        <f t="shared" si="181"/>
        <v>0.72806204251486517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 t="e">
        <f>N191*VLOOKUP('Données projet'!$B$9,Paramètres!$A$1:$I$89,3,0)*VLOOKUP('Données projet'!$B$9,Paramètres!$A$1:$I$89,5,0)</f>
        <v>#N/A</v>
      </c>
      <c r="P191" s="14" t="e">
        <f t="shared" si="141"/>
        <v>#N/A</v>
      </c>
      <c r="Q191" s="22" t="e">
        <f t="shared" si="162"/>
        <v>#N/A</v>
      </c>
      <c r="R191" s="60" t="e">
        <f t="shared" si="109"/>
        <v>#N/A</v>
      </c>
      <c r="S191" s="60" t="e">
        <f ca="1">AVERAGE(OFFSET($R$3,0,0,'Données projet'!$E$9+1,1))-AVERAGE(OFFSET($H$3,0,0,'Données projet'!$E$9+1,1))</f>
        <v>#N/A</v>
      </c>
      <c r="T191" s="60" t="e">
        <f t="shared" si="142"/>
        <v>#N/A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 t="e">
        <f>EXP(-LN(2)/35)*Z190+(1-EXP(-LN(2)/35))/(LN(2)/35)*V191*W191*VLOOKUP('Données projet'!$B$9,Paramètres!$A$1:$I$89,3,0)*0.475*44/12</f>
        <v>#N/A</v>
      </c>
      <c r="AA191" s="23" t="e">
        <f>EXP(-LN(2)/25)*AA190+(1-EXP(-LN(2)/25))/(LN(2)/25)*Calculateur!V191*Calculateur!X191*VLOOKUP('Données projet'!$B$9,Paramètres!$A$1:$I$89,3,0)*0.475*44/12</f>
        <v>#N/A</v>
      </c>
      <c r="AB191" s="23" t="e">
        <f>EXP(-LN(2)/2)*AB190+(1-EXP(-LN(2)/2))/(LN(2)/2)*V191*Y191*VLOOKUP('Données projet'!$B$9,Paramètres!$A$1:$I$89,3,0)*0.475*44/12</f>
        <v>#N/A</v>
      </c>
      <c r="AC191" s="24" t="e">
        <f t="shared" si="163"/>
        <v>#N/A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428.8489304403459</v>
      </c>
      <c r="AO191" s="60">
        <f t="shared" si="144"/>
        <v>247.01165577562966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-1.9065282685915009E-13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374.79806286316051</v>
      </c>
      <c r="BJ191" s="60">
        <f t="shared" si="146"/>
        <v>350.01856672839466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0.27874005265622753</v>
      </c>
      <c r="BR191" s="23">
        <f>EXP(-LN(2)/2)*BR190+(1-EXP(-LN(2)/2))/(LN(2)/2)*BL191*BO191*VLOOKUP('Données projet'!$B$11,Paramètres!$A$1:$I$89,3,0)*0.475*44/12</f>
        <v>1.8210846129821859E-23</v>
      </c>
      <c r="BS191" s="24">
        <f t="shared" si="169"/>
        <v>0.27874005265622753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-8.7434273154940449E-13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428.8489304403459</v>
      </c>
      <c r="CE191" s="60">
        <f t="shared" si="148"/>
        <v>247.01165577562966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projet'!$B$13,Paramètres!$A$1:$I$89,3,0)*VLOOKUP('Données projet'!$B$13,Paramètres!$A$1:$I$89,5,0)</f>
        <v>-1.6227659216383472E-13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354.63118425028898</v>
      </c>
      <c r="CZ191" s="60">
        <f t="shared" si="150"/>
        <v>244.7141066773861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-9.3464223027694966E-13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455.50822833641354</v>
      </c>
      <c r="DU191" s="60">
        <f t="shared" si="152"/>
        <v>261.14722581688039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207.03241199974599</v>
      </c>
      <c r="EP191" s="60">
        <f t="shared" si="154"/>
        <v>314.188568589113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0.59078401314269091</v>
      </c>
      <c r="EW191" s="23">
        <f>EXP(-LN(2)/25)*EW190+(1-EXP(-LN(2)/25))/(LN(2)/25)*Calculateur!ER191*Calculateur!ET191*VLOOKUP('Données projet'!$B$15,Paramètres!$A$1:$I$89,3,0)*0.475*44/12</f>
        <v>0.12203064975506456</v>
      </c>
      <c r="EX191" s="23">
        <f>EXP(-LN(2)/2)*EX190+(1-EXP(-LN(2)/2))/(LN(2)/2)*ER191*EU191*VLOOKUP('Données projet'!$B$15,Paramètres!$A$1:$I$89,3,0)*0.475*44/12</f>
        <v>4.8380597873987559E-24</v>
      </c>
      <c r="EY191" s="24">
        <f t="shared" si="181"/>
        <v>0.71281466289775541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 t="e">
        <f>N192*VLOOKUP('Données projet'!$B$9,Paramètres!$A$1:$I$89,3,0)*VLOOKUP('Données projet'!$B$9,Paramètres!$A$1:$I$89,5,0)</f>
        <v>#N/A</v>
      </c>
      <c r="P192" s="14" t="e">
        <f t="shared" si="141"/>
        <v>#N/A</v>
      </c>
      <c r="Q192" s="22" t="e">
        <f t="shared" si="162"/>
        <v>#N/A</v>
      </c>
      <c r="R192" s="60" t="e">
        <f t="shared" si="109"/>
        <v>#N/A</v>
      </c>
      <c r="S192" s="60" t="e">
        <f ca="1">AVERAGE(OFFSET($R$3,0,0,'Données projet'!$E$9+1,1))-AVERAGE(OFFSET($H$3,0,0,'Données projet'!$E$9+1,1))</f>
        <v>#N/A</v>
      </c>
      <c r="T192" s="60" t="e">
        <f t="shared" si="142"/>
        <v>#N/A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 t="e">
        <f>EXP(-LN(2)/35)*Z191+(1-EXP(-LN(2)/35))/(LN(2)/35)*V192*W192*VLOOKUP('Données projet'!$B$9,Paramètres!$A$1:$I$89,3,0)*0.475*44/12</f>
        <v>#N/A</v>
      </c>
      <c r="AA192" s="23" t="e">
        <f>EXP(-LN(2)/25)*AA191+(1-EXP(-LN(2)/25))/(LN(2)/25)*Calculateur!V192*Calculateur!X192*VLOOKUP('Données projet'!$B$9,Paramètres!$A$1:$I$89,3,0)*0.475*44/12</f>
        <v>#N/A</v>
      </c>
      <c r="AB192" s="23" t="e">
        <f>EXP(-LN(2)/2)*AB191+(1-EXP(-LN(2)/2))/(LN(2)/2)*V192*Y192*VLOOKUP('Données projet'!$B$9,Paramètres!$A$1:$I$89,3,0)*0.475*44/12</f>
        <v>#N/A</v>
      </c>
      <c r="AC192" s="24" t="e">
        <f t="shared" si="163"/>
        <v>#N/A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428.8489304403459</v>
      </c>
      <c r="AO192" s="60">
        <f t="shared" si="144"/>
        <v>247.01165577562966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-1.9065282685915009E-13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374.79806286316051</v>
      </c>
      <c r="BJ192" s="60">
        <f t="shared" si="146"/>
        <v>350.01856672839466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0.2711178912580407</v>
      </c>
      <c r="BR192" s="23">
        <f>EXP(-LN(2)/2)*BR191+(1-EXP(-LN(2)/2))/(LN(2)/2)*BL192*BO192*VLOOKUP('Données projet'!$B$11,Paramètres!$A$1:$I$89,3,0)*0.475*44/12</f>
        <v>1.2877012789541832E-23</v>
      </c>
      <c r="BS192" s="24">
        <f t="shared" si="169"/>
        <v>0.2711178912580407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-8.7434273154940449E-13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428.8489304403459</v>
      </c>
      <c r="CE192" s="60">
        <f t="shared" si="148"/>
        <v>247.01165577562966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projet'!$B$13,Paramètres!$A$1:$I$89,3,0)*VLOOKUP('Données projet'!$B$13,Paramètres!$A$1:$I$89,5,0)</f>
        <v>-1.6227659216383472E-13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354.63118425028898</v>
      </c>
      <c r="CZ192" s="60">
        <f t="shared" si="150"/>
        <v>244.7141066773861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-9.3464223027694966E-13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455.50822833641354</v>
      </c>
      <c r="DU192" s="60">
        <f t="shared" si="152"/>
        <v>261.14722581688039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207.03241199974599</v>
      </c>
      <c r="EP192" s="60">
        <f t="shared" si="154"/>
        <v>314.188568589113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0.57919909898762989</v>
      </c>
      <c r="EW192" s="23">
        <f>EXP(-LN(2)/25)*EW191+(1-EXP(-LN(2)/25))/(LN(2)/25)*Calculateur!ER192*Calculateur!ET192*VLOOKUP('Données projet'!$B$15,Paramètres!$A$1:$I$89,3,0)*0.475*44/12</f>
        <v>0.11869371522019935</v>
      </c>
      <c r="EX192" s="23">
        <f>EXP(-LN(2)/2)*EX191+(1-EXP(-LN(2)/2))/(LN(2)/2)*ER192*EU192*VLOOKUP('Données projet'!$B$15,Paramètres!$A$1:$I$89,3,0)*0.475*44/12</f>
        <v>3.4210248834556067E-24</v>
      </c>
      <c r="EY192" s="24">
        <f t="shared" si="181"/>
        <v>0.69789281420782923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 t="e">
        <f>N193*VLOOKUP('Données projet'!$B$9,Paramètres!$A$1:$I$89,3,0)*VLOOKUP('Données projet'!$B$9,Paramètres!$A$1:$I$89,5,0)</f>
        <v>#N/A</v>
      </c>
      <c r="P193" s="14" t="e">
        <f t="shared" si="141"/>
        <v>#N/A</v>
      </c>
      <c r="Q193" s="22" t="e">
        <f t="shared" si="162"/>
        <v>#N/A</v>
      </c>
      <c r="R193" s="60" t="e">
        <f t="shared" si="109"/>
        <v>#N/A</v>
      </c>
      <c r="S193" s="60" t="e">
        <f ca="1">AVERAGE(OFFSET($R$3,0,0,'Données projet'!$E$9+1,1))-AVERAGE(OFFSET($H$3,0,0,'Données projet'!$E$9+1,1))</f>
        <v>#N/A</v>
      </c>
      <c r="T193" s="60" t="e">
        <f t="shared" si="142"/>
        <v>#N/A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 t="e">
        <f>EXP(-LN(2)/35)*Z192+(1-EXP(-LN(2)/35))/(LN(2)/35)*V193*W193*VLOOKUP('Données projet'!$B$9,Paramètres!$A$1:$I$89,3,0)*0.475*44/12</f>
        <v>#N/A</v>
      </c>
      <c r="AA193" s="23" t="e">
        <f>EXP(-LN(2)/25)*AA192+(1-EXP(-LN(2)/25))/(LN(2)/25)*Calculateur!V193*Calculateur!X193*VLOOKUP('Données projet'!$B$9,Paramètres!$A$1:$I$89,3,0)*0.475*44/12</f>
        <v>#N/A</v>
      </c>
      <c r="AB193" s="23" t="e">
        <f>EXP(-LN(2)/2)*AB192+(1-EXP(-LN(2)/2))/(LN(2)/2)*V193*Y193*VLOOKUP('Données projet'!$B$9,Paramètres!$A$1:$I$89,3,0)*0.475*44/12</f>
        <v>#N/A</v>
      </c>
      <c r="AC193" s="24" t="e">
        <f t="shared" si="163"/>
        <v>#N/A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428.8489304403459</v>
      </c>
      <c r="AO193" s="60">
        <f t="shared" si="144"/>
        <v>247.01165577562966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-1.9065282685915009E-13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374.79806286316051</v>
      </c>
      <c r="BJ193" s="60">
        <f t="shared" si="146"/>
        <v>350.01856672839466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0.2637041582641193</v>
      </c>
      <c r="BR193" s="23">
        <f>EXP(-LN(2)/2)*BR192+(1-EXP(-LN(2)/2))/(LN(2)/2)*BL193*BO193*VLOOKUP('Données projet'!$B$11,Paramètres!$A$1:$I$89,3,0)*0.475*44/12</f>
        <v>9.105423064910931E-24</v>
      </c>
      <c r="BS193" s="24">
        <f t="shared" si="169"/>
        <v>0.2637041582641193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-8.7434273154940449E-13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428.8489304403459</v>
      </c>
      <c r="CE193" s="60">
        <f t="shared" si="148"/>
        <v>247.01165577562966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projet'!$B$13,Paramètres!$A$1:$I$89,3,0)*VLOOKUP('Données projet'!$B$13,Paramètres!$A$1:$I$89,5,0)</f>
        <v>-1.6227659216383472E-13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354.63118425028898</v>
      </c>
      <c r="CZ193" s="60">
        <f t="shared" si="150"/>
        <v>244.7141066773861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-9.3464223027694966E-13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455.50822833641354</v>
      </c>
      <c r="DU193" s="60">
        <f t="shared" si="152"/>
        <v>261.14722581688039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207.03241199974599</v>
      </c>
      <c r="EP193" s="60">
        <f t="shared" si="154"/>
        <v>314.188568589113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0.56784135793304968</v>
      </c>
      <c r="EW193" s="23">
        <f>EXP(-LN(2)/25)*EW192+(1-EXP(-LN(2)/25))/(LN(2)/25)*Calculateur!ER193*Calculateur!ET193*VLOOKUP('Données projet'!$B$15,Paramètres!$A$1:$I$89,3,0)*0.475*44/12</f>
        <v>0.11544802933567179</v>
      </c>
      <c r="EX193" s="23">
        <f>EXP(-LN(2)/2)*EX192+(1-EXP(-LN(2)/2))/(LN(2)/2)*ER193*EU193*VLOOKUP('Données projet'!$B$15,Paramètres!$A$1:$I$89,3,0)*0.475*44/12</f>
        <v>2.419029893699378E-24</v>
      </c>
      <c r="EY193" s="24">
        <f t="shared" si="181"/>
        <v>0.68328938726872146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 t="e">
        <f>N194*VLOOKUP('Données projet'!$B$9,Paramètres!$A$1:$I$89,3,0)*VLOOKUP('Données projet'!$B$9,Paramètres!$A$1:$I$89,5,0)</f>
        <v>#N/A</v>
      </c>
      <c r="P194" s="14" t="e">
        <f t="shared" si="141"/>
        <v>#N/A</v>
      </c>
      <c r="Q194" s="22" t="e">
        <f t="shared" si="162"/>
        <v>#N/A</v>
      </c>
      <c r="R194" s="60" t="e">
        <f t="shared" si="109"/>
        <v>#N/A</v>
      </c>
      <c r="S194" s="60" t="e">
        <f ca="1">AVERAGE(OFFSET($R$3,0,0,'Données projet'!$E$9+1,1))-AVERAGE(OFFSET($H$3,0,0,'Données projet'!$E$9+1,1))</f>
        <v>#N/A</v>
      </c>
      <c r="T194" s="60" t="e">
        <f t="shared" si="142"/>
        <v>#N/A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 t="e">
        <f>EXP(-LN(2)/35)*Z193+(1-EXP(-LN(2)/35))/(LN(2)/35)*V194*W194*VLOOKUP('Données projet'!$B$9,Paramètres!$A$1:$I$89,3,0)*0.475*44/12</f>
        <v>#N/A</v>
      </c>
      <c r="AA194" s="23" t="e">
        <f>EXP(-LN(2)/25)*AA193+(1-EXP(-LN(2)/25))/(LN(2)/25)*Calculateur!V194*Calculateur!X194*VLOOKUP('Données projet'!$B$9,Paramètres!$A$1:$I$89,3,0)*0.475*44/12</f>
        <v>#N/A</v>
      </c>
      <c r="AB194" s="23" t="e">
        <f>EXP(-LN(2)/2)*AB193+(1-EXP(-LN(2)/2))/(LN(2)/2)*V194*Y194*VLOOKUP('Données projet'!$B$9,Paramètres!$A$1:$I$89,3,0)*0.475*44/12</f>
        <v>#N/A</v>
      </c>
      <c r="AC194" s="24" t="e">
        <f t="shared" si="163"/>
        <v>#N/A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428.8489304403459</v>
      </c>
      <c r="AO194" s="60">
        <f t="shared" si="144"/>
        <v>247.01165577562966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-1.9065282685915009E-13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374.79806286316051</v>
      </c>
      <c r="BJ194" s="60">
        <f t="shared" si="146"/>
        <v>350.01856672839466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0.25649315418878799</v>
      </c>
      <c r="BR194" s="23">
        <f>EXP(-LN(2)/2)*BR193+(1-EXP(-LN(2)/2))/(LN(2)/2)*BL194*BO194*VLOOKUP('Données projet'!$B$11,Paramètres!$A$1:$I$89,3,0)*0.475*44/12</f>
        <v>6.4385063947709167E-24</v>
      </c>
      <c r="BS194" s="24">
        <f t="shared" si="169"/>
        <v>0.25649315418878799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-8.7434273154940449E-13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428.8489304403459</v>
      </c>
      <c r="CE194" s="60">
        <f t="shared" si="148"/>
        <v>247.01165577562966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projet'!$B$13,Paramètres!$A$1:$I$89,3,0)*VLOOKUP('Données projet'!$B$13,Paramètres!$A$1:$I$89,5,0)</f>
        <v>-1.6227659216383472E-13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354.63118425028898</v>
      </c>
      <c r="CZ194" s="60">
        <f t="shared" si="150"/>
        <v>244.7141066773861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-9.3464223027694966E-13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455.50822833641354</v>
      </c>
      <c r="DU194" s="60">
        <f t="shared" si="152"/>
        <v>261.14722581688039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207.03241199974599</v>
      </c>
      <c r="EP194" s="60">
        <f t="shared" si="154"/>
        <v>314.188568589113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0.55670633525301183</v>
      </c>
      <c r="EW194" s="23">
        <f>EXP(-LN(2)/25)*EW193+(1-EXP(-LN(2)/25))/(LN(2)/25)*Calculateur!ER194*Calculateur!ET194*VLOOKUP('Données projet'!$B$15,Paramètres!$A$1:$I$89,3,0)*0.475*44/12</f>
        <v>0.11229109690233985</v>
      </c>
      <c r="EX194" s="23">
        <f>EXP(-LN(2)/2)*EX193+(1-EXP(-LN(2)/2))/(LN(2)/2)*ER194*EU194*VLOOKUP('Données projet'!$B$15,Paramètres!$A$1:$I$89,3,0)*0.475*44/12</f>
        <v>1.7105124417278033E-24</v>
      </c>
      <c r="EY194" s="24">
        <f t="shared" si="181"/>
        <v>0.66899743215535168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 t="e">
        <f>N195*VLOOKUP('Données projet'!$B$9,Paramètres!$A$1:$I$89,3,0)*VLOOKUP('Données projet'!$B$9,Paramètres!$A$1:$I$89,5,0)</f>
        <v>#N/A</v>
      </c>
      <c r="P195" s="14" t="e">
        <f t="shared" si="141"/>
        <v>#N/A</v>
      </c>
      <c r="Q195" s="22" t="e">
        <f t="shared" si="162"/>
        <v>#N/A</v>
      </c>
      <c r="R195" s="60" t="e">
        <f t="shared" ref="R195:R203" si="191">Q195+(I195+J195)*44/12</f>
        <v>#N/A</v>
      </c>
      <c r="S195" s="60" t="e">
        <f ca="1">AVERAGE(OFFSET($R$3,0,0,'Données projet'!$E$9+1,1))-AVERAGE(OFFSET($H$3,0,0,'Données projet'!$E$9+1,1))</f>
        <v>#N/A</v>
      </c>
      <c r="T195" s="60" t="e">
        <f t="shared" si="142"/>
        <v>#N/A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 t="e">
        <f>EXP(-LN(2)/35)*Z194+(1-EXP(-LN(2)/35))/(LN(2)/35)*V195*W195*VLOOKUP('Données projet'!$B$9,Paramètres!$A$1:$I$89,3,0)*0.475*44/12</f>
        <v>#N/A</v>
      </c>
      <c r="AA195" s="23" t="e">
        <f>EXP(-LN(2)/25)*AA194+(1-EXP(-LN(2)/25))/(LN(2)/25)*Calculateur!V195*Calculateur!X195*VLOOKUP('Données projet'!$B$9,Paramètres!$A$1:$I$89,3,0)*0.475*44/12</f>
        <v>#N/A</v>
      </c>
      <c r="AB195" s="23" t="e">
        <f>EXP(-LN(2)/2)*AB194+(1-EXP(-LN(2)/2))/(LN(2)/2)*V195*Y195*VLOOKUP('Données projet'!$B$9,Paramètres!$A$1:$I$89,3,0)*0.475*44/12</f>
        <v>#N/A</v>
      </c>
      <c r="AC195" s="24" t="e">
        <f t="shared" si="163"/>
        <v>#N/A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428.8489304403459</v>
      </c>
      <c r="AO195" s="60">
        <f t="shared" si="144"/>
        <v>247.01165577562966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-1.9065282685915009E-13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374.79806286316051</v>
      </c>
      <c r="BJ195" s="60">
        <f t="shared" si="146"/>
        <v>350.01856672839466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0.24947933539910683</v>
      </c>
      <c r="BR195" s="23">
        <f>EXP(-LN(2)/2)*BR194+(1-EXP(-LN(2)/2))/(LN(2)/2)*BL195*BO195*VLOOKUP('Données projet'!$B$11,Paramètres!$A$1:$I$89,3,0)*0.475*44/12</f>
        <v>4.5527115324554662E-24</v>
      </c>
      <c r="BS195" s="24">
        <f t="shared" si="169"/>
        <v>0.24947933539910683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-8.7434273154940449E-13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428.8489304403459</v>
      </c>
      <c r="CE195" s="60">
        <f t="shared" si="148"/>
        <v>247.01165577562966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projet'!$B$13,Paramètres!$A$1:$I$89,3,0)*VLOOKUP('Données projet'!$B$13,Paramètres!$A$1:$I$89,5,0)</f>
        <v>-1.6227659216383472E-13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354.63118425028898</v>
      </c>
      <c r="CZ195" s="60">
        <f t="shared" si="150"/>
        <v>244.7141066773861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-9.3464223027694966E-13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455.50822833641354</v>
      </c>
      <c r="DU195" s="60">
        <f t="shared" si="152"/>
        <v>261.14722581688039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207.03241199974599</v>
      </c>
      <c r="EP195" s="60">
        <f t="shared" si="154"/>
        <v>314.188568589113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0.54578966357603631</v>
      </c>
      <c r="EW195" s="23">
        <f>EXP(-LN(2)/25)*EW194+(1-EXP(-LN(2)/25))/(LN(2)/25)*Calculateur!ER195*Calculateur!ET195*VLOOKUP('Données projet'!$B$15,Paramètres!$A$1:$I$89,3,0)*0.475*44/12</f>
        <v>0.10922049095241322</v>
      </c>
      <c r="EX195" s="23">
        <f>EXP(-LN(2)/2)*EX194+(1-EXP(-LN(2)/2))/(LN(2)/2)*ER195*EU195*VLOOKUP('Données projet'!$B$15,Paramètres!$A$1:$I$89,3,0)*0.475*44/12</f>
        <v>1.209514946849689E-24</v>
      </c>
      <c r="EY195" s="24">
        <f t="shared" si="181"/>
        <v>0.65501015452844957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 t="e">
        <f>N196*VLOOKUP('Données projet'!$B$9,Paramètres!$A$1:$I$89,3,0)*VLOOKUP('Données projet'!$B$9,Paramètres!$A$1:$I$89,5,0)</f>
        <v>#N/A</v>
      </c>
      <c r="P196" s="14" t="e">
        <f t="shared" si="141"/>
        <v>#N/A</v>
      </c>
      <c r="Q196" s="22" t="e">
        <f t="shared" si="162"/>
        <v>#N/A</v>
      </c>
      <c r="R196" s="60" t="e">
        <f t="shared" si="191"/>
        <v>#N/A</v>
      </c>
      <c r="S196" s="60" t="e">
        <f ca="1">AVERAGE(OFFSET($R$3,0,0,'Données projet'!$E$9+1,1))-AVERAGE(OFFSET($H$3,0,0,'Données projet'!$E$9+1,1))</f>
        <v>#N/A</v>
      </c>
      <c r="T196" s="60" t="e">
        <f t="shared" si="142"/>
        <v>#N/A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 t="e">
        <f>EXP(-LN(2)/35)*Z195+(1-EXP(-LN(2)/35))/(LN(2)/35)*V196*W196*VLOOKUP('Données projet'!$B$9,Paramètres!$A$1:$I$89,3,0)*0.475*44/12</f>
        <v>#N/A</v>
      </c>
      <c r="AA196" s="23" t="e">
        <f>EXP(-LN(2)/25)*AA195+(1-EXP(-LN(2)/25))/(LN(2)/25)*Calculateur!V196*Calculateur!X196*VLOOKUP('Données projet'!$B$9,Paramètres!$A$1:$I$89,3,0)*0.475*44/12</f>
        <v>#N/A</v>
      </c>
      <c r="AB196" s="23" t="e">
        <f>EXP(-LN(2)/2)*AB195+(1-EXP(-LN(2)/2))/(LN(2)/2)*V196*Y196*VLOOKUP('Données projet'!$B$9,Paramètres!$A$1:$I$89,3,0)*0.475*44/12</f>
        <v>#N/A</v>
      </c>
      <c r="AC196" s="24" t="e">
        <f t="shared" si="163"/>
        <v>#N/A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428.8489304403459</v>
      </c>
      <c r="AO196" s="60">
        <f t="shared" si="144"/>
        <v>247.01165577562966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-1.9065282685915009E-13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374.79806286316051</v>
      </c>
      <c r="BJ196" s="60">
        <f t="shared" si="146"/>
        <v>350.01856672839466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0.24265730985307019</v>
      </c>
      <c r="BR196" s="23">
        <f>EXP(-LN(2)/2)*BR195+(1-EXP(-LN(2)/2))/(LN(2)/2)*BL196*BO196*VLOOKUP('Données projet'!$B$11,Paramètres!$A$1:$I$89,3,0)*0.475*44/12</f>
        <v>3.2192531973854591E-24</v>
      </c>
      <c r="BS196" s="24">
        <f t="shared" si="169"/>
        <v>0.24265730985307019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-8.7434273154940449E-13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428.8489304403459</v>
      </c>
      <c r="CE196" s="60">
        <f t="shared" si="148"/>
        <v>247.01165577562966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projet'!$B$13,Paramètres!$A$1:$I$89,3,0)*VLOOKUP('Données projet'!$B$13,Paramètres!$A$1:$I$89,5,0)</f>
        <v>-1.6227659216383472E-13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354.63118425028898</v>
      </c>
      <c r="CZ196" s="60">
        <f t="shared" si="150"/>
        <v>244.7141066773861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-9.3464223027694966E-13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455.50822833641354</v>
      </c>
      <c r="DU196" s="60">
        <f t="shared" si="152"/>
        <v>261.14722581688039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207.03241199974599</v>
      </c>
      <c r="EP196" s="60">
        <f t="shared" si="154"/>
        <v>314.188568589113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0.535087061172134</v>
      </c>
      <c r="EW196" s="23">
        <f>EXP(-LN(2)/25)*EW195+(1-EXP(-LN(2)/25))/(LN(2)/25)*Calculateur!ER196*Calculateur!ET196*VLOOKUP('Données projet'!$B$15,Paramètres!$A$1:$I$89,3,0)*0.475*44/12</f>
        <v>0.10623385088366349</v>
      </c>
      <c r="EX196" s="23">
        <f>EXP(-LN(2)/2)*EX195+(1-EXP(-LN(2)/2))/(LN(2)/2)*ER196*EU196*VLOOKUP('Données projet'!$B$15,Paramètres!$A$1:$I$89,3,0)*0.475*44/12</f>
        <v>8.5525622086390167E-25</v>
      </c>
      <c r="EY196" s="24">
        <f t="shared" si="181"/>
        <v>0.64132091205579744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 t="e">
        <f>N197*VLOOKUP('Données projet'!$B$9,Paramètres!$A$1:$I$89,3,0)*VLOOKUP('Données projet'!$B$9,Paramètres!$A$1:$I$89,5,0)</f>
        <v>#N/A</v>
      </c>
      <c r="P197" s="14" t="e">
        <f t="shared" ref="P197:P203" si="203">EXP(-1.0587+0.8836*LN(O197)+0.284)</f>
        <v>#N/A</v>
      </c>
      <c r="Q197" s="22" t="e">
        <f t="shared" si="162"/>
        <v>#N/A</v>
      </c>
      <c r="R197" s="60" t="e">
        <f t="shared" si="191"/>
        <v>#N/A</v>
      </c>
      <c r="S197" s="60" t="e">
        <f ca="1">AVERAGE(OFFSET($R$3,0,0,'Données projet'!$E$9+1,1))-AVERAGE(OFFSET($H$3,0,0,'Données projet'!$E$9+1,1))</f>
        <v>#N/A</v>
      </c>
      <c r="T197" s="60" t="e">
        <f t="shared" ref="T197:T203" si="204">$T$3</f>
        <v>#N/A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 t="e">
        <f>EXP(-LN(2)/35)*Z196+(1-EXP(-LN(2)/35))/(LN(2)/35)*V197*W197*VLOOKUP('Données projet'!$B$9,Paramètres!$A$1:$I$89,3,0)*0.475*44/12</f>
        <v>#N/A</v>
      </c>
      <c r="AA197" s="23" t="e">
        <f>EXP(-LN(2)/25)*AA196+(1-EXP(-LN(2)/25))/(LN(2)/25)*Calculateur!V197*Calculateur!X197*VLOOKUP('Données projet'!$B$9,Paramètres!$A$1:$I$89,3,0)*0.475*44/12</f>
        <v>#N/A</v>
      </c>
      <c r="AB197" s="23" t="e">
        <f>EXP(-LN(2)/2)*AB196+(1-EXP(-LN(2)/2))/(LN(2)/2)*V197*Y197*VLOOKUP('Données projet'!$B$9,Paramètres!$A$1:$I$89,3,0)*0.475*44/12</f>
        <v>#N/A</v>
      </c>
      <c r="AC197" s="24" t="e">
        <f t="shared" si="163"/>
        <v>#N/A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428.8489304403459</v>
      </c>
      <c r="AO197" s="60">
        <f t="shared" ref="AO197:AO203" si="205">$AO$3</f>
        <v>247.01165577562966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-1.9065282685915009E-13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374.79806286316051</v>
      </c>
      <c r="BJ197" s="60">
        <f t="shared" ref="BJ197:BJ203" si="206">$BJ$3</f>
        <v>350.01856672839466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0.23602183295434465</v>
      </c>
      <c r="BR197" s="23">
        <f>EXP(-LN(2)/2)*BR196+(1-EXP(-LN(2)/2))/(LN(2)/2)*BL197*BO197*VLOOKUP('Données projet'!$B$11,Paramètres!$A$1:$I$89,3,0)*0.475*44/12</f>
        <v>2.2763557662277335E-24</v>
      </c>
      <c r="BS197" s="24">
        <f t="shared" si="169"/>
        <v>0.23602183295434465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-8.7434273154940449E-13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428.8489304403459</v>
      </c>
      <c r="CE197" s="60">
        <f t="shared" ref="CE197:CE203" si="207">$CE$3</f>
        <v>247.01165577562966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projet'!$B$13,Paramètres!$A$1:$I$89,3,0)*VLOOKUP('Données projet'!$B$13,Paramètres!$A$1:$I$89,5,0)</f>
        <v>-1.6227659216383472E-13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354.63118425028898</v>
      </c>
      <c r="CZ197" s="60">
        <f t="shared" ref="CZ197:CZ203" si="208">$CZ$3</f>
        <v>244.7141066773861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-9.3464223027694966E-13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455.50822833641354</v>
      </c>
      <c r="DU197" s="60">
        <f t="shared" ref="DU197:DU203" si="209">$DU$3</f>
        <v>261.14722581688039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207.03241199974599</v>
      </c>
      <c r="EP197" s="60">
        <f t="shared" ref="EP197:EP203" si="210">$EP$3</f>
        <v>314.188568589113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0.52459433027342928</v>
      </c>
      <c r="EW197" s="23">
        <f>EXP(-LN(2)/25)*EW196+(1-EXP(-LN(2)/25))/(LN(2)/25)*Calculateur!ER197*Calculateur!ET197*VLOOKUP('Données projet'!$B$15,Paramètres!$A$1:$I$89,3,0)*0.475*44/12</f>
        <v>0.1033288806446543</v>
      </c>
      <c r="EX197" s="23">
        <f>EXP(-LN(2)/2)*EX196+(1-EXP(-LN(2)/2))/(LN(2)/2)*ER197*EU197*VLOOKUP('Données projet'!$B$15,Paramètres!$A$1:$I$89,3,0)*0.475*44/12</f>
        <v>6.0475747342484449E-25</v>
      </c>
      <c r="EY197" s="24">
        <f t="shared" si="181"/>
        <v>0.62792321091808356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 t="e">
        <f>N198*VLOOKUP('Données projet'!$B$9,Paramètres!$A$1:$I$89,3,0)*VLOOKUP('Données projet'!$B$9,Paramètres!$A$1:$I$89,5,0)</f>
        <v>#N/A</v>
      </c>
      <c r="P198" s="14" t="e">
        <f t="shared" si="203"/>
        <v>#N/A</v>
      </c>
      <c r="Q198" s="22" t="e">
        <f t="shared" si="162"/>
        <v>#N/A</v>
      </c>
      <c r="R198" s="60" t="e">
        <f t="shared" si="191"/>
        <v>#N/A</v>
      </c>
      <c r="S198" s="60" t="e">
        <f ca="1">AVERAGE(OFFSET($R$3,0,0,'Données projet'!$E$9+1,1))-AVERAGE(OFFSET($H$3,0,0,'Données projet'!$E$9+1,1))</f>
        <v>#N/A</v>
      </c>
      <c r="T198" s="60" t="e">
        <f t="shared" si="204"/>
        <v>#N/A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 t="e">
        <f>EXP(-LN(2)/35)*Z197+(1-EXP(-LN(2)/35))/(LN(2)/35)*V198*W198*VLOOKUP('Données projet'!$B$9,Paramètres!$A$1:$I$89,3,0)*0.475*44/12</f>
        <v>#N/A</v>
      </c>
      <c r="AA198" s="23" t="e">
        <f>EXP(-LN(2)/25)*AA197+(1-EXP(-LN(2)/25))/(LN(2)/25)*Calculateur!V198*Calculateur!X198*VLOOKUP('Données projet'!$B$9,Paramètres!$A$1:$I$89,3,0)*0.475*44/12</f>
        <v>#N/A</v>
      </c>
      <c r="AB198" s="23" t="e">
        <f>EXP(-LN(2)/2)*AB197+(1-EXP(-LN(2)/2))/(LN(2)/2)*V198*Y198*VLOOKUP('Données projet'!$B$9,Paramètres!$A$1:$I$89,3,0)*0.475*44/12</f>
        <v>#N/A</v>
      </c>
      <c r="AC198" s="24" t="e">
        <f t="shared" si="163"/>
        <v>#N/A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428.8489304403459</v>
      </c>
      <c r="AO198" s="60">
        <f t="shared" si="205"/>
        <v>247.01165577562966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-1.9065282685915009E-13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374.79806286316051</v>
      </c>
      <c r="BJ198" s="60">
        <f t="shared" si="206"/>
        <v>350.01856672839466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0.22956780352035933</v>
      </c>
      <c r="BR198" s="23">
        <f>EXP(-LN(2)/2)*BR197+(1-EXP(-LN(2)/2))/(LN(2)/2)*BL198*BO198*VLOOKUP('Données projet'!$B$11,Paramètres!$A$1:$I$89,3,0)*0.475*44/12</f>
        <v>1.6096265986927297E-24</v>
      </c>
      <c r="BS198" s="24">
        <f t="shared" si="169"/>
        <v>0.22956780352035933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-8.7434273154940449E-13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428.8489304403459</v>
      </c>
      <c r="CE198" s="60">
        <f t="shared" si="207"/>
        <v>247.01165577562966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projet'!$B$13,Paramètres!$A$1:$I$89,3,0)*VLOOKUP('Données projet'!$B$13,Paramètres!$A$1:$I$89,5,0)</f>
        <v>-1.6227659216383472E-13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354.63118425028898</v>
      </c>
      <c r="CZ198" s="60">
        <f t="shared" si="208"/>
        <v>244.7141066773861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-9.3464223027694966E-13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455.50822833641354</v>
      </c>
      <c r="DU198" s="60">
        <f t="shared" si="209"/>
        <v>261.14722581688039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207.03241199974599</v>
      </c>
      <c r="EP198" s="60">
        <f t="shared" si="210"/>
        <v>314.188568589113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0.51430735542771433</v>
      </c>
      <c r="EW198" s="23">
        <f>EXP(-LN(2)/25)*EW197+(1-EXP(-LN(2)/25))/(LN(2)/25)*Calculateur!ER198*Calculateur!ET198*VLOOKUP('Données projet'!$B$15,Paramètres!$A$1:$I$89,3,0)*0.475*44/12</f>
        <v>0.10050334696959656</v>
      </c>
      <c r="EX198" s="23">
        <f>EXP(-LN(2)/2)*EX197+(1-EXP(-LN(2)/2))/(LN(2)/2)*ER198*EU198*VLOOKUP('Données projet'!$B$15,Paramètres!$A$1:$I$89,3,0)*0.475*44/12</f>
        <v>4.2762811043195084E-25</v>
      </c>
      <c r="EY198" s="24">
        <f t="shared" si="181"/>
        <v>0.61481070239731084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 t="e">
        <f>N199*VLOOKUP('Données projet'!$B$9,Paramètres!$A$1:$I$89,3,0)*VLOOKUP('Données projet'!$B$9,Paramètres!$A$1:$I$89,5,0)</f>
        <v>#N/A</v>
      </c>
      <c r="P199" s="14" t="e">
        <f t="shared" si="203"/>
        <v>#N/A</v>
      </c>
      <c r="Q199" s="22" t="e">
        <f t="shared" si="162"/>
        <v>#N/A</v>
      </c>
      <c r="R199" s="60" t="e">
        <f t="shared" si="191"/>
        <v>#N/A</v>
      </c>
      <c r="S199" s="60" t="e">
        <f ca="1">AVERAGE(OFFSET($R$3,0,0,'Données projet'!$E$9+1,1))-AVERAGE(OFFSET($H$3,0,0,'Données projet'!$E$9+1,1))</f>
        <v>#N/A</v>
      </c>
      <c r="T199" s="60" t="e">
        <f t="shared" si="204"/>
        <v>#N/A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 t="e">
        <f>EXP(-LN(2)/35)*Z198+(1-EXP(-LN(2)/35))/(LN(2)/35)*V199*W199*VLOOKUP('Données projet'!$B$9,Paramètres!$A$1:$I$89,3,0)*0.475*44/12</f>
        <v>#N/A</v>
      </c>
      <c r="AA199" s="23" t="e">
        <f>EXP(-LN(2)/25)*AA198+(1-EXP(-LN(2)/25))/(LN(2)/25)*Calculateur!V199*Calculateur!X199*VLOOKUP('Données projet'!$B$9,Paramètres!$A$1:$I$89,3,0)*0.475*44/12</f>
        <v>#N/A</v>
      </c>
      <c r="AB199" s="23" t="e">
        <f>EXP(-LN(2)/2)*AB198+(1-EXP(-LN(2)/2))/(LN(2)/2)*V199*Y199*VLOOKUP('Données projet'!$B$9,Paramètres!$A$1:$I$89,3,0)*0.475*44/12</f>
        <v>#N/A</v>
      </c>
      <c r="AC199" s="24" t="e">
        <f t="shared" si="163"/>
        <v>#N/A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428.8489304403459</v>
      </c>
      <c r="AO199" s="60">
        <f t="shared" si="205"/>
        <v>247.01165577562966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-1.9065282685915009E-13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374.79806286316051</v>
      </c>
      <c r="BJ199" s="60">
        <f t="shared" si="206"/>
        <v>350.01856672839466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0.22329025986064899</v>
      </c>
      <c r="BR199" s="23">
        <f>EXP(-LN(2)/2)*BR198+(1-EXP(-LN(2)/2))/(LN(2)/2)*BL199*BO199*VLOOKUP('Données projet'!$B$11,Paramètres!$A$1:$I$89,3,0)*0.475*44/12</f>
        <v>1.1381778831138669E-24</v>
      </c>
      <c r="BS199" s="24">
        <f t="shared" si="169"/>
        <v>0.22329025986064899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-8.7434273154940449E-13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428.8489304403459</v>
      </c>
      <c r="CE199" s="60">
        <f t="shared" si="207"/>
        <v>247.01165577562966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projet'!$B$13,Paramètres!$A$1:$I$89,3,0)*VLOOKUP('Données projet'!$B$13,Paramètres!$A$1:$I$89,5,0)</f>
        <v>-1.6227659216383472E-13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354.63118425028898</v>
      </c>
      <c r="CZ199" s="60">
        <f t="shared" si="208"/>
        <v>244.7141066773861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-9.3464223027694966E-13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455.50822833641354</v>
      </c>
      <c r="DU199" s="60">
        <f t="shared" si="209"/>
        <v>261.14722581688039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207.03241199974599</v>
      </c>
      <c r="EP199" s="60">
        <f t="shared" si="210"/>
        <v>314.188568589113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0.50422210188428873</v>
      </c>
      <c r="EW199" s="23">
        <f>EXP(-LN(2)/25)*EW198+(1-EXP(-LN(2)/25))/(LN(2)/25)*Calculateur!ER199*Calculateur!ET199*VLOOKUP('Données projet'!$B$15,Paramètres!$A$1:$I$89,3,0)*0.475*44/12</f>
        <v>9.7755077661471637E-2</v>
      </c>
      <c r="EX199" s="23">
        <f>EXP(-LN(2)/2)*EX198+(1-EXP(-LN(2)/2))/(LN(2)/2)*ER199*EU199*VLOOKUP('Données projet'!$B$15,Paramètres!$A$1:$I$89,3,0)*0.475*44/12</f>
        <v>3.0237873671242225E-25</v>
      </c>
      <c r="EY199" s="24">
        <f t="shared" si="181"/>
        <v>0.60197717954576035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 t="e">
        <f>N200*VLOOKUP('Données projet'!$B$9,Paramètres!$A$1:$I$89,3,0)*VLOOKUP('Données projet'!$B$9,Paramètres!$A$1:$I$89,5,0)</f>
        <v>#N/A</v>
      </c>
      <c r="P200" s="14" t="e">
        <f t="shared" si="203"/>
        <v>#N/A</v>
      </c>
      <c r="Q200" s="22" t="e">
        <f t="shared" si="162"/>
        <v>#N/A</v>
      </c>
      <c r="R200" s="60" t="e">
        <f t="shared" si="191"/>
        <v>#N/A</v>
      </c>
      <c r="S200" s="60" t="e">
        <f ca="1">AVERAGE(OFFSET($R$3,0,0,'Données projet'!$E$9+1,1))-AVERAGE(OFFSET($H$3,0,0,'Données projet'!$E$9+1,1))</f>
        <v>#N/A</v>
      </c>
      <c r="T200" s="60" t="e">
        <f t="shared" si="204"/>
        <v>#N/A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 t="e">
        <f>EXP(-LN(2)/35)*Z199+(1-EXP(-LN(2)/35))/(LN(2)/35)*V200*W200*VLOOKUP('Données projet'!$B$9,Paramètres!$A$1:$I$89,3,0)*0.475*44/12</f>
        <v>#N/A</v>
      </c>
      <c r="AA200" s="23" t="e">
        <f>EXP(-LN(2)/25)*AA199+(1-EXP(-LN(2)/25))/(LN(2)/25)*Calculateur!V200*Calculateur!X200*VLOOKUP('Données projet'!$B$9,Paramètres!$A$1:$I$89,3,0)*0.475*44/12</f>
        <v>#N/A</v>
      </c>
      <c r="AB200" s="23" t="e">
        <f>EXP(-LN(2)/2)*AB199+(1-EXP(-LN(2)/2))/(LN(2)/2)*V200*Y200*VLOOKUP('Données projet'!$B$9,Paramètres!$A$1:$I$89,3,0)*0.475*44/12</f>
        <v>#N/A</v>
      </c>
      <c r="AC200" s="24" t="e">
        <f t="shared" si="163"/>
        <v>#N/A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428.8489304403459</v>
      </c>
      <c r="AO200" s="60">
        <f t="shared" si="205"/>
        <v>247.01165577562966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-1.9065282685915009E-13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374.79806286316051</v>
      </c>
      <c r="BJ200" s="60">
        <f t="shared" si="206"/>
        <v>350.01856672839466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0.21718437596243512</v>
      </c>
      <c r="BR200" s="23">
        <f>EXP(-LN(2)/2)*BR199+(1-EXP(-LN(2)/2))/(LN(2)/2)*BL200*BO200*VLOOKUP('Données projet'!$B$11,Paramètres!$A$1:$I$89,3,0)*0.475*44/12</f>
        <v>8.0481329934636505E-25</v>
      </c>
      <c r="BS200" s="24">
        <f t="shared" si="169"/>
        <v>0.21718437596243512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-8.7434273154940449E-13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428.8489304403459</v>
      </c>
      <c r="CE200" s="60">
        <f t="shared" si="207"/>
        <v>247.01165577562966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projet'!$B$13,Paramètres!$A$1:$I$89,3,0)*VLOOKUP('Données projet'!$B$13,Paramètres!$A$1:$I$89,5,0)</f>
        <v>-1.6227659216383472E-13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354.63118425028898</v>
      </c>
      <c r="CZ200" s="60">
        <f t="shared" si="208"/>
        <v>244.7141066773861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-9.3464223027694966E-13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455.50822833641354</v>
      </c>
      <c r="DU200" s="60">
        <f t="shared" si="209"/>
        <v>261.14722581688039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207.03241199974599</v>
      </c>
      <c r="EP200" s="60">
        <f t="shared" si="210"/>
        <v>314.188568589113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0.4943346140114524</v>
      </c>
      <c r="EW200" s="23">
        <f>EXP(-LN(2)/25)*EW199+(1-EXP(-LN(2)/25))/(LN(2)/25)*Calculateur!ER200*Calculateur!ET200*VLOOKUP('Données projet'!$B$15,Paramètres!$A$1:$I$89,3,0)*0.475*44/12</f>
        <v>9.5081959922102582E-2</v>
      </c>
      <c r="EX200" s="23">
        <f>EXP(-LN(2)/2)*EX199+(1-EXP(-LN(2)/2))/(LN(2)/2)*ER200*EU200*VLOOKUP('Données projet'!$B$15,Paramètres!$A$1:$I$89,3,0)*0.475*44/12</f>
        <v>2.1381405521597542E-25</v>
      </c>
      <c r="EY200" s="24">
        <f t="shared" si="181"/>
        <v>0.58941657393355495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 t="e">
        <f>N201*VLOOKUP('Données projet'!$B$9,Paramètres!$A$1:$I$89,3,0)*VLOOKUP('Données projet'!$B$9,Paramètres!$A$1:$I$89,5,0)</f>
        <v>#N/A</v>
      </c>
      <c r="P201" s="14" t="e">
        <f t="shared" si="203"/>
        <v>#N/A</v>
      </c>
      <c r="Q201" s="22" t="e">
        <f t="shared" si="162"/>
        <v>#N/A</v>
      </c>
      <c r="R201" s="60" t="e">
        <f t="shared" si="191"/>
        <v>#N/A</v>
      </c>
      <c r="S201" s="60" t="e">
        <f ca="1">AVERAGE(OFFSET($R$3,0,0,'Données projet'!$E$9+1,1))-AVERAGE(OFFSET($H$3,0,0,'Données projet'!$E$9+1,1))</f>
        <v>#N/A</v>
      </c>
      <c r="T201" s="60" t="e">
        <f t="shared" si="204"/>
        <v>#N/A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 t="e">
        <f>EXP(-LN(2)/35)*Z200+(1-EXP(-LN(2)/35))/(LN(2)/35)*V201*W201*VLOOKUP('Données projet'!$B$9,Paramètres!$A$1:$I$89,3,0)*0.475*44/12</f>
        <v>#N/A</v>
      </c>
      <c r="AA201" s="23" t="e">
        <f>EXP(-LN(2)/25)*AA200+(1-EXP(-LN(2)/25))/(LN(2)/25)*Calculateur!V201*Calculateur!X201*VLOOKUP('Données projet'!$B$9,Paramètres!$A$1:$I$89,3,0)*0.475*44/12</f>
        <v>#N/A</v>
      </c>
      <c r="AB201" s="23" t="e">
        <f>EXP(-LN(2)/2)*AB200+(1-EXP(-LN(2)/2))/(LN(2)/2)*V201*Y201*VLOOKUP('Données projet'!$B$9,Paramètres!$A$1:$I$89,3,0)*0.475*44/12</f>
        <v>#N/A</v>
      </c>
      <c r="AC201" s="24" t="e">
        <f t="shared" si="163"/>
        <v>#N/A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428.8489304403459</v>
      </c>
      <c r="AO201" s="60">
        <f t="shared" si="205"/>
        <v>247.01165577562966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-1.9065282685915009E-13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374.79806286316051</v>
      </c>
      <c r="BJ201" s="60">
        <f t="shared" si="206"/>
        <v>350.01856672839466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0.21124545778051237</v>
      </c>
      <c r="BR201" s="23">
        <f>EXP(-LN(2)/2)*BR200+(1-EXP(-LN(2)/2))/(LN(2)/2)*BL201*BO201*VLOOKUP('Données projet'!$B$11,Paramètres!$A$1:$I$89,3,0)*0.475*44/12</f>
        <v>5.6908894155693355E-25</v>
      </c>
      <c r="BS201" s="24">
        <f t="shared" si="169"/>
        <v>0.21124545778051237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-8.7434273154940449E-13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428.8489304403459</v>
      </c>
      <c r="CE201" s="60">
        <f t="shared" si="207"/>
        <v>247.01165577562966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projet'!$B$13,Paramètres!$A$1:$I$89,3,0)*VLOOKUP('Données projet'!$B$13,Paramètres!$A$1:$I$89,5,0)</f>
        <v>-1.6227659216383472E-13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354.63118425028898</v>
      </c>
      <c r="CZ201" s="60">
        <f t="shared" si="208"/>
        <v>244.7141066773861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-9.3464223027694966E-13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455.50822833641354</v>
      </c>
      <c r="DU201" s="60">
        <f t="shared" si="209"/>
        <v>261.14722581688039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207.03241199974599</v>
      </c>
      <c r="EP201" s="60">
        <f t="shared" si="210"/>
        <v>314.188568589113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0.48464101374503032</v>
      </c>
      <c r="EW201" s="23">
        <f>EXP(-LN(2)/25)*EW200+(1-EXP(-LN(2)/25))/(LN(2)/25)*Calculateur!ER201*Calculateur!ET201*VLOOKUP('Données projet'!$B$15,Paramètres!$A$1:$I$89,3,0)*0.475*44/12</f>
        <v>9.2481938727889734E-2</v>
      </c>
      <c r="EX201" s="23">
        <f>EXP(-LN(2)/2)*EX200+(1-EXP(-LN(2)/2))/(LN(2)/2)*ER201*EU201*VLOOKUP('Données projet'!$B$15,Paramètres!$A$1:$I$89,3,0)*0.475*44/12</f>
        <v>1.5118936835621112E-25</v>
      </c>
      <c r="EY201" s="24">
        <f t="shared" si="181"/>
        <v>0.57712295247292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 t="e">
        <f>N202*VLOOKUP('Données projet'!$B$9,Paramètres!$A$1:$I$89,3,0)*VLOOKUP('Données projet'!$B$9,Paramètres!$A$1:$I$89,5,0)</f>
        <v>#N/A</v>
      </c>
      <c r="P202" s="14" t="e">
        <f t="shared" si="203"/>
        <v>#N/A</v>
      </c>
      <c r="Q202" s="22" t="e">
        <f t="shared" si="162"/>
        <v>#N/A</v>
      </c>
      <c r="R202" s="60" t="e">
        <f t="shared" si="191"/>
        <v>#N/A</v>
      </c>
      <c r="S202" s="60" t="e">
        <f ca="1">AVERAGE(OFFSET($R$3,0,0,'Données projet'!$E$9+1,1))-AVERAGE(OFFSET($H$3,0,0,'Données projet'!$E$9+1,1))</f>
        <v>#N/A</v>
      </c>
      <c r="T202" s="60" t="e">
        <f t="shared" si="204"/>
        <v>#N/A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 t="e">
        <f>EXP(-LN(2)/35)*Z201+(1-EXP(-LN(2)/35))/(LN(2)/35)*V202*W202*VLOOKUP('Données projet'!$B$9,Paramètres!$A$1:$I$89,3,0)*0.475*44/12</f>
        <v>#N/A</v>
      </c>
      <c r="AA202" s="23" t="e">
        <f>EXP(-LN(2)/25)*AA201+(1-EXP(-LN(2)/25))/(LN(2)/25)*Calculateur!V202*Calculateur!X202*VLOOKUP('Données projet'!$B$9,Paramètres!$A$1:$I$89,3,0)*0.475*44/12</f>
        <v>#N/A</v>
      </c>
      <c r="AB202" s="23" t="e">
        <f>EXP(-LN(2)/2)*AB201+(1-EXP(-LN(2)/2))/(LN(2)/2)*V202*Y202*VLOOKUP('Données projet'!$B$9,Paramètres!$A$1:$I$89,3,0)*0.475*44/12</f>
        <v>#N/A</v>
      </c>
      <c r="AC202" s="24" t="e">
        <f t="shared" si="163"/>
        <v>#N/A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428.8489304403459</v>
      </c>
      <c r="AO202" s="60">
        <f t="shared" si="205"/>
        <v>247.01165577562966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-1.9065282685915009E-13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374.79806286316051</v>
      </c>
      <c r="BJ202" s="60">
        <f t="shared" si="206"/>
        <v>350.01856672839466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0.20546893962858845</v>
      </c>
      <c r="BR202" s="23">
        <f>EXP(-LN(2)/2)*BR201+(1-EXP(-LN(2)/2))/(LN(2)/2)*BL202*BO202*VLOOKUP('Données projet'!$B$11,Paramètres!$A$1:$I$89,3,0)*0.475*44/12</f>
        <v>4.0240664967318257E-25</v>
      </c>
      <c r="BS202" s="24">
        <f t="shared" si="169"/>
        <v>0.20546893962858845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-8.7434273154940449E-13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428.8489304403459</v>
      </c>
      <c r="CE202" s="60">
        <f t="shared" si="207"/>
        <v>247.01165577562966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projet'!$B$13,Paramètres!$A$1:$I$89,3,0)*VLOOKUP('Données projet'!$B$13,Paramètres!$A$1:$I$89,5,0)</f>
        <v>-1.6227659216383472E-13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354.63118425028898</v>
      </c>
      <c r="CZ202" s="60">
        <f t="shared" si="208"/>
        <v>244.7141066773861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-9.3464223027694966E-13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455.50822833641354</v>
      </c>
      <c r="DU202" s="60">
        <f t="shared" si="209"/>
        <v>261.14722581688039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207.03241199974599</v>
      </c>
      <c r="EP202" s="60">
        <f t="shared" si="210"/>
        <v>314.188568589113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0.47513749906732039</v>
      </c>
      <c r="EW202" s="23">
        <f>EXP(-LN(2)/25)*EW201+(1-EXP(-LN(2)/25))/(LN(2)/25)*Calculateur!ER202*Calculateur!ET202*VLOOKUP('Données projet'!$B$15,Paramètres!$A$1:$I$89,3,0)*0.475*44/12</f>
        <v>8.9953015249961799E-2</v>
      </c>
      <c r="EX202" s="23">
        <f>EXP(-LN(2)/2)*EX201+(1-EXP(-LN(2)/2))/(LN(2)/2)*ER202*EU202*VLOOKUP('Données projet'!$B$15,Paramètres!$A$1:$I$89,3,0)*0.475*44/12</f>
        <v>1.0690702760798771E-25</v>
      </c>
      <c r="EY202" s="24">
        <f t="shared" si="181"/>
        <v>0.56509051431728219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 t="e">
        <f>N203*VLOOKUP('Données projet'!$B$9,Paramètres!$A$1:$I$89,3,0)*VLOOKUP('Données projet'!$B$9,Paramètres!$A$1:$I$89,5,0)</f>
        <v>#N/A</v>
      </c>
      <c r="P203" s="14" t="e">
        <f t="shared" si="203"/>
        <v>#N/A</v>
      </c>
      <c r="Q203" s="22" t="e">
        <f t="shared" si="162"/>
        <v>#N/A</v>
      </c>
      <c r="R203" s="60" t="e">
        <f t="shared" si="191"/>
        <v>#N/A</v>
      </c>
      <c r="S203" s="60" t="e">
        <f ca="1">AVERAGE(OFFSET($R$3,0,0,'Données projet'!$E$9+1,1))-AVERAGE(OFFSET($H$3,0,0,'Données projet'!$E$9+1,1))</f>
        <v>#N/A</v>
      </c>
      <c r="T203" s="60" t="e">
        <f t="shared" si="204"/>
        <v>#N/A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 t="e">
        <f>EXP(-LN(2)/35)*Z202+(1-EXP(-LN(2)/35))/(LN(2)/35)*V203*W203*VLOOKUP('Données projet'!$B$9,Paramètres!$A$1:$I$89,3,0)*0.475*44/12</f>
        <v>#N/A</v>
      </c>
      <c r="AA203" s="23" t="e">
        <f>EXP(-LN(2)/25)*AA202+(1-EXP(-LN(2)/25))/(LN(2)/25)*Calculateur!V203*Calculateur!X203*VLOOKUP('Données projet'!$B$9,Paramètres!$A$1:$I$89,3,0)*0.475*44/12</f>
        <v>#N/A</v>
      </c>
      <c r="AB203" s="23" t="e">
        <f>EXP(-LN(2)/2)*AB202+(1-EXP(-LN(2)/2))/(LN(2)/2)*V203*Y203*VLOOKUP('Données projet'!$B$9,Paramètres!$A$1:$I$89,3,0)*0.475*44/12</f>
        <v>#N/A</v>
      </c>
      <c r="AC203" s="24" t="e">
        <f t="shared" si="163"/>
        <v>#N/A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428.8489304403459</v>
      </c>
      <c r="AO203" s="60">
        <f t="shared" si="205"/>
        <v>247.01165577562966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-1.9065282685915009E-13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374.79806286316051</v>
      </c>
      <c r="BJ203" s="60">
        <f t="shared" si="206"/>
        <v>350.01856672839466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0.19985038066930277</v>
      </c>
      <c r="BR203" s="23">
        <f>EXP(-LN(2)/2)*BR202+(1-EXP(-LN(2)/2))/(LN(2)/2)*BL203*BO203*VLOOKUP('Données projet'!$B$11,Paramètres!$A$1:$I$89,3,0)*0.475*44/12</f>
        <v>2.8454447077846682E-25</v>
      </c>
      <c r="BS203" s="24">
        <f t="shared" si="169"/>
        <v>0.19985038066930277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-8.7434273154940449E-13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428.8489304403459</v>
      </c>
      <c r="CE203" s="60">
        <f t="shared" si="207"/>
        <v>247.01165577562966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projet'!$B$13,Paramètres!$A$1:$I$89,3,0)*VLOOKUP('Données projet'!$B$13,Paramètres!$A$1:$I$89,5,0)</f>
        <v>-1.6227659216383472E-13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354.63118425028898</v>
      </c>
      <c r="CZ203" s="60">
        <f t="shared" si="208"/>
        <v>244.7141066773861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-9.3464223027694966E-13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455.50822833641354</v>
      </c>
      <c r="DU203" s="60">
        <f t="shared" si="209"/>
        <v>261.14722581688039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207.03241199974599</v>
      </c>
      <c r="EP203" s="60">
        <f t="shared" si="210"/>
        <v>314.188568589113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0.46582034251586879</v>
      </c>
      <c r="EW203" s="23">
        <f>EXP(-LN(2)/25)*EW202+(1-EXP(-LN(2)/25))/(LN(2)/25)*Calculateur!ER203*Calculateur!ET203*VLOOKUP('Données projet'!$B$15,Paramètres!$A$1:$I$89,3,0)*0.475*44/12</f>
        <v>8.7493245317528112E-2</v>
      </c>
      <c r="EX203" s="23">
        <f>EXP(-LN(2)/2)*EX202+(1-EXP(-LN(2)/2))/(LN(2)/2)*ER203*EU203*VLOOKUP('Données projet'!$B$15,Paramètres!$A$1:$I$89,3,0)*0.475*44/12</f>
        <v>7.5594684178105561E-26</v>
      </c>
      <c r="EY203" s="24">
        <f t="shared" si="181"/>
        <v>0.5533135878333969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 t="e">
        <f>EXP(LN('Données projet'!B36)/'Données projet'!A36)</f>
        <v>#NUM!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1.289976715395158</v>
      </c>
      <c r="BV205" s="86">
        <f>EXP(LN('Données projet'!B114)/'Données projet'!A114)</f>
        <v>1.2054868146447177</v>
      </c>
      <c r="CQ205" s="86">
        <f>EXP(LN('Données projet'!B140)/'Données projet'!A140)</f>
        <v>1.2649598798623627</v>
      </c>
      <c r="DL205" s="86">
        <f>EXP(LN('Données projet'!B166)/'Données projet'!A166)</f>
        <v>1.2054868146447177</v>
      </c>
      <c r="EG205" s="86">
        <f>EXP(LN('Données projet'!B192)/'Données projet'!A192)</f>
        <v>1.3566516392624868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zoomScale="85" zoomScaleNormal="85" workbookViewId="0">
      <selection activeCell="B38" sqref="B38:B4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1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2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1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3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3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2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1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2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50" zoomScale="40" zoomScaleNormal="40" workbookViewId="0">
      <selection activeCell="L19" sqref="B14:L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/>
      </c>
      <c r="B6" s="153">
        <f>'Données projet'!D9</f>
        <v>0</v>
      </c>
      <c r="C6" s="154">
        <f>IF(OR('Données projet'!B9="",'Données projet'!C9="",'Données projet'!C9=0%),0,Calculateur!S3)</f>
        <v>0</v>
      </c>
      <c r="D6" s="154">
        <f>IF(OR('Données projet'!B9="",'Données projet'!C9="",'Données projet'!C9=0%),0,Calculateur!T3)</f>
        <v>0</v>
      </c>
      <c r="E6" s="154">
        <f>MIN(C6,D6)</f>
        <v>0</v>
      </c>
      <c r="F6" s="154">
        <f>E6*B6</f>
        <v>0</v>
      </c>
      <c r="G6" s="154">
        <f>F6*(100%-'Données projet'!$C$24)*(100%-'Données projet'!$C$25)*(100%-'Données projet'!$C$26)*(100%-'Données projet'!$C$27)</f>
        <v>0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>G6+I6+K6</f>
        <v>0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sessile</v>
      </c>
      <c r="B7" s="161">
        <f>'Données projet'!D10</f>
        <v>0.75680000000000003</v>
      </c>
      <c r="C7" s="154">
        <f ca="1">IF(OR('Données projet'!B10="",'Données projet'!C10="",'Données projet'!C10=0%),0,Calculateur!AN3)</f>
        <v>428.8489304403459</v>
      </c>
      <c r="D7" s="154">
        <f>IF(OR('Données projet'!B10="",'Données projet'!C10="",'Données projet'!C10=0%),0,Calculateur!AO3)</f>
        <v>247.01165577562966</v>
      </c>
      <c r="E7" s="154">
        <f t="shared" ref="E7:E15" ca="1" si="0">MIN(C7,D7)</f>
        <v>247.01165577562966</v>
      </c>
      <c r="F7" s="154">
        <f t="shared" ref="F7:F15" ca="1" si="1">E7*B7</f>
        <v>186.93842109099654</v>
      </c>
      <c r="G7" s="154">
        <f ca="1">F7*(100%-'Données projet'!$C$24)*(100%-'Données projet'!$C$25)*(100%-'Données projet'!$C$26)*(100%-'Données projet'!$C$27)</f>
        <v>143.84911502952184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5.4868000000000006</v>
      </c>
      <c r="K7" s="158">
        <f>J7*(100%-'Données projet'!$C$24)*(100%-'Données projet'!$C$25)*(100%-'Données projet'!$C$26)*(100%-'Données projet'!$C$27)</f>
        <v>4.2220926000000008</v>
      </c>
      <c r="L7" s="159">
        <f t="shared" ref="L7:L15" ca="1" si="2">G7+I7+K7</f>
        <v>148.07120762952184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Douglas</v>
      </c>
      <c r="B8" s="161">
        <f>'Données projet'!D11</f>
        <v>0.24080000000000001</v>
      </c>
      <c r="C8" s="154">
        <f ca="1">IF(OR('Données projet'!B11="",'Données projet'!C11="",'Données projet'!C11=0%),0,Calculateur!BI3)</f>
        <v>374.79806286316051</v>
      </c>
      <c r="D8" s="154">
        <f>IF(OR('Données projet'!B11="",'Données projet'!C11="",'Données projet'!C11=0%),0,Calculateur!BJ3)</f>
        <v>350.01856672839466</v>
      </c>
      <c r="E8" s="154">
        <f t="shared" ca="1" si="0"/>
        <v>350.01856672839466</v>
      </c>
      <c r="F8" s="154">
        <f t="shared" ca="1" si="1"/>
        <v>84.284470868197445</v>
      </c>
      <c r="G8" s="154">
        <f ca="1">F8*(100%-'Données projet'!$C$24)*(100%-'Données projet'!$C$25)*(100%-'Données projet'!$C$26)*(100%-'Données projet'!$C$27)</f>
        <v>64.856900333077945</v>
      </c>
      <c r="H8" s="162">
        <f>IF(OR('Données projet'!B11="",'Données projet'!C11="",'Données projet'!C11=0%),0,AVERAGE(Calculateur!$BS$3:$BS$33)*B8)</f>
        <v>2.0343864945468844</v>
      </c>
      <c r="I8" s="156">
        <f>H8*(100%-'Données projet'!$C$24)*(100%-'Données projet'!$C$25)*(100%-'Données projet'!$C$26)*(100%-'Données projet'!$C$27)</f>
        <v>1.5654604075538274</v>
      </c>
      <c r="J8" s="157">
        <f>IF(OR('Données projet'!B11="",'Données projet'!C11="",'Données projet'!C11=0%),0,SUM(Calculateur!$BL$3:$BL$33)*VLOOKUP('Données projet'!$B$11,Paramètres!$A$1:$I$89,9,0)*B8)</f>
        <v>13.150088</v>
      </c>
      <c r="K8" s="158">
        <f>J8*(100%-'Données projet'!$C$24)*(100%-'Données projet'!$C$25)*(100%-'Données projet'!$C$26)*(100%-'Données projet'!$C$27)</f>
        <v>10.118992716000001</v>
      </c>
      <c r="L8" s="159">
        <f t="shared" ca="1" si="2"/>
        <v>76.541353456631782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Chêne sessile</v>
      </c>
      <c r="B9" s="161">
        <f>'Données projet'!D12</f>
        <v>0.72239999999999993</v>
      </c>
      <c r="C9" s="154">
        <f ca="1">IF(OR('Données projet'!B12="",'Données projet'!C12="",'Données projet'!C12=0%),0,Calculateur!CD3)</f>
        <v>428.8489304403459</v>
      </c>
      <c r="D9" s="154">
        <f>IF(OR('Données projet'!B12="",'Données projet'!C12="",'Données projet'!C12=0%),0,Calculateur!CE3)</f>
        <v>247.01165577562966</v>
      </c>
      <c r="E9" s="154">
        <f t="shared" ca="1" si="0"/>
        <v>247.01165577562966</v>
      </c>
      <c r="F9" s="154">
        <f t="shared" ca="1" si="1"/>
        <v>178.44122013231484</v>
      </c>
      <c r="G9" s="154">
        <f ca="1">F9*(100%-'Données projet'!$C$24)*(100%-'Données projet'!$C$25)*(100%-'Données projet'!$C$26)*(100%-'Données projet'!$C$27)</f>
        <v>137.31051889181629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5.2373999999999992</v>
      </c>
      <c r="K9" s="158">
        <f>J9*(100%-'Données projet'!$C$24)*(100%-'Données projet'!$C$25)*(100%-'Données projet'!$C$26)*(100%-'Données projet'!$C$27)</f>
        <v>4.0301792999999995</v>
      </c>
      <c r="L9" s="159">
        <f t="shared" ca="1" si="2"/>
        <v>141.34069819181627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Charme</v>
      </c>
      <c r="B10" s="161">
        <f>'Données projet'!D13</f>
        <v>0.72239999999999993</v>
      </c>
      <c r="C10" s="154">
        <f ca="1">IF(OR('Données projet'!B13="",'Données projet'!C13="",'Données projet'!C13=0%),0,Calculateur!CY3)</f>
        <v>354.63118425028898</v>
      </c>
      <c r="D10" s="154">
        <f>IF(OR('Données projet'!B13="",'Données projet'!C13="",'Données projet'!C13=0%),0,Calculateur!CZ3)</f>
        <v>244.7141066773861</v>
      </c>
      <c r="E10" s="154">
        <f t="shared" ca="1" si="0"/>
        <v>244.7141066773861</v>
      </c>
      <c r="F10" s="154">
        <f t="shared" ca="1" si="1"/>
        <v>176.7814706637437</v>
      </c>
      <c r="G10" s="154">
        <f ca="1">F10*(100%-'Données projet'!$C$24)*(100%-'Données projet'!$C$25)*(100%-'Données projet'!$C$26)*(100%-'Données projet'!$C$27)</f>
        <v>136.03334167575076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4.8623076923076916</v>
      </c>
      <c r="K10" s="158">
        <f>J10*(100%-'Données projet'!$C$24)*(100%-'Données projet'!$C$25)*(100%-'Données projet'!$C$26)*(100%-'Données projet'!$C$27)</f>
        <v>3.7415457692307692</v>
      </c>
      <c r="L10" s="159">
        <f t="shared" ca="1" si="2"/>
        <v>139.77488744498154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Alisier torminal</v>
      </c>
      <c r="B11" s="161">
        <f>'Données projet'!D14</f>
        <v>0.1032</v>
      </c>
      <c r="C11" s="154">
        <f ca="1">IF(OR('Données projet'!B14="",'Données projet'!C14="",'Données projet'!C14=0%),0,Calculateur!DT3)</f>
        <v>455.50822833641354</v>
      </c>
      <c r="D11" s="154">
        <f>IF(OR('Données projet'!B14="",'Données projet'!C14="",'Données projet'!C14=0%),0,Calculateur!DU3)</f>
        <v>261.14722581688039</v>
      </c>
      <c r="E11" s="154">
        <f t="shared" ca="1" si="0"/>
        <v>261.14722581688039</v>
      </c>
      <c r="F11" s="154">
        <f t="shared" ca="1" si="1"/>
        <v>26.950393704302055</v>
      </c>
      <c r="G11" s="154">
        <f ca="1">F11*(100%-'Données projet'!$C$24)*(100%-'Données projet'!$C$25)*(100%-'Données projet'!$C$26)*(100%-'Données projet'!$C$27)</f>
        <v>20.738327955460431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0.74819999999999998</v>
      </c>
      <c r="K11" s="158">
        <f>J11*(100%-'Données projet'!$C$24)*(100%-'Données projet'!$C$25)*(100%-'Données projet'!$C$26)*(100%-'Données projet'!$C$27)</f>
        <v>0.57573989999999997</v>
      </c>
      <c r="L11" s="159">
        <f t="shared" ca="1" si="2"/>
        <v>21.314067855460429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Pin maritime</v>
      </c>
      <c r="B12" s="161">
        <f>'Données projet'!D15</f>
        <v>0.75680000000000003</v>
      </c>
      <c r="C12" s="154">
        <f ca="1">IF(OR('Données projet'!B15="",'Données projet'!C15="",'Données projet'!C15=0%),0,Calculateur!EO3)</f>
        <v>207.03241199974599</v>
      </c>
      <c r="D12" s="154">
        <f>IF(OR('Données projet'!B15="",'Données projet'!C15="",'Données projet'!C15=0%),0,Calculateur!EP3)</f>
        <v>314.188568589113</v>
      </c>
      <c r="E12" s="154">
        <f t="shared" ca="1" si="0"/>
        <v>207.03241199974599</v>
      </c>
      <c r="F12" s="154">
        <f t="shared" ca="1" si="1"/>
        <v>156.68212940140776</v>
      </c>
      <c r="G12" s="154">
        <f ca="1">F12*(100%-'Données projet'!$C$24)*(100%-'Données projet'!$C$25)*(100%-'Données projet'!$C$26)*(100%-'Données projet'!$C$27)</f>
        <v>120.56689857438327</v>
      </c>
      <c r="H12" s="162">
        <f>IF(OR('Données projet'!B15="",'Données projet'!C15="",'Données projet'!C15=0%),0,AVERAGE(Calculateur!$EY$3:$EY$33)*B12)</f>
        <v>6.4285075521377752</v>
      </c>
      <c r="I12" s="156">
        <f>H12*(100%-'Données projet'!$C$24)*(100%-'Données projet'!$C$25)*(100%-'Données projet'!$C$26)*(100%-'Données projet'!$C$27)</f>
        <v>4.9467365613700185</v>
      </c>
      <c r="J12" s="157">
        <f>IF(OR('Données projet'!B15="",'Données projet'!C15="",'Données projet'!C15=0%),0,SUM(Calculateur!$ER$3:$ER$33)*VLOOKUP('Données projet'!$B$15,Paramètres!$A$1:$I$89,9,0)*B12)</f>
        <v>49.984785839999994</v>
      </c>
      <c r="K12" s="158">
        <f>J12*(100%-'Données projet'!$C$24)*(100%-'Données projet'!$C$25)*(100%-'Données projet'!$C$26)*(100%-'Données projet'!$C$27)</f>
        <v>38.463292703879993</v>
      </c>
      <c r="L12" s="159">
        <f t="shared" ca="1" si="2"/>
        <v>163.97692783963328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810.07810586096241</v>
      </c>
      <c r="G16" s="173">
        <f t="shared" ca="1" si="3"/>
        <v>623.35510246001047</v>
      </c>
      <c r="H16" s="174">
        <f t="shared" si="3"/>
        <v>8.4628940466846601</v>
      </c>
      <c r="I16" s="174">
        <f t="shared" si="3"/>
        <v>6.5121969689238455</v>
      </c>
      <c r="J16" s="175">
        <f t="shared" si="3"/>
        <v>79.469581532307686</v>
      </c>
      <c r="K16" s="175">
        <f t="shared" si="3"/>
        <v>61.151842989110762</v>
      </c>
      <c r="L16" s="176">
        <f t="shared" ca="1" si="3"/>
        <v>691.01914241804513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/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sessile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Douglas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Chêne sessile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Charme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Alisier torminal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Pin maritime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F9" zoomScale="70" zoomScaleNormal="7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/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8">
        <f>'Données projet'!D9</f>
        <v>0</v>
      </c>
      <c r="V10" s="187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sessile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468.26720404834549</v>
      </c>
      <c r="U11" s="188">
        <f>'Données projet'!D10</f>
        <v>0.75680000000000003</v>
      </c>
      <c r="V11" s="187">
        <f t="shared" ref="V11" si="0">U11*T11</f>
        <v>354.38462002378787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Douglas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4964.4912929764032</v>
      </c>
      <c r="U12" s="188">
        <f>'Données projet'!D11</f>
        <v>0.24080000000000001</v>
      </c>
      <c r="V12" s="187">
        <f t="shared" ref="V12:V19" si="1">U12*T12</f>
        <v>1195.4495033487181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sessile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730.58923669376043</v>
      </c>
      <c r="U13" s="188">
        <f>'Données projet'!D12</f>
        <v>0.72239999999999993</v>
      </c>
      <c r="V13" s="187">
        <f t="shared" si="1"/>
        <v>527.77766458757253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/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Charme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416.74050603880846</v>
      </c>
      <c r="U14" s="188">
        <f>'Données projet'!D13</f>
        <v>0.72239999999999993</v>
      </c>
      <c r="V14" s="187">
        <f t="shared" si="1"/>
        <v>301.05334156243521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8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Alisier torminal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730.58923669376043</v>
      </c>
      <c r="U15" s="188">
        <f>'Données projet'!D14</f>
        <v>0.1032</v>
      </c>
      <c r="V15" s="187">
        <f t="shared" si="1"/>
        <v>75.39680922679608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8"/>
      <c r="H16" s="201"/>
      <c r="I16" s="202"/>
      <c r="J16" s="214"/>
      <c r="K16" s="223"/>
      <c r="L16" s="334" t="s">
        <v>254</v>
      </c>
      <c r="M16" s="335"/>
      <c r="N16" s="2"/>
      <c r="O16" s="25"/>
      <c r="P16" s="25"/>
      <c r="Q16" s="263"/>
      <c r="R16" s="25"/>
      <c r="S16" s="183" t="str">
        <f>B200</f>
        <v>Pin maritime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2996.3021477436941</v>
      </c>
      <c r="U16" s="188">
        <f>'Données projet'!D15</f>
        <v>0.75680000000000003</v>
      </c>
      <c r="V16" s="187">
        <f t="shared" si="1"/>
        <v>2267.6014654124278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8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8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8"/>
      <c r="H19" s="230" t="s">
        <v>178</v>
      </c>
      <c r="I19" s="230" t="s">
        <v>287</v>
      </c>
      <c r="J19" s="258"/>
      <c r="K19" s="181"/>
      <c r="L19" s="334" t="s">
        <v>288</v>
      </c>
      <c r="M19" s="335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8"/>
      <c r="H20" s="201">
        <v>1</v>
      </c>
      <c r="I20" s="202">
        <v>6000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6" t="s">
        <v>260</v>
      </c>
      <c r="M23" s="336"/>
      <c r="N23" s="336"/>
      <c r="O23" s="25"/>
      <c r="P23" s="25"/>
      <c r="Q23" s="263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-15029.532768087067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3">
        <f ca="1">T23-T24</f>
        <v>-15029.532768087067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0" t="s">
        <v>258</v>
      </c>
      <c r="M26" s="321"/>
      <c r="N26" s="321"/>
      <c r="O26" s="321"/>
      <c r="P26" s="322"/>
      <c r="Q26" s="263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3"/>
      <c r="M27" s="324"/>
      <c r="N27" s="324"/>
      <c r="O27" s="324"/>
      <c r="P27" s="325"/>
      <c r="Q27" s="263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0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projet'!A51</f>
        <v>0</v>
      </c>
      <c r="B37" s="191">
        <f>'Données projet'!D51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projet'!A52</f>
        <v>0</v>
      </c>
      <c r="B38" s="191">
        <f>'Données projet'!D52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projet'!A53</f>
        <v>0</v>
      </c>
      <c r="B39" s="191">
        <f>'Données projet'!D53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projet'!A54</f>
        <v>0</v>
      </c>
      <c r="B40" s="191">
        <f>'Données projet'!D54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 t="e">
        <f>'Données projet'!#REF!</f>
        <v>#REF!</v>
      </c>
      <c r="B41" s="191" t="e">
        <f>'Données projet'!#REF!</f>
        <v>#REF!</v>
      </c>
      <c r="C41" s="204"/>
      <c r="D41" s="192" t="e">
        <f t="shared" si="2"/>
        <v>#REF!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sessile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2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2">
        <v>10</v>
      </c>
      <c r="D58" s="189">
        <f t="shared" si="4"/>
        <v>420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2">
        <v>15</v>
      </c>
      <c r="D60" s="189">
        <f t="shared" si="4"/>
        <v>630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2">
        <v>20</v>
      </c>
      <c r="D62" s="189">
        <f t="shared" si="4"/>
        <v>840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2">
        <v>20</v>
      </c>
      <c r="D64" s="189">
        <f t="shared" si="4"/>
        <v>840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2">
        <v>30</v>
      </c>
      <c r="D66" s="189">
        <f t="shared" si="4"/>
        <v>1260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2">
        <v>35</v>
      </c>
      <c r="D67" s="189">
        <f t="shared" si="4"/>
        <v>1470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2">
        <v>40</v>
      </c>
      <c r="D68" s="189">
        <f t="shared" si="4"/>
        <v>1680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2">
        <v>45</v>
      </c>
      <c r="D69" s="189">
        <f t="shared" si="4"/>
        <v>1755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2">
        <v>50</v>
      </c>
      <c r="D70" s="189">
        <f t="shared" si="4"/>
        <v>1750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2">
        <v>60</v>
      </c>
      <c r="D71" s="189">
        <f t="shared" si="4"/>
        <v>1860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2">
        <v>70</v>
      </c>
      <c r="D72" s="189">
        <f t="shared" si="4"/>
        <v>1890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2">
        <v>80</v>
      </c>
      <c r="D73" s="189">
        <f t="shared" si="4"/>
        <v>23440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Douglas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str">
        <f>IF(O77+1&lt;=MIN('Données projet'!$E$9:$E$18),O77+1,"STOP")</f>
        <v>STOP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21</v>
      </c>
      <c r="B85" s="191">
        <f>'Données projet'!D88</f>
        <v>63</v>
      </c>
      <c r="C85" s="202">
        <v>15</v>
      </c>
      <c r="D85" s="189">
        <f>B85*C85</f>
        <v>945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28</v>
      </c>
      <c r="B86" s="191">
        <f>'Données projet'!D89</f>
        <v>64</v>
      </c>
      <c r="C86" s="202">
        <v>20</v>
      </c>
      <c r="D86" s="189">
        <f t="shared" ref="D86:D104" si="6">B86*C86</f>
        <v>1280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35</v>
      </c>
      <c r="B87" s="191">
        <f>'Données projet'!D90</f>
        <v>73</v>
      </c>
      <c r="C87" s="202">
        <v>30</v>
      </c>
      <c r="D87" s="189">
        <f t="shared" si="6"/>
        <v>2190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42</v>
      </c>
      <c r="B88" s="191">
        <f>'Données projet'!D91</f>
        <v>77</v>
      </c>
      <c r="C88" s="202">
        <v>35</v>
      </c>
      <c r="D88" s="189">
        <f t="shared" si="6"/>
        <v>2695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49</v>
      </c>
      <c r="B89" s="191">
        <f>'Données projet'!D92</f>
        <v>80</v>
      </c>
      <c r="C89" s="202">
        <v>40</v>
      </c>
      <c r="D89" s="189">
        <f t="shared" si="6"/>
        <v>3200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56</v>
      </c>
      <c r="B90" s="191">
        <f>'Données projet'!D93</f>
        <v>85</v>
      </c>
      <c r="C90" s="202">
        <v>50</v>
      </c>
      <c r="D90" s="189">
        <f t="shared" si="6"/>
        <v>4250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63</v>
      </c>
      <c r="B91" s="191">
        <f>'Données projet'!D94</f>
        <v>84</v>
      </c>
      <c r="C91" s="202">
        <v>60</v>
      </c>
      <c r="D91" s="189">
        <f t="shared" si="6"/>
        <v>5040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70</v>
      </c>
      <c r="B92" s="191">
        <f>'Données projet'!D95</f>
        <v>551</v>
      </c>
      <c r="C92" s="202">
        <v>90</v>
      </c>
      <c r="D92" s="189">
        <f t="shared" si="6"/>
        <v>49590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Chêne sessile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30</v>
      </c>
      <c r="B118" s="191">
        <f>'Données projet'!D116</f>
        <v>29</v>
      </c>
      <c r="C118" s="202">
        <v>10</v>
      </c>
      <c r="D118" s="189">
        <f t="shared" si="8"/>
        <v>290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35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40</v>
      </c>
      <c r="B120" s="191">
        <f>'Données projet'!D118</f>
        <v>42</v>
      </c>
      <c r="C120" s="202">
        <v>15</v>
      </c>
      <c r="D120" s="189">
        <f t="shared" si="8"/>
        <v>630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45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50</v>
      </c>
      <c r="B122" s="191">
        <f>'Données projet'!D120</f>
        <v>42</v>
      </c>
      <c r="C122" s="202">
        <v>20</v>
      </c>
      <c r="D122" s="189">
        <f t="shared" si="8"/>
        <v>840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55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42</v>
      </c>
      <c r="C124" s="202">
        <v>30</v>
      </c>
      <c r="D124" s="189">
        <f t="shared" si="8"/>
        <v>1260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65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70</v>
      </c>
      <c r="B126" s="191">
        <f>'Données projet'!D124</f>
        <v>42</v>
      </c>
      <c r="C126" s="202">
        <v>40</v>
      </c>
      <c r="D126" s="189">
        <f t="shared" si="8"/>
        <v>1680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75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80</v>
      </c>
      <c r="B128" s="191">
        <f>'Données projet'!D126</f>
        <v>42</v>
      </c>
      <c r="C128" s="202">
        <v>50</v>
      </c>
      <c r="D128" s="189">
        <f t="shared" si="8"/>
        <v>2100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90</v>
      </c>
      <c r="B129" s="191">
        <f>'Données projet'!D127</f>
        <v>42</v>
      </c>
      <c r="C129" s="202">
        <v>60</v>
      </c>
      <c r="D129" s="189">
        <f t="shared" si="8"/>
        <v>2520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100</v>
      </c>
      <c r="B130" s="191">
        <f>'Données projet'!D128</f>
        <v>42</v>
      </c>
      <c r="C130" s="202">
        <v>70</v>
      </c>
      <c r="D130" s="189">
        <f t="shared" si="8"/>
        <v>2940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110</v>
      </c>
      <c r="B131" s="191">
        <f>'Données projet'!D129</f>
        <v>39</v>
      </c>
      <c r="C131" s="202">
        <v>80</v>
      </c>
      <c r="D131" s="189">
        <f t="shared" si="8"/>
        <v>3120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120</v>
      </c>
      <c r="B132" s="191">
        <f>'Données projet'!D130</f>
        <v>35</v>
      </c>
      <c r="C132" s="202">
        <v>90</v>
      </c>
      <c r="D132" s="189">
        <f t="shared" si="8"/>
        <v>3150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130</v>
      </c>
      <c r="B133" s="191">
        <f>'Données projet'!D131</f>
        <v>31</v>
      </c>
      <c r="C133" s="202">
        <v>100</v>
      </c>
      <c r="D133" s="189">
        <f t="shared" si="8"/>
        <v>3100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140</v>
      </c>
      <c r="B134" s="191">
        <f>'Données projet'!D132</f>
        <v>27</v>
      </c>
      <c r="C134" s="202">
        <v>150</v>
      </c>
      <c r="D134" s="189">
        <f t="shared" si="8"/>
        <v>4050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150</v>
      </c>
      <c r="B135" s="191">
        <f>'Données projet'!D133</f>
        <v>293</v>
      </c>
      <c r="C135" s="202">
        <v>200</v>
      </c>
      <c r="D135" s="189">
        <f t="shared" si="8"/>
        <v>58600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Charme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26.923076923076923</v>
      </c>
      <c r="C149" s="202">
        <v>10</v>
      </c>
      <c r="D149" s="192">
        <f t="shared" si="10"/>
        <v>269.23076923076923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26.282051282051281</v>
      </c>
      <c r="C151" s="202">
        <v>10</v>
      </c>
      <c r="D151" s="192">
        <f t="shared" si="10"/>
        <v>262.82051282051282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28.205128205128204</v>
      </c>
      <c r="C153" s="202">
        <v>15</v>
      </c>
      <c r="D153" s="192">
        <f t="shared" si="10"/>
        <v>423.07692307692309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28.205128205128204</v>
      </c>
      <c r="C155" s="202">
        <v>20</v>
      </c>
      <c r="D155" s="192">
        <f t="shared" si="10"/>
        <v>564.10256410256409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28.205128205128204</v>
      </c>
      <c r="C157" s="202">
        <v>20</v>
      </c>
      <c r="D157" s="192">
        <f t="shared" si="10"/>
        <v>564.10256410256409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26.923076923076923</v>
      </c>
      <c r="C159" s="202">
        <v>25</v>
      </c>
      <c r="D159" s="192">
        <f t="shared" si="10"/>
        <v>673.07692307692309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5">
        <f>'Données projet'!D154</f>
        <v>25.641025641025639</v>
      </c>
      <c r="C161" s="202">
        <v>30</v>
      </c>
      <c r="D161" s="192">
        <f t="shared" si="10"/>
        <v>769.23076923076917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5">
        <f>'Données projet'!D156</f>
        <v>23.717948717948715</v>
      </c>
      <c r="C163" s="202">
        <v>35</v>
      </c>
      <c r="D163" s="192">
        <f t="shared" si="10"/>
        <v>830.12820512820508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5">
        <f>'Données projet'!D158</f>
        <v>33.333333333333336</v>
      </c>
      <c r="C165" s="202">
        <v>40</v>
      </c>
      <c r="D165" s="192">
        <f t="shared" si="10"/>
        <v>1333.3333333333335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5">
        <f>'Données projet'!D159</f>
        <v>251.28205128205127</v>
      </c>
      <c r="C166" s="202">
        <v>50</v>
      </c>
      <c r="D166" s="192">
        <f t="shared" si="10"/>
        <v>12564.102564102563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Alisier torminal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2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2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29</v>
      </c>
      <c r="C180" s="202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42</v>
      </c>
      <c r="C182" s="202">
        <v>15</v>
      </c>
      <c r="D182" s="189">
        <f t="shared" si="11"/>
        <v>630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42</v>
      </c>
      <c r="C184" s="202">
        <v>20</v>
      </c>
      <c r="D184" s="189">
        <f t="shared" si="11"/>
        <v>840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42</v>
      </c>
      <c r="C186" s="202">
        <v>30</v>
      </c>
      <c r="D186" s="189">
        <f t="shared" si="11"/>
        <v>1260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42</v>
      </c>
      <c r="C188" s="202">
        <v>40</v>
      </c>
      <c r="D188" s="189">
        <f t="shared" si="11"/>
        <v>1680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2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42</v>
      </c>
      <c r="C190" s="202">
        <v>50</v>
      </c>
      <c r="D190" s="189">
        <f t="shared" si="11"/>
        <v>2100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90</v>
      </c>
      <c r="B191" s="191">
        <f>'Données projet'!D179</f>
        <v>42</v>
      </c>
      <c r="C191" s="202">
        <v>60</v>
      </c>
      <c r="D191" s="189">
        <f t="shared" si="11"/>
        <v>2520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100</v>
      </c>
      <c r="B192" s="191">
        <f>'Données projet'!D180</f>
        <v>42</v>
      </c>
      <c r="C192" s="202">
        <v>70</v>
      </c>
      <c r="D192" s="189">
        <f t="shared" si="11"/>
        <v>2940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110</v>
      </c>
      <c r="B193" s="191">
        <f>'Données projet'!D181</f>
        <v>39</v>
      </c>
      <c r="C193" s="202">
        <v>80</v>
      </c>
      <c r="D193" s="189">
        <f t="shared" si="11"/>
        <v>3120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120</v>
      </c>
      <c r="B194" s="191">
        <f>'Données projet'!D182</f>
        <v>35</v>
      </c>
      <c r="C194" s="202">
        <v>90</v>
      </c>
      <c r="D194" s="189">
        <f t="shared" si="11"/>
        <v>3150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130</v>
      </c>
      <c r="B195" s="191">
        <f>'Données projet'!D183</f>
        <v>31</v>
      </c>
      <c r="C195" s="202">
        <v>100</v>
      </c>
      <c r="D195" s="189">
        <f t="shared" si="11"/>
        <v>3100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140</v>
      </c>
      <c r="B196" s="191">
        <f>'Données projet'!D184</f>
        <v>27</v>
      </c>
      <c r="C196" s="202">
        <v>150</v>
      </c>
      <c r="D196" s="189">
        <f t="shared" si="11"/>
        <v>4050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2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Pin maritime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12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13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14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15</v>
      </c>
      <c r="B212" s="191">
        <f>'Données projet'!D195</f>
        <v>23.3155</v>
      </c>
      <c r="C212" s="204">
        <v>10</v>
      </c>
      <c r="D212" s="189">
        <f t="shared" si="12"/>
        <v>233.155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16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17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18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19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20</v>
      </c>
      <c r="B217" s="191">
        <f>'Données projet'!D200</f>
        <v>34.110500000000002</v>
      </c>
      <c r="C217" s="204">
        <v>15</v>
      </c>
      <c r="D217" s="189">
        <f t="shared" si="12"/>
        <v>511.65750000000003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21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22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23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24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25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27</v>
      </c>
      <c r="B223" s="191">
        <f>'Données projet'!D206</f>
        <v>54.518999999999998</v>
      </c>
      <c r="C223" s="204">
        <v>20</v>
      </c>
      <c r="D223" s="189">
        <f t="shared" si="12"/>
        <v>1090.3799999999999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30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32</v>
      </c>
      <c r="B225" s="191">
        <f>'Données projet'!D208</f>
        <v>62.73</v>
      </c>
      <c r="C225" s="204">
        <v>25</v>
      </c>
      <c r="D225" s="189">
        <f t="shared" si="12"/>
        <v>1568.25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37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42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44</v>
      </c>
      <c r="B228" s="191">
        <f>'Données projet'!D211</f>
        <v>337.78999999999996</v>
      </c>
      <c r="C228" s="204">
        <v>40</v>
      </c>
      <c r="D228" s="189">
        <f t="shared" si="12"/>
        <v>13511.599999999999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Normal="100" workbookViewId="0">
      <selection activeCell="C27" sqref="C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39"/>
      <c r="C4" s="339"/>
      <c r="D4" s="339"/>
      <c r="E4" s="339"/>
      <c r="F4" s="339"/>
      <c r="G4" s="33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REE</vt:lpstr>
      <vt:lpstr>VAN</vt:lpstr>
      <vt:lpstr>Scénario référence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2023-03-17T09:25:28Z</dcterms:modified>
</cp:coreProperties>
</file>