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ippolyte.Reignier\Documents\1_Projets\_Déposés\03 - Busset\"/>
    </mc:Choice>
  </mc:AlternateContent>
  <bookViews>
    <workbookView xWindow="0" yWindow="0" windowWidth="11748" windowHeight="5316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1" i="1" l="1"/>
  <c r="B101" i="1"/>
  <c r="B94" i="1"/>
  <c r="D93" i="1"/>
  <c r="B93" i="1"/>
  <c r="B92" i="1"/>
  <c r="D91" i="1"/>
  <c r="B91" i="1"/>
  <c r="B90" i="1"/>
  <c r="D89" i="1"/>
  <c r="B89" i="1"/>
  <c r="B88" i="1"/>
  <c r="D73" i="1" l="1"/>
  <c r="D43" i="1" l="1"/>
  <c r="B36" i="1"/>
  <c r="D36" i="1" s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8" i="2" l="1"/>
  <c r="BI138" i="2"/>
  <c r="BI47" i="2"/>
  <c r="BI84" i="2"/>
  <c r="BI92" i="2"/>
  <c r="BI123" i="2"/>
  <c r="BI192" i="2"/>
  <c r="BI15" i="2"/>
  <c r="BI198" i="2"/>
  <c r="BI152" i="2"/>
  <c r="BI94" i="2"/>
  <c r="BI120" i="2"/>
  <c r="BI158" i="2"/>
  <c r="BI190" i="2"/>
  <c r="BI49" i="2"/>
  <c r="BI149" i="2"/>
  <c r="BI99" i="2"/>
  <c r="BI155" i="2"/>
  <c r="BI37" i="2"/>
  <c r="BI142" i="2"/>
  <c r="BI96" i="2"/>
  <c r="BI159" i="2"/>
  <c r="BI179" i="2"/>
  <c r="BI141" i="2"/>
  <c r="BI34" i="2"/>
  <c r="BI191" i="2"/>
  <c r="BI61" i="2"/>
  <c r="BI169" i="2"/>
  <c r="BI64" i="2"/>
  <c r="BI30" i="2"/>
  <c r="BI39" i="2"/>
  <c r="BI128" i="2"/>
  <c r="BI108" i="2"/>
  <c r="BI164" i="2"/>
  <c r="BI154" i="2"/>
  <c r="BI125" i="2"/>
  <c r="BI109" i="2"/>
  <c r="BI9" i="2"/>
  <c r="BI202" i="2"/>
  <c r="BI21" i="2"/>
  <c r="BI160" i="2"/>
  <c r="BI69" i="2"/>
  <c r="BI60" i="2"/>
  <c r="BI6" i="2"/>
  <c r="BI135" i="2"/>
  <c r="BI4" i="2"/>
  <c r="BI97" i="2"/>
  <c r="BI132" i="2"/>
  <c r="BI148" i="2"/>
  <c r="BI139" i="2"/>
  <c r="BI45" i="2"/>
  <c r="BI74" i="2"/>
  <c r="BI65" i="2"/>
  <c r="BI200" i="2"/>
  <c r="BI38" i="2"/>
  <c r="BI151" i="2"/>
  <c r="BI146" i="2"/>
  <c r="BI23" i="2"/>
  <c r="BI66" i="2"/>
  <c r="BI161" i="2"/>
  <c r="BI76" i="2"/>
  <c r="BI189" i="2"/>
  <c r="BI8" i="2"/>
  <c r="BI147" i="2"/>
  <c r="BI67" i="2"/>
  <c r="BI115" i="2"/>
  <c r="BI187" i="2"/>
  <c r="BI119" i="2"/>
  <c r="BI175" i="2"/>
  <c r="BI194" i="2"/>
  <c r="BI44" i="2"/>
  <c r="BI90" i="2"/>
  <c r="BI55" i="2"/>
  <c r="BI199" i="2"/>
  <c r="BI88" i="2"/>
  <c r="BI157" i="2"/>
  <c r="BI113" i="2"/>
  <c r="BI14" i="2"/>
  <c r="BI50" i="2"/>
  <c r="BI162" i="2"/>
  <c r="BI105" i="2"/>
  <c r="BI121" i="2"/>
  <c r="BI12" i="2"/>
  <c r="BI81" i="2"/>
  <c r="BI11" i="2"/>
  <c r="BI122" i="2"/>
  <c r="BI106" i="2"/>
  <c r="BI126" i="2"/>
  <c r="BI41" i="2"/>
  <c r="BI136" i="2"/>
  <c r="BI196" i="2"/>
  <c r="BI52" i="2"/>
  <c r="BI58" i="2"/>
  <c r="BI51" i="2"/>
  <c r="BI116" i="2"/>
  <c r="BI107" i="2"/>
  <c r="BI7" i="2"/>
  <c r="BI68" i="2"/>
  <c r="BI166" i="2"/>
  <c r="BI183" i="2"/>
  <c r="BI145" i="2"/>
  <c r="BI33" i="2"/>
  <c r="BI25" i="2"/>
  <c r="BI117" i="2"/>
  <c r="BI112" i="2"/>
  <c r="BI43" i="2"/>
  <c r="BI19" i="2"/>
  <c r="BI167" i="2"/>
  <c r="BI73" i="2"/>
  <c r="BI85" i="2"/>
  <c r="BI134" i="2"/>
  <c r="BI98" i="2"/>
  <c r="BI143" i="2"/>
  <c r="BI129" i="2"/>
  <c r="BI16" i="2"/>
  <c r="BI24" i="2"/>
  <c r="BI127" i="2"/>
  <c r="BI184" i="2"/>
  <c r="BI72" i="2"/>
  <c r="BI13" i="2"/>
  <c r="BI180" i="2"/>
  <c r="BI156" i="2"/>
  <c r="BI177" i="2"/>
  <c r="BI182" i="2"/>
  <c r="BI118" i="2"/>
  <c r="BI75" i="2"/>
  <c r="BI140" i="2"/>
  <c r="BI28" i="2"/>
  <c r="BI104" i="2"/>
  <c r="BI22" i="2"/>
  <c r="BI91" i="2"/>
  <c r="BI101" i="2"/>
  <c r="BI150" i="2"/>
  <c r="BI42" i="2"/>
  <c r="BI130" i="2"/>
  <c r="BI193" i="2"/>
  <c r="BI172" i="2"/>
  <c r="BI17" i="2"/>
  <c r="BI102" i="2"/>
  <c r="BI27" i="2"/>
  <c r="BI89" i="2"/>
  <c r="BI131" i="2"/>
  <c r="BI93" i="2"/>
  <c r="BI35" i="2"/>
  <c r="BI80" i="2"/>
  <c r="BI100" i="2"/>
  <c r="BI5" i="2"/>
  <c r="BI163" i="2"/>
  <c r="BI82" i="2"/>
  <c r="BI173" i="2"/>
  <c r="BI26" i="2"/>
  <c r="BI178" i="2"/>
  <c r="BI111" i="2"/>
  <c r="BI103" i="2"/>
  <c r="BI10" i="2"/>
  <c r="BI95" i="2"/>
  <c r="BI137" i="2"/>
  <c r="BI46" i="2"/>
  <c r="BI3" i="2"/>
  <c r="C8" i="4" s="1"/>
  <c r="E8" i="4" s="1"/>
  <c r="F8" i="4" s="1"/>
  <c r="G8" i="4" s="1"/>
  <c r="L8" i="4" s="1"/>
  <c r="BI176" i="2"/>
  <c r="BI59" i="2"/>
  <c r="BI29" i="2"/>
  <c r="BI201" i="2"/>
  <c r="BI124" i="2"/>
  <c r="BI186" i="2"/>
  <c r="BI31" i="2"/>
  <c r="BI63" i="2"/>
  <c r="BI62" i="2"/>
  <c r="BI171" i="2"/>
  <c r="BI114" i="2"/>
  <c r="BI168" i="2"/>
  <c r="BI83" i="2"/>
  <c r="BI53" i="2"/>
  <c r="BI70" i="2"/>
  <c r="BI78" i="2"/>
  <c r="BI87" i="2"/>
  <c r="BI77" i="2"/>
  <c r="BI153" i="2"/>
  <c r="BI133" i="2"/>
  <c r="BI170" i="2"/>
  <c r="BI20" i="2"/>
  <c r="BI197" i="2"/>
  <c r="BI57" i="2"/>
  <c r="BI195" i="2"/>
  <c r="BI86" i="2"/>
  <c r="BI56" i="2"/>
  <c r="BI144" i="2"/>
  <c r="BI48" i="2"/>
  <c r="BI79" i="2"/>
  <c r="BI165" i="2"/>
  <c r="BI36" i="2"/>
  <c r="BI40" i="2"/>
  <c r="BI110" i="2"/>
  <c r="BI203" i="2"/>
  <c r="BI188" i="2"/>
  <c r="BI174" i="2"/>
  <c r="BI181" i="2"/>
  <c r="BI71" i="2"/>
  <c r="BI32" i="2"/>
  <c r="BI185" i="2"/>
  <c r="BI54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<sst xmlns="http://schemas.openxmlformats.org/spreadsheetml/2006/main" count="1172" uniqueCount="324">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</sst>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1.8571401331452277</c:v>
                </c:pt>
                <c:pt idx="2">
                  <c:v>2.3730182268560873</c:v>
                </c:pt>
                <c:pt idx="3">
                  <c:v>3.0327744218015771</c:v>
                </c:pt>
                <c:pt idx="4">
                  <c:v>3.8766882112715897</c:v>
                </c:pt>
                <c:pt idx="5">
                  <c:v>4.9563554287630449</c:v>
                </c:pt>
                <c:pt idx="6">
                  <c:v>6.3378779408752912</c:v>
                </c:pt>
                <c:pt idx="7">
                  <c:v>8.1059551197421627</c:v>
                </c:pt>
                <c:pt idx="8">
                  <c:v>10.369132747406743</c:v>
                </c:pt>
                <c:pt idx="9">
                  <c:v>13.266537663656479</c:v>
                </c:pt>
                <c:pt idx="10">
                  <c:v>16.976519825467278</c:v>
                </c:pt>
                <c:pt idx="11">
                  <c:v>21.727743408313824</c:v>
                </c:pt>
                <c:pt idx="12">
                  <c:v>27.813422744642168</c:v>
                </c:pt>
                <c:pt idx="13">
                  <c:v>35.609597033656748</c:v>
                </c:pt>
                <c:pt idx="14">
                  <c:v>45.598592436332616</c:v>
                </c:pt>
                <c:pt idx="15">
                  <c:v>58.399147554974014</c:v>
                </c:pt>
                <c:pt idx="16">
                  <c:v>74.805099181620164</c:v>
                </c:pt>
                <c:pt idx="17">
                  <c:v>95.835066334896965</c:v>
                </c:pt>
                <c:pt idx="18">
                  <c:v>122.79626640704589</c:v>
                </c:pt>
                <c:pt idx="19">
                  <c:v>157.36649199397678</c:v>
                </c:pt>
                <c:pt idx="20">
                  <c:v>201.69942766100667</c:v>
                </c:pt>
                <c:pt idx="21">
                  <c:v>258.55996582862014</c:v>
                </c:pt>
                <c:pt idx="22">
                  <c:v>205.57216811118852</c:v>
                </c:pt>
                <c:pt idx="23">
                  <c:v>228.48746894478305</c:v>
                </c:pt>
                <c:pt idx="24">
                  <c:v>251.35018250509077</c:v>
                </c:pt>
                <c:pt idx="25">
                  <c:v>274.16576374261041</c:v>
                </c:pt>
                <c:pt idx="26">
                  <c:v>296.93868498913014</c:v>
                </c:pt>
                <c:pt idx="27">
                  <c:v>319.67267638199866</c:v>
                </c:pt>
                <c:pt idx="28">
                  <c:v>342.37089418257466</c:v>
                </c:pt>
                <c:pt idx="29">
                  <c:v>289.5804367740414</c:v>
                </c:pt>
                <c:pt idx="30">
                  <c:v>313.35190006172803</c:v>
                </c:pt>
                <c:pt idx="31">
                  <c:v>337.08338071755128</c:v>
                </c:pt>
                <c:pt idx="32">
                  <c:v>360.77808747233183</c:v>
                </c:pt>
                <c:pt idx="33">
                  <c:v>384.43877330198114</c:v>
                </c:pt>
                <c:pt idx="34">
                  <c:v>408.06782480829406</c:v>
                </c:pt>
                <c:pt idx="35">
                  <c:v>431.66732980483766</c:v>
                </c:pt>
                <c:pt idx="36">
                  <c:v>368.10109675197208</c:v>
                </c:pt>
                <c:pt idx="37">
                  <c:v>391.41168395580547</c:v>
                </c:pt>
                <c:pt idx="38">
                  <c:v>414.6921671769374</c:v>
                </c:pt>
                <c:pt idx="39">
                  <c:v>437.94447268119819</c:v>
                </c:pt>
                <c:pt idx="40">
                  <c:v>461.17030563777286</c:v>
                </c:pt>
                <c:pt idx="41">
                  <c:v>484.37118557987498</c:v>
                </c:pt>
                <c:pt idx="42">
                  <c:v>507.54847471808051</c:v>
                </c:pt>
                <c:pt idx="43">
                  <c:v>438.45334520685856</c:v>
                </c:pt>
                <c:pt idx="44">
                  <c:v>460.66198322185556</c:v>
                </c:pt>
                <c:pt idx="45">
                  <c:v>482.84777825479341</c:v>
                </c:pt>
                <c:pt idx="46">
                  <c:v>505.01192662355203</c:v>
                </c:pt>
                <c:pt idx="47">
                  <c:v>527.15551115917788</c:v>
                </c:pt>
                <c:pt idx="48">
                  <c:v>549.27951638276431</c:v>
                </c:pt>
                <c:pt idx="49">
                  <c:v>571.38484111103946</c:v>
                </c:pt>
                <c:pt idx="50">
                  <c:v>497.23149189337681</c:v>
                </c:pt>
                <c:pt idx="51">
                  <c:v>517.69200252251403</c:v>
                </c:pt>
                <c:pt idx="52">
                  <c:v>538.13546036834725</c:v>
                </c:pt>
                <c:pt idx="53">
                  <c:v>558.56260388366002</c:v>
                </c:pt>
                <c:pt idx="54">
                  <c:v>578.97411315040551</c:v>
                </c:pt>
                <c:pt idx="55">
                  <c:v>599.37061643041295</c:v>
                </c:pt>
                <c:pt idx="56">
                  <c:v>619.75269577860888</c:v>
                </c:pt>
                <c:pt idx="57">
                  <c:v>537.79768652493578</c:v>
                </c:pt>
                <c:pt idx="58">
                  <c:v>556.19994499698703</c:v>
                </c:pt>
                <c:pt idx="59">
                  <c:v>574.58945551907846</c:v>
                </c:pt>
                <c:pt idx="60">
                  <c:v>592.96668321961113</c:v>
                </c:pt>
                <c:pt idx="61">
                  <c:v>611.33206206789123</c:v>
                </c:pt>
                <c:pt idx="62">
                  <c:v>629.68599785389995</c:v>
                </c:pt>
                <c:pt idx="63">
                  <c:v>648.02887080282289</c:v>
                </c:pt>
                <c:pt idx="64">
                  <c:v>565.31190831763899</c:v>
                </c:pt>
                <c:pt idx="65">
                  <c:v>581.67201932756836</c:v>
                </c:pt>
                <c:pt idx="66">
                  <c:v>598.02253874306132</c:v>
                </c:pt>
                <c:pt idx="67">
                  <c:v>614.36376557442816</c:v>
                </c:pt>
                <c:pt idx="68">
                  <c:v>630.69598163909245</c:v>
                </c:pt>
                <c:pt idx="69">
                  <c:v>647.01945297892712</c:v>
                </c:pt>
                <c:pt idx="70">
                  <c:v>663.33443112721886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52177008"/>
        <c:axId val="-1560874272"/>
      </c:scatterChart>
      <c:valAx>
        <c:axId val="-17521770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874272"/>
        <c:crosses val="autoZero"/>
        <c:crossBetween val="midCat"/>
      </c:valAx>
      <c:valAx>
        <c:axId val="-156087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52177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0880800"/>
        <c:axId val="-1560870464"/>
      </c:scatterChart>
      <c:valAx>
        <c:axId val="-1560880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870464"/>
        <c:crosses val="autoZero"/>
        <c:crossBetween val="midCat"/>
      </c:valAx>
      <c:valAx>
        <c:axId val="-15608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880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2.4810006764680845</c:v>
                </c:pt>
                <c:pt idx="2">
                  <c:v>3.0155258703041565</c:v>
                </c:pt>
                <c:pt idx="3">
                  <c:v>3.665649560854471</c:v>
                </c:pt>
                <c:pt idx="4">
                  <c:v>4.4564606201699286</c:v>
                </c:pt>
                <c:pt idx="5">
                  <c:v>5.4185111918751945</c:v>
                </c:pt>
                <c:pt idx="6">
                  <c:v>6.5890100271940684</c:v>
                </c:pt>
                <c:pt idx="7">
                  <c:v>8.0132772215607719</c:v>
                </c:pt>
                <c:pt idx="8">
                  <c:v>9.7465177610104199</c:v>
                </c:pt>
                <c:pt idx="9">
                  <c:v>11.85598392581772</c:v>
                </c:pt>
                <c:pt idx="10">
                  <c:v>14.423612025370206</c:v>
                </c:pt>
                <c:pt idx="11">
                  <c:v>17.54923776935934</c:v>
                </c:pt>
                <c:pt idx="12">
                  <c:v>21.354517568867987</c:v>
                </c:pt>
                <c:pt idx="13">
                  <c:v>25.987711126393666</c:v>
                </c:pt>
                <c:pt idx="14">
                  <c:v>31.629514939582602</c:v>
                </c:pt>
                <c:pt idx="15">
                  <c:v>38.500178181720848</c:v>
                </c:pt>
                <c:pt idx="16">
                  <c:v>46.868183509302604</c:v>
                </c:pt>
                <c:pt idx="17">
                  <c:v>57.06083773148135</c:v>
                </c:pt>
                <c:pt idx="18">
                  <c:v>69.477193460408614</c:v>
                </c:pt>
                <c:pt idx="19">
                  <c:v>84.603815903069531</c:v>
                </c:pt>
                <c:pt idx="20">
                  <c:v>103.0340225904647</c:v>
                </c:pt>
                <c:pt idx="21">
                  <c:v>125.49136263440583</c:v>
                </c:pt>
                <c:pt idx="22">
                  <c:v>152.8582716349604</c:v>
                </c:pt>
                <c:pt idx="23">
                  <c:v>186.21104545084839</c:v>
                </c:pt>
                <c:pt idx="24">
                  <c:v>226.86252902346121</c:v>
                </c:pt>
                <c:pt idx="25">
                  <c:v>276.41422549651458</c:v>
                </c:pt>
                <c:pt idx="26">
                  <c:v>175.21027396812144</c:v>
                </c:pt>
                <c:pt idx="27">
                  <c:v>195.88381458792546</c:v>
                </c:pt>
                <c:pt idx="28">
                  <c:v>216.50666233809889</c:v>
                </c:pt>
                <c:pt idx="29">
                  <c:v>237.08432568129521</c:v>
                </c:pt>
                <c:pt idx="30">
                  <c:v>257.62127772428227</c:v>
                </c:pt>
                <c:pt idx="31">
                  <c:v>275.73136161299823</c:v>
                </c:pt>
                <c:pt idx="32">
                  <c:v>293.81473838056445</c:v>
                </c:pt>
                <c:pt idx="33">
                  <c:v>311.87328271105707</c:v>
                </c:pt>
                <c:pt idx="34">
                  <c:v>329.90863445331973</c:v>
                </c:pt>
                <c:pt idx="35">
                  <c:v>347.92223953697516</c:v>
                </c:pt>
                <c:pt idx="36">
                  <c:v>268.90061493982006</c:v>
                </c:pt>
                <c:pt idx="37">
                  <c:v>285.288046348151</c:v>
                </c:pt>
                <c:pt idx="38">
                  <c:v>301.65441391376038</c:v>
                </c:pt>
                <c:pt idx="39">
                  <c:v>318.00102122537891</c:v>
                </c:pt>
                <c:pt idx="40">
                  <c:v>334.32902690172892</c:v>
                </c:pt>
                <c:pt idx="41">
                  <c:v>348.26191838646196</c:v>
                </c:pt>
                <c:pt idx="42">
                  <c:v>362.18258071633903</c:v>
                </c:pt>
                <c:pt idx="43">
                  <c:v>376.09155014049139</c:v>
                </c:pt>
                <c:pt idx="44">
                  <c:v>389.98932000577884</c:v>
                </c:pt>
                <c:pt idx="45">
                  <c:v>403.8763456278686</c:v>
                </c:pt>
                <c:pt idx="46">
                  <c:v>330.92884034916182</c:v>
                </c:pt>
                <c:pt idx="47">
                  <c:v>342.82617852900427</c:v>
                </c:pt>
                <c:pt idx="48">
                  <c:v>354.7144439014707</c:v>
                </c:pt>
                <c:pt idx="49">
                  <c:v>366.59398347144838</c:v>
                </c:pt>
                <c:pt idx="50">
                  <c:v>378.46511991321859</c:v>
                </c:pt>
                <c:pt idx="51">
                  <c:v>389.311632836613</c:v>
                </c:pt>
                <c:pt idx="52">
                  <c:v>400.15158842600766</c:v>
                </c:pt>
                <c:pt idx="53">
                  <c:v>410.98518940455659</c:v>
                </c:pt>
                <c:pt idx="54">
                  <c:v>421.81262693312578</c:v>
                </c:pt>
                <c:pt idx="55">
                  <c:v>432.63408155595874</c:v>
                </c:pt>
                <c:pt idx="56">
                  <c:v>390.32815400232886</c:v>
                </c:pt>
                <c:pt idx="57">
                  <c:v>398.79694553728064</c:v>
                </c:pt>
                <c:pt idx="58">
                  <c:v>407.26184368889852</c:v>
                </c:pt>
                <c:pt idx="59">
                  <c:v>415.72294083711449</c:v>
                </c:pt>
                <c:pt idx="60">
                  <c:v>424.18032529272614</c:v>
                </c:pt>
                <c:pt idx="61">
                  <c:v>431.61981966331081</c:v>
                </c:pt>
                <c:pt idx="62">
                  <c:v>439.05655970073695</c:v>
                </c:pt>
                <c:pt idx="63">
                  <c:v>446.49059866524129</c:v>
                </c:pt>
                <c:pt idx="64">
                  <c:v>453.92198789781906</c:v>
                </c:pt>
                <c:pt idx="65">
                  <c:v>461.35077692036253</c:v>
                </c:pt>
                <c:pt idx="66">
                  <c:v>428.91487052918598</c:v>
                </c:pt>
                <c:pt idx="67">
                  <c:v>435.33853059869904</c:v>
                </c:pt>
                <c:pt idx="68">
                  <c:v>441.76015637738482</c:v>
                </c:pt>
                <c:pt idx="69">
                  <c:v>448.17978162908184</c:v>
                </c:pt>
                <c:pt idx="70">
                  <c:v>454.59743907080411</c:v>
                </c:pt>
                <c:pt idx="71">
                  <c:v>460.33791158124319</c:v>
                </c:pt>
                <c:pt idx="72">
                  <c:v>466.0768562264268</c:v>
                </c:pt>
                <c:pt idx="73">
                  <c:v>471.81429448695894</c:v>
                </c:pt>
                <c:pt idx="74">
                  <c:v>477.55024727803635</c:v>
                </c:pt>
                <c:pt idx="75">
                  <c:v>483.28473497109462</c:v>
                </c:pt>
                <c:pt idx="76">
                  <c:v>488.3433762113022</c:v>
                </c:pt>
                <c:pt idx="77">
                  <c:v>493.40090557274078</c:v>
                </c:pt>
                <c:pt idx="78">
                  <c:v>498.45733606858863</c:v>
                </c:pt>
                <c:pt idx="79">
                  <c:v>503.51268042628823</c:v>
                </c:pt>
                <c:pt idx="80">
                  <c:v>508.56695109668885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0882976"/>
        <c:axId val="-1560872640"/>
      </c:scatterChart>
      <c:valAx>
        <c:axId val="-15608829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872640"/>
        <c:crosses val="autoZero"/>
        <c:crossBetween val="midCat"/>
      </c:valAx>
      <c:valAx>
        <c:axId val="-156087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882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2.1611607361398169</c:v>
                </c:pt>
                <c:pt idx="2">
                  <c:v>2.6965658428188011</c:v>
                </c:pt>
                <c:pt idx="3">
                  <c:v>3.365130579383619</c:v>
                </c:pt>
                <c:pt idx="4">
                  <c:v>4.2000945958983191</c:v>
                </c:pt>
                <c:pt idx="5">
                  <c:v>5.2430233872219976</c:v>
                </c:pt>
                <c:pt idx="6">
                  <c:v>6.5459003809291518</c:v>
                </c:pt>
                <c:pt idx="7">
                  <c:v>8.1737462585240923</c:v>
                </c:pt>
                <c:pt idx="8">
                  <c:v>10.207898736323521</c:v>
                </c:pt>
                <c:pt idx="9">
                  <c:v>12.750119779643619</c:v>
                </c:pt>
                <c:pt idx="10">
                  <c:v>15.927739538585294</c:v>
                </c:pt>
                <c:pt idx="11">
                  <c:v>19.900099355115746</c:v>
                </c:pt>
                <c:pt idx="12">
                  <c:v>24.86662273402224</c:v>
                </c:pt>
                <c:pt idx="13">
                  <c:v>31.076926626524898</c:v>
                </c:pt>
                <c:pt idx="14">
                  <c:v>38.84349005186197</c:v>
                </c:pt>
                <c:pt idx="15">
                  <c:v>48.557528384612056</c:v>
                </c:pt>
                <c:pt idx="16">
                  <c:v>57.970166254533687</c:v>
                </c:pt>
                <c:pt idx="17">
                  <c:v>67.342775086397836</c:v>
                </c:pt>
                <c:pt idx="18">
                  <c:v>76.681733118375817</c:v>
                </c:pt>
                <c:pt idx="19">
                  <c:v>85.991728436661276</c:v>
                </c:pt>
                <c:pt idx="20">
                  <c:v>95.276346213363084</c:v>
                </c:pt>
                <c:pt idx="21">
                  <c:v>79.914811172042121</c:v>
                </c:pt>
                <c:pt idx="22">
                  <c:v>90.163287942245233</c:v>
                </c:pt>
                <c:pt idx="23">
                  <c:v>100.3825669246575</c:v>
                </c:pt>
                <c:pt idx="24">
                  <c:v>110.57604520327656</c:v>
                </c:pt>
                <c:pt idx="25">
                  <c:v>120.74644035531428</c:v>
                </c:pt>
                <c:pt idx="26">
                  <c:v>130.8959735236887</c:v>
                </c:pt>
                <c:pt idx="27">
                  <c:v>141.02649246407412</c:v>
                </c:pt>
                <c:pt idx="28">
                  <c:v>151.13955724314167</c:v>
                </c:pt>
                <c:pt idx="29">
                  <c:v>161.23650172057486</c:v>
                </c:pt>
                <c:pt idx="30">
                  <c:v>171.31847877890027</c:v>
                </c:pt>
                <c:pt idx="31">
                  <c:v>142.52579115025171</c:v>
                </c:pt>
                <c:pt idx="32">
                  <c:v>152.07511787565889</c:v>
                </c:pt>
                <c:pt idx="33">
                  <c:v>161.61016857785205</c:v>
                </c:pt>
                <c:pt idx="34">
                  <c:v>171.13190528405343</c:v>
                </c:pt>
                <c:pt idx="35">
                  <c:v>180.64117406036942</c:v>
                </c:pt>
                <c:pt idx="36">
                  <c:v>189.7664838309008</c:v>
                </c:pt>
                <c:pt idx="37">
                  <c:v>198.88157087854583</c:v>
                </c:pt>
                <c:pt idx="38">
                  <c:v>207.98697030718009</c:v>
                </c:pt>
                <c:pt idx="39">
                  <c:v>217.08316648371104</c:v>
                </c:pt>
                <c:pt idx="40">
                  <c:v>226.17059982008115</c:v>
                </c:pt>
                <c:pt idx="41">
                  <c:v>193.67416901758949</c:v>
                </c:pt>
                <c:pt idx="42">
                  <c:v>202.04165884934005</c:v>
                </c:pt>
                <c:pt idx="43">
                  <c:v>210.40112494961292</c:v>
                </c:pt>
                <c:pt idx="44">
                  <c:v>218.75293145330741</c:v>
                </c:pt>
                <c:pt idx="45">
                  <c:v>227.09741238431636</c:v>
                </c:pt>
                <c:pt idx="46">
                  <c:v>235.06446630097074</c:v>
                </c:pt>
                <c:pt idx="47">
                  <c:v>243.02536029283627</c:v>
                </c:pt>
                <c:pt idx="48">
                  <c:v>250.98032483930456</c:v>
                </c:pt>
                <c:pt idx="49">
                  <c:v>258.92957459921269</c:v>
                </c:pt>
                <c:pt idx="50">
                  <c:v>266.87330995991658</c:v>
                </c:pt>
                <c:pt idx="51">
                  <c:v>233.58269729624988</c:v>
                </c:pt>
                <c:pt idx="52">
                  <c:v>240.98942582679555</c:v>
                </c:pt>
                <c:pt idx="53">
                  <c:v>248.39097391329724</c:v>
                </c:pt>
                <c:pt idx="54">
                  <c:v>255.78751789170562</c:v>
                </c:pt>
                <c:pt idx="55">
                  <c:v>263.17922305442261</c:v>
                </c:pt>
                <c:pt idx="56">
                  <c:v>270.19700250524323</c:v>
                </c:pt>
                <c:pt idx="57">
                  <c:v>277.21068050236744</c:v>
                </c:pt>
                <c:pt idx="58">
                  <c:v>284.22037558191226</c:v>
                </c:pt>
                <c:pt idx="59">
                  <c:v>291.22619994880847</c:v>
                </c:pt>
                <c:pt idx="60">
                  <c:v>298.22825996252726</c:v>
                </c:pt>
                <c:pt idx="61">
                  <c:v>266.87330995991658</c:v>
                </c:pt>
                <c:pt idx="62">
                  <c:v>273.33520033559711</c:v>
                </c:pt>
                <c:pt idx="63">
                  <c:v>279.79365704229622</c:v>
                </c:pt>
                <c:pt idx="64">
                  <c:v>286.24877062592162</c:v>
                </c:pt>
                <c:pt idx="65">
                  <c:v>292.70062721001705</c:v>
                </c:pt>
                <c:pt idx="66">
                  <c:v>298.96510410049149</c:v>
                </c:pt>
                <c:pt idx="67">
                  <c:v>305.22665657476222</c:v>
                </c:pt>
                <c:pt idx="68">
                  <c:v>311.48535316475295</c:v>
                </c:pt>
                <c:pt idx="69">
                  <c:v>317.74125942022329</c:v>
                </c:pt>
                <c:pt idx="70">
                  <c:v>323.99443809601638</c:v>
                </c:pt>
                <c:pt idx="71">
                  <c:v>293.80633875741154</c:v>
                </c:pt>
                <c:pt idx="72">
                  <c:v>299.51771063750374</c:v>
                </c:pt>
                <c:pt idx="73">
                  <c:v>305.22665657476222</c:v>
                </c:pt>
                <c:pt idx="74">
                  <c:v>310.93322840775465</c:v>
                </c:pt>
                <c:pt idx="75">
                  <c:v>316.63747591445002</c:v>
                </c:pt>
                <c:pt idx="76">
                  <c:v>321.97164562540979</c:v>
                </c:pt>
                <c:pt idx="77">
                  <c:v>327.30386083487969</c:v>
                </c:pt>
                <c:pt idx="78">
                  <c:v>332.63415791953389</c:v>
                </c:pt>
                <c:pt idx="79">
                  <c:v>337.96257199356324</c:v>
                </c:pt>
                <c:pt idx="80">
                  <c:v>343.28913697215461</c:v>
                </c:pt>
                <c:pt idx="81">
                  <c:v>316.26952914620239</c:v>
                </c:pt>
                <c:pt idx="82">
                  <c:v>321.41992623463284</c:v>
                </c:pt>
                <c:pt idx="83">
                  <c:v>326.56849772007627</c:v>
                </c:pt>
                <c:pt idx="84">
                  <c:v>331.71527648504929</c:v>
                </c:pt>
                <c:pt idx="85">
                  <c:v>336.86029430705389</c:v>
                </c:pt>
                <c:pt idx="86">
                  <c:v>341.63626096666286</c:v>
                </c:pt>
                <c:pt idx="87">
                  <c:v>346.4107595929251</c:v>
                </c:pt>
                <c:pt idx="88">
                  <c:v>351.18381330179227</c:v>
                </c:pt>
                <c:pt idx="89">
                  <c:v>355.95544452876601</c:v>
                </c:pt>
                <c:pt idx="90">
                  <c:v>360.72567505798861</c:v>
                </c:pt>
                <c:pt idx="91">
                  <c:v>335.02298813768743</c:v>
                </c:pt>
                <c:pt idx="92">
                  <c:v>339.61584021127902</c:v>
                </c:pt>
                <c:pt idx="93">
                  <c:v>344.20732577147572</c:v>
                </c:pt>
                <c:pt idx="94">
                  <c:v>348.79746564421521</c:v>
                </c:pt>
                <c:pt idx="95">
                  <c:v>353.38628006183148</c:v>
                </c:pt>
                <c:pt idx="96">
                  <c:v>357.79031317226071</c:v>
                </c:pt>
                <c:pt idx="97">
                  <c:v>362.19315979149877</c:v>
                </c:pt>
                <c:pt idx="98">
                  <c:v>366.59483639724226</c:v>
                </c:pt>
                <c:pt idx="99">
                  <c:v>370.99535903869224</c:v>
                </c:pt>
                <c:pt idx="100">
                  <c:v>375.394743352761</c:v>
                </c:pt>
                <c:pt idx="101">
                  <c:v>353.93684966092297</c:v>
                </c:pt>
                <c:pt idx="102">
                  <c:v>358.15726214440497</c:v>
                </c:pt>
                <c:pt idx="103">
                  <c:v>362.3765862303585</c:v>
                </c:pt>
                <c:pt idx="104">
                  <c:v>366.59483639724226</c:v>
                </c:pt>
                <c:pt idx="105">
                  <c:v>370.81202676268754</c:v>
                </c:pt>
                <c:pt idx="106">
                  <c:v>374.84488204114882</c:v>
                </c:pt>
                <c:pt idx="107">
                  <c:v>378.87679203564204</c:v>
                </c:pt>
                <c:pt idx="108">
                  <c:v>382.90776823855754</c:v>
                </c:pt>
                <c:pt idx="109">
                  <c:v>386.93782188026222</c:v>
                </c:pt>
                <c:pt idx="110">
                  <c:v>390.96696393780195</c:v>
                </c:pt>
                <c:pt idx="111">
                  <c:v>1.1825802166488628E-12</c:v>
                </c:pt>
                <c:pt idx="112">
                  <c:v>1.1825802166488628E-12</c:v>
                </c:pt>
                <c:pt idx="113">
                  <c:v>1.1825802166488628E-12</c:v>
                </c:pt>
                <c:pt idx="114">
                  <c:v>1.1825802166488628E-12</c:v>
                </c:pt>
                <c:pt idx="115">
                  <c:v>1.1825802166488628E-12</c:v>
                </c:pt>
                <c:pt idx="116">
                  <c:v>1.1825802166488628E-12</c:v>
                </c:pt>
                <c:pt idx="117">
                  <c:v>1.1825802166488628E-12</c:v>
                </c:pt>
                <c:pt idx="118">
                  <c:v>1.1825802166488628E-12</c:v>
                </c:pt>
                <c:pt idx="119">
                  <c:v>1.1825802166488628E-12</c:v>
                </c:pt>
                <c:pt idx="120">
                  <c:v>1.1825802166488628E-12</c:v>
                </c:pt>
                <c:pt idx="121">
                  <c:v>1.1825802166488628E-12</c:v>
                </c:pt>
                <c:pt idx="122">
                  <c:v>1.1825802166488628E-12</c:v>
                </c:pt>
                <c:pt idx="123">
                  <c:v>1.1825802166488628E-12</c:v>
                </c:pt>
                <c:pt idx="124">
                  <c:v>1.1825802166488628E-12</c:v>
                </c:pt>
                <c:pt idx="125">
                  <c:v>1.1825802166488628E-12</c:v>
                </c:pt>
                <c:pt idx="126">
                  <c:v>1.1825802166488628E-12</c:v>
                </c:pt>
                <c:pt idx="127">
                  <c:v>1.1825802166488628E-12</c:v>
                </c:pt>
                <c:pt idx="128">
                  <c:v>1.1825802166488628E-12</c:v>
                </c:pt>
                <c:pt idx="129">
                  <c:v>1.1825802166488628E-12</c:v>
                </c:pt>
                <c:pt idx="130">
                  <c:v>1.1825802166488628E-12</c:v>
                </c:pt>
                <c:pt idx="131">
                  <c:v>1.1825802166488628E-12</c:v>
                </c:pt>
                <c:pt idx="132">
                  <c:v>1.1825802166488628E-12</c:v>
                </c:pt>
                <c:pt idx="133">
                  <c:v>1.1825802166488628E-12</c:v>
                </c:pt>
                <c:pt idx="134">
                  <c:v>1.1825802166488628E-12</c:v>
                </c:pt>
                <c:pt idx="135">
                  <c:v>1.1825802166488628E-12</c:v>
                </c:pt>
                <c:pt idx="136">
                  <c:v>1.1825802166488628E-12</c:v>
                </c:pt>
                <c:pt idx="137">
                  <c:v>1.1825802166488628E-12</c:v>
                </c:pt>
                <c:pt idx="138">
                  <c:v>1.1825802166488628E-12</c:v>
                </c:pt>
                <c:pt idx="139">
                  <c:v>1.1825802166488628E-12</c:v>
                </c:pt>
                <c:pt idx="140">
                  <c:v>1.1825802166488628E-12</c:v>
                </c:pt>
                <c:pt idx="141">
                  <c:v>1.1825802166488628E-12</c:v>
                </c:pt>
                <c:pt idx="142">
                  <c:v>1.1825802166488628E-12</c:v>
                </c:pt>
                <c:pt idx="143">
                  <c:v>1.1825802166488628E-12</c:v>
                </c:pt>
                <c:pt idx="144">
                  <c:v>1.1825802166488628E-12</c:v>
                </c:pt>
                <c:pt idx="145">
                  <c:v>1.1825802166488628E-12</c:v>
                </c:pt>
                <c:pt idx="146">
                  <c:v>1.1825802166488628E-12</c:v>
                </c:pt>
                <c:pt idx="147">
                  <c:v>1.1825802166488628E-12</c:v>
                </c:pt>
                <c:pt idx="148">
                  <c:v>1.1825802166488628E-12</c:v>
                </c:pt>
                <c:pt idx="149">
                  <c:v>1.1825802166488628E-12</c:v>
                </c:pt>
                <c:pt idx="150">
                  <c:v>1.1825802166488628E-12</c:v>
                </c:pt>
                <c:pt idx="151">
                  <c:v>1.1825802166488628E-12</c:v>
                </c:pt>
                <c:pt idx="152">
                  <c:v>1.1825802166488628E-12</c:v>
                </c:pt>
                <c:pt idx="153">
                  <c:v>1.1825802166488628E-12</c:v>
                </c:pt>
                <c:pt idx="154">
                  <c:v>1.1825802166488628E-12</c:v>
                </c:pt>
                <c:pt idx="155">
                  <c:v>1.1825802166488628E-12</c:v>
                </c:pt>
                <c:pt idx="156">
                  <c:v>1.1825802166488628E-12</c:v>
                </c:pt>
                <c:pt idx="157">
                  <c:v>1.1825802166488628E-12</c:v>
                </c:pt>
                <c:pt idx="158">
                  <c:v>1.1825802166488628E-12</c:v>
                </c:pt>
                <c:pt idx="159">
                  <c:v>1.1825802166488628E-12</c:v>
                </c:pt>
                <c:pt idx="160">
                  <c:v>1.1825802166488628E-12</c:v>
                </c:pt>
                <c:pt idx="161">
                  <c:v>1.1825802166488628E-12</c:v>
                </c:pt>
                <c:pt idx="162">
                  <c:v>1.1825802166488628E-12</c:v>
                </c:pt>
                <c:pt idx="163">
                  <c:v>1.1825802166488628E-12</c:v>
                </c:pt>
                <c:pt idx="164">
                  <c:v>1.1825802166488628E-12</c:v>
                </c:pt>
                <c:pt idx="165">
                  <c:v>1.1825802166488628E-12</c:v>
                </c:pt>
                <c:pt idx="166">
                  <c:v>1.1825802166488628E-12</c:v>
                </c:pt>
                <c:pt idx="167">
                  <c:v>1.1825802166488628E-12</c:v>
                </c:pt>
                <c:pt idx="168">
                  <c:v>1.1825802166488628E-12</c:v>
                </c:pt>
                <c:pt idx="169">
                  <c:v>1.1825802166488628E-12</c:v>
                </c:pt>
                <c:pt idx="170">
                  <c:v>1.1825802166488628E-12</c:v>
                </c:pt>
                <c:pt idx="171">
                  <c:v>1.1825802166488628E-12</c:v>
                </c:pt>
                <c:pt idx="172">
                  <c:v>1.1825802166488628E-12</c:v>
                </c:pt>
                <c:pt idx="173">
                  <c:v>1.1825802166488628E-12</c:v>
                </c:pt>
                <c:pt idx="174">
                  <c:v>1.1825802166488628E-12</c:v>
                </c:pt>
                <c:pt idx="175">
                  <c:v>1.1825802166488628E-12</c:v>
                </c:pt>
                <c:pt idx="176">
                  <c:v>1.1825802166488628E-12</c:v>
                </c:pt>
                <c:pt idx="177">
                  <c:v>1.1825802166488628E-12</c:v>
                </c:pt>
                <c:pt idx="178">
                  <c:v>1.1825802166488628E-12</c:v>
                </c:pt>
                <c:pt idx="179">
                  <c:v>1.1825802166488628E-12</c:v>
                </c:pt>
                <c:pt idx="180">
                  <c:v>1.1825802166488628E-12</c:v>
                </c:pt>
                <c:pt idx="181">
                  <c:v>1.1825802166488628E-12</c:v>
                </c:pt>
                <c:pt idx="182">
                  <c:v>1.1825802166488628E-12</c:v>
                </c:pt>
                <c:pt idx="183">
                  <c:v>1.1825802166488628E-12</c:v>
                </c:pt>
                <c:pt idx="184">
                  <c:v>1.1825802166488628E-12</c:v>
                </c:pt>
                <c:pt idx="185">
                  <c:v>1.1825802166488628E-12</c:v>
                </c:pt>
                <c:pt idx="186">
                  <c:v>1.1825802166488628E-12</c:v>
                </c:pt>
                <c:pt idx="187">
                  <c:v>1.1825802166488628E-12</c:v>
                </c:pt>
                <c:pt idx="188">
                  <c:v>1.1825802166488628E-12</c:v>
                </c:pt>
                <c:pt idx="189">
                  <c:v>1.1825802166488628E-12</c:v>
                </c:pt>
                <c:pt idx="190">
                  <c:v>1.1825802166488628E-12</c:v>
                </c:pt>
                <c:pt idx="191">
                  <c:v>1.1825802166488628E-12</c:v>
                </c:pt>
                <c:pt idx="192">
                  <c:v>1.1825802166488628E-12</c:v>
                </c:pt>
                <c:pt idx="193">
                  <c:v>1.1825802166488628E-12</c:v>
                </c:pt>
                <c:pt idx="194">
                  <c:v>1.1825802166488628E-12</c:v>
                </c:pt>
                <c:pt idx="195">
                  <c:v>1.1825802166488628E-12</c:v>
                </c:pt>
                <c:pt idx="196">
                  <c:v>1.1825802166488628E-12</c:v>
                </c:pt>
                <c:pt idx="197">
                  <c:v>1.1825802166488628E-12</c:v>
                </c:pt>
                <c:pt idx="198">
                  <c:v>1.1825802166488628E-12</c:v>
                </c:pt>
                <c:pt idx="199">
                  <c:v>1.1825802166488628E-12</c:v>
                </c:pt>
                <c:pt idx="200">
                  <c:v>1.1825802166488628E-12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0869920"/>
        <c:axId val="-1560884064"/>
      </c:scatterChart>
      <c:valAx>
        <c:axId val="-15608699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884064"/>
        <c:crosses val="autoZero"/>
        <c:crossBetween val="midCat"/>
      </c:valAx>
      <c:valAx>
        <c:axId val="-156088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869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0885152"/>
        <c:axId val="-1560877536"/>
      </c:scatterChart>
      <c:valAx>
        <c:axId val="-1560885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877536"/>
        <c:crosses val="autoZero"/>
        <c:crossBetween val="midCat"/>
      </c:valAx>
      <c:valAx>
        <c:axId val="-156087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885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0871552"/>
        <c:axId val="-1560884608"/>
      </c:scatterChart>
      <c:valAx>
        <c:axId val="-15608715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884608"/>
        <c:crosses val="autoZero"/>
        <c:crossBetween val="midCat"/>
      </c:valAx>
      <c:valAx>
        <c:axId val="-156088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871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0879168"/>
        <c:axId val="-1560883520"/>
      </c:scatterChart>
      <c:valAx>
        <c:axId val="-1560879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883520"/>
        <c:crosses val="autoZero"/>
        <c:crossBetween val="midCat"/>
      </c:valAx>
      <c:valAx>
        <c:axId val="-156088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879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0881344"/>
        <c:axId val="-1560882432"/>
      </c:scatterChart>
      <c:valAx>
        <c:axId val="-1560881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882432"/>
        <c:crosses val="autoZero"/>
        <c:crossBetween val="midCat"/>
      </c:valAx>
      <c:valAx>
        <c:axId val="-156088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881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0881888"/>
        <c:axId val="-1560876448"/>
      </c:scatterChart>
      <c:valAx>
        <c:axId val="-1560881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876448"/>
        <c:crosses val="autoZero"/>
        <c:crossBetween val="midCat"/>
      </c:valAx>
      <c:valAx>
        <c:axId val="-156087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881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0873184"/>
        <c:axId val="-1560872096"/>
      </c:scatterChart>
      <c:valAx>
        <c:axId val="-1560873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872096"/>
        <c:crosses val="autoZero"/>
        <c:crossBetween val="midCat"/>
      </c:valAx>
      <c:valAx>
        <c:axId val="-156087209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873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E45" sqref="E45:E4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B1" zoomScale="85" zoomScaleNormal="85" workbookViewId="0">
      <selection activeCell="I20" sqref="I20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1.25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18</v>
      </c>
      <c r="C9" s="35">
        <v>0.6</v>
      </c>
      <c r="D9" s="36">
        <f t="shared" ref="D9:D18" si="0">C9*$C$5</f>
        <v>0.75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23</v>
      </c>
      <c r="C10" s="35">
        <v>0.2</v>
      </c>
      <c r="D10" s="36">
        <f t="shared" si="0"/>
        <v>0.25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50</v>
      </c>
      <c r="C11" s="35">
        <v>0.15</v>
      </c>
      <c r="D11" s="36">
        <f t="shared" si="0"/>
        <v>0.1875</v>
      </c>
      <c r="E11" s="37">
        <v>110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0.95000000000000007</v>
      </c>
      <c r="D19" s="41">
        <f>SUM(D9:D18)</f>
        <v>1.1875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0.1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21</v>
      </c>
      <c r="B36" s="63">
        <f>10*21</f>
        <v>210</v>
      </c>
      <c r="C36" s="63">
        <v>1</v>
      </c>
      <c r="D36" s="63">
        <f>B36-147</f>
        <v>63</v>
      </c>
      <c r="E36" s="54"/>
      <c r="F36" s="54">
        <v>0.5</v>
      </c>
      <c r="G36" s="54">
        <v>0.5</v>
      </c>
      <c r="H36" s="93"/>
      <c r="I36" s="52">
        <f>IFERROR(B36/A36,"")</f>
        <v>10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28</v>
      </c>
      <c r="B37" s="63">
        <v>280</v>
      </c>
      <c r="C37" s="63">
        <v>2</v>
      </c>
      <c r="D37" s="63">
        <v>64</v>
      </c>
      <c r="E37" s="54"/>
      <c r="F37" s="54">
        <v>0.5</v>
      </c>
      <c r="G37" s="54">
        <v>0.5</v>
      </c>
      <c r="H37" s="93"/>
      <c r="I37" s="56">
        <f t="shared" ref="I37:I55" si="1">IF(A37&lt;&gt;0,(B37-(B36-D36))/(A37-A36),"")</f>
        <v>19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35</v>
      </c>
      <c r="B38" s="63">
        <v>355</v>
      </c>
      <c r="C38" s="63">
        <v>3</v>
      </c>
      <c r="D38" s="63">
        <v>73</v>
      </c>
      <c r="E38" s="93"/>
      <c r="F38" s="93"/>
      <c r="G38" s="93"/>
      <c r="H38" s="93"/>
      <c r="I38" s="56">
        <f t="shared" si="1"/>
        <v>19.857142857142858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42</v>
      </c>
      <c r="B39" s="63">
        <v>419</v>
      </c>
      <c r="C39" s="63">
        <v>4</v>
      </c>
      <c r="D39" s="63">
        <v>77</v>
      </c>
      <c r="E39" s="93"/>
      <c r="F39" s="93"/>
      <c r="G39" s="93"/>
      <c r="H39" s="93"/>
      <c r="I39" s="52">
        <f t="shared" si="1"/>
        <v>19.571428571428573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49</v>
      </c>
      <c r="B40" s="63">
        <v>473</v>
      </c>
      <c r="C40" s="63">
        <v>5</v>
      </c>
      <c r="D40" s="63">
        <v>80</v>
      </c>
      <c r="E40" s="93"/>
      <c r="F40" s="93"/>
      <c r="G40" s="93"/>
      <c r="H40" s="93"/>
      <c r="I40" s="52">
        <f t="shared" si="1"/>
        <v>18.714285714285715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56</v>
      </c>
      <c r="B41" s="63">
        <v>514</v>
      </c>
      <c r="C41" s="63">
        <v>6</v>
      </c>
      <c r="D41" s="63">
        <v>85</v>
      </c>
      <c r="E41" s="93"/>
      <c r="F41" s="93"/>
      <c r="G41" s="93"/>
      <c r="H41" s="93"/>
      <c r="I41" s="56">
        <f t="shared" si="1"/>
        <v>17.285714285714285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63</v>
      </c>
      <c r="B42" s="63">
        <v>538</v>
      </c>
      <c r="C42" s="63">
        <v>7</v>
      </c>
      <c r="D42" s="63">
        <v>84</v>
      </c>
      <c r="E42" s="93"/>
      <c r="F42" s="93"/>
      <c r="G42" s="93"/>
      <c r="H42" s="93"/>
      <c r="I42" s="56">
        <f t="shared" si="1"/>
        <v>15.571428571428571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63">
        <v>70</v>
      </c>
      <c r="B43" s="63">
        <v>551</v>
      </c>
      <c r="C43" s="63">
        <v>8</v>
      </c>
      <c r="D43" s="63">
        <f>B43</f>
        <v>551</v>
      </c>
      <c r="E43" s="93"/>
      <c r="F43" s="93"/>
      <c r="G43" s="93"/>
      <c r="H43" s="93"/>
      <c r="I43" s="52">
        <f t="shared" si="1"/>
        <v>13.857142857142858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Erable sycomore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25</v>
      </c>
      <c r="B62" s="63">
        <v>158</v>
      </c>
      <c r="C62" s="63">
        <v>1</v>
      </c>
      <c r="D62" s="63">
        <v>71</v>
      </c>
      <c r="E62" s="54"/>
      <c r="F62" s="54"/>
      <c r="G62" s="54"/>
      <c r="H62" s="93">
        <v>1</v>
      </c>
      <c r="I62" s="56">
        <f>IFERROR(B62/A62,"")</f>
        <v>6.32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63">
        <v>147</v>
      </c>
      <c r="C63" s="63"/>
      <c r="D63" s="63"/>
      <c r="E63" s="54"/>
      <c r="F63" s="54"/>
      <c r="G63" s="54"/>
      <c r="H63" s="93"/>
      <c r="I63" s="52">
        <f>IF(A63&lt;&gt;0,(B63-(B62-D62))/(A63-A62),"")</f>
        <v>12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35</v>
      </c>
      <c r="B64" s="63">
        <v>200</v>
      </c>
      <c r="C64" s="63">
        <v>2</v>
      </c>
      <c r="D64" s="63">
        <v>56</v>
      </c>
      <c r="E64" s="93"/>
      <c r="F64" s="93"/>
      <c r="G64" s="93"/>
      <c r="H64" s="93"/>
      <c r="I64" s="52">
        <f>IF(A64&lt;&gt;0,(B64-(B63-D63))/(A64-A63),"")</f>
        <v>10.6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40</v>
      </c>
      <c r="B65" s="63">
        <v>192</v>
      </c>
      <c r="C65" s="63"/>
      <c r="D65" s="63"/>
      <c r="E65" s="93"/>
      <c r="F65" s="93"/>
      <c r="G65" s="93"/>
      <c r="H65" s="93"/>
      <c r="I65" s="52">
        <f>IF(A65&lt;&gt;0,(B65-(B64-D64))/(A65-A64),"")</f>
        <v>9.6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45</v>
      </c>
      <c r="B66" s="63">
        <v>233</v>
      </c>
      <c r="C66" s="63">
        <v>3</v>
      </c>
      <c r="D66" s="63">
        <v>50</v>
      </c>
      <c r="E66" s="93"/>
      <c r="F66" s="93"/>
      <c r="G66" s="93"/>
      <c r="H66" s="93"/>
      <c r="I66" s="52">
        <f t="shared" ref="I66:I81" si="2">IF(A66&lt;&gt;0,(B66-(B65-D65))/(A66-A65),"")</f>
        <v>8.1999999999999993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50</v>
      </c>
      <c r="B67" s="63">
        <v>218</v>
      </c>
      <c r="C67" s="63"/>
      <c r="D67" s="63"/>
      <c r="E67" s="93"/>
      <c r="F67" s="93"/>
      <c r="G67" s="93"/>
      <c r="H67" s="93"/>
      <c r="I67" s="52">
        <f t="shared" si="2"/>
        <v>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55</v>
      </c>
      <c r="B68" s="63">
        <v>250</v>
      </c>
      <c r="C68" s="63">
        <v>4</v>
      </c>
      <c r="D68" s="63">
        <v>30</v>
      </c>
      <c r="E68" s="93"/>
      <c r="F68" s="93"/>
      <c r="G68" s="93"/>
      <c r="H68" s="93"/>
      <c r="I68" s="52">
        <f t="shared" si="2"/>
        <v>6.4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60</v>
      </c>
      <c r="B69" s="63">
        <v>245</v>
      </c>
      <c r="C69" s="63"/>
      <c r="D69" s="63"/>
      <c r="E69" s="93"/>
      <c r="F69" s="93"/>
      <c r="G69" s="93"/>
      <c r="H69" s="93"/>
      <c r="I69" s="52">
        <f t="shared" si="2"/>
        <v>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65</v>
      </c>
      <c r="B70" s="63">
        <v>267</v>
      </c>
      <c r="C70" s="63">
        <v>5</v>
      </c>
      <c r="D70" s="63">
        <v>23</v>
      </c>
      <c r="E70" s="93"/>
      <c r="F70" s="93"/>
      <c r="G70" s="93"/>
      <c r="H70" s="93"/>
      <c r="I70" s="52">
        <f t="shared" si="2"/>
        <v>4.4000000000000004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70</v>
      </c>
      <c r="B71" s="63">
        <v>263</v>
      </c>
      <c r="C71" s="63"/>
      <c r="D71" s="63"/>
      <c r="E71" s="93"/>
      <c r="F71" s="93"/>
      <c r="G71" s="93"/>
      <c r="H71" s="93"/>
      <c r="I71" s="52">
        <f t="shared" si="2"/>
        <v>3.8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75</v>
      </c>
      <c r="B72" s="63">
        <v>280</v>
      </c>
      <c r="C72" s="63"/>
      <c r="D72" s="63"/>
      <c r="E72" s="93"/>
      <c r="F72" s="93"/>
      <c r="G72" s="93"/>
      <c r="H72" s="93"/>
      <c r="I72" s="52">
        <f t="shared" si="2"/>
        <v>3.4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80</v>
      </c>
      <c r="B73" s="63">
        <v>295</v>
      </c>
      <c r="C73" s="63">
        <v>6</v>
      </c>
      <c r="D73" s="63">
        <f>B73</f>
        <v>295</v>
      </c>
      <c r="E73" s="93"/>
      <c r="F73" s="93"/>
      <c r="G73" s="93"/>
      <c r="H73" s="93"/>
      <c r="I73" s="52">
        <f t="shared" si="2"/>
        <v>3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Tilleul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f>49/1.56</f>
        <v>31.410256410256409</v>
      </c>
      <c r="C88" s="63"/>
      <c r="D88" s="63"/>
      <c r="E88" s="54"/>
      <c r="F88" s="54"/>
      <c r="G88" s="54"/>
      <c r="H88" s="54"/>
      <c r="I88" s="56">
        <f>IFERROR(B88/A88,"")</f>
        <v>2.0940170940170941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f>(87+11)/1.56</f>
        <v>62.820512820512818</v>
      </c>
      <c r="C89" s="63">
        <v>1</v>
      </c>
      <c r="D89" s="63">
        <f>(11+16)/1.56</f>
        <v>17.307692307692307</v>
      </c>
      <c r="E89" s="54"/>
      <c r="F89" s="54"/>
      <c r="G89" s="54"/>
      <c r="H89" s="66">
        <v>1</v>
      </c>
      <c r="I89" s="56">
        <f t="shared" ref="I89:I107" si="3">IF(A89&lt;&gt;0,(B89-(B88-D88))/(A89-A88),"")</f>
        <v>6.2820512820512819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f>125/1.56</f>
        <v>80.128205128205124</v>
      </c>
      <c r="C90" s="63"/>
      <c r="D90" s="63"/>
      <c r="E90" s="54"/>
      <c r="F90" s="54"/>
      <c r="G90" s="54"/>
      <c r="H90" s="66"/>
      <c r="I90" s="56">
        <f t="shared" si="3"/>
        <v>6.9230769230769225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f>(159+20)/1.56</f>
        <v>114.74358974358974</v>
      </c>
      <c r="C91" s="63">
        <v>2</v>
      </c>
      <c r="D91" s="63">
        <f>(21+20)/1.56</f>
        <v>26.282051282051281</v>
      </c>
      <c r="E91" s="54"/>
      <c r="F91" s="54"/>
      <c r="G91" s="54"/>
      <c r="H91" s="66">
        <v>1</v>
      </c>
      <c r="I91" s="56">
        <f t="shared" si="3"/>
        <v>6.9230769230769225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3">
        <f>189/1.56</f>
        <v>121.15384615384615</v>
      </c>
      <c r="C92" s="63"/>
      <c r="D92" s="63"/>
      <c r="E92" s="54"/>
      <c r="F92" s="54"/>
      <c r="G92" s="54"/>
      <c r="H92" s="54"/>
      <c r="I92" s="56">
        <f t="shared" si="3"/>
        <v>6.5384615384615383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3">
        <f>(216+22)/1.56</f>
        <v>152.56410256410257</v>
      </c>
      <c r="C93" s="63">
        <v>3</v>
      </c>
      <c r="D93" s="63">
        <f>(22+22)/1.56</f>
        <v>28.205128205128204</v>
      </c>
      <c r="E93" s="54"/>
      <c r="F93" s="54"/>
      <c r="G93" s="54"/>
      <c r="H93" s="54"/>
      <c r="I93" s="56">
        <f t="shared" si="3"/>
        <v>6.2820512820512846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3">
        <f>(239/1.56)</f>
        <v>153.2051282051282</v>
      </c>
      <c r="C94" s="63"/>
      <c r="D94" s="63"/>
      <c r="E94" s="54"/>
      <c r="F94" s="54"/>
      <c r="G94" s="54"/>
      <c r="H94" s="54"/>
      <c r="I94" s="56">
        <f t="shared" si="3"/>
        <v>5.7692307692307683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50</v>
      </c>
      <c r="B95" s="63">
        <v>180.76923076923077</v>
      </c>
      <c r="C95" s="63">
        <v>4</v>
      </c>
      <c r="D95" s="63">
        <v>28.205128205128204</v>
      </c>
      <c r="E95" s="54"/>
      <c r="F95" s="54"/>
      <c r="G95" s="54"/>
      <c r="H95" s="54"/>
      <c r="I95" s="56">
        <f t="shared" si="3"/>
        <v>5.5128205128205137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55</v>
      </c>
      <c r="B96" s="53">
        <v>178.2051282051282</v>
      </c>
      <c r="C96" s="53"/>
      <c r="D96" s="53"/>
      <c r="E96" s="54"/>
      <c r="F96" s="54"/>
      <c r="G96" s="54"/>
      <c r="H96" s="54"/>
      <c r="I96" s="56">
        <f t="shared" si="3"/>
        <v>5.1282051282051269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60</v>
      </c>
      <c r="B97" s="53">
        <v>202.56410256410257</v>
      </c>
      <c r="C97" s="53">
        <v>5</v>
      </c>
      <c r="D97" s="53">
        <v>26.282051282051281</v>
      </c>
      <c r="E97" s="54"/>
      <c r="F97" s="54"/>
      <c r="G97" s="54"/>
      <c r="H97" s="54"/>
      <c r="I97" s="56">
        <f t="shared" si="3"/>
        <v>4.8717948717948731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65</v>
      </c>
      <c r="B98" s="53">
        <v>198.7179487179487</v>
      </c>
      <c r="C98" s="53"/>
      <c r="D98" s="53"/>
      <c r="E98" s="54"/>
      <c r="F98" s="54"/>
      <c r="G98" s="54"/>
      <c r="H98" s="54"/>
      <c r="I98" s="56">
        <f t="shared" si="3"/>
        <v>4.4871794871794801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70</v>
      </c>
      <c r="B99" s="53">
        <v>220.5128205128205</v>
      </c>
      <c r="C99" s="53">
        <v>6</v>
      </c>
      <c r="D99" s="53">
        <v>25</v>
      </c>
      <c r="E99" s="54"/>
      <c r="F99" s="54"/>
      <c r="G99" s="54"/>
      <c r="H99" s="54"/>
      <c r="I99" s="56">
        <f t="shared" si="3"/>
        <v>4.3589743589743595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75</v>
      </c>
      <c r="B100" s="53">
        <v>215.38461538461539</v>
      </c>
      <c r="C100" s="53"/>
      <c r="D100" s="53"/>
      <c r="E100" s="54"/>
      <c r="F100" s="54"/>
      <c r="G100" s="54"/>
      <c r="H100" s="54"/>
      <c r="I100" s="56">
        <f t="shared" si="3"/>
        <v>3.974358974358978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80</v>
      </c>
      <c r="B101" s="53">
        <f>(347+18)/1.56</f>
        <v>233.97435897435898</v>
      </c>
      <c r="C101" s="53">
        <v>7</v>
      </c>
      <c r="D101" s="53">
        <f>(17+18)/1.56</f>
        <v>22.435897435897434</v>
      </c>
      <c r="E101" s="54"/>
      <c r="F101" s="54"/>
      <c r="G101" s="54"/>
      <c r="H101" s="54"/>
      <c r="I101" s="56">
        <f t="shared" si="3"/>
        <v>3.7179487179487181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85</v>
      </c>
      <c r="B102" s="53">
        <v>229.48717948717947</v>
      </c>
      <c r="C102" s="53"/>
      <c r="D102" s="53"/>
      <c r="E102" s="54"/>
      <c r="F102" s="54"/>
      <c r="G102" s="54"/>
      <c r="H102" s="54"/>
      <c r="I102" s="56">
        <f t="shared" si="3"/>
        <v>3.5897435897435854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90</v>
      </c>
      <c r="B103" s="53">
        <v>246.15384615384613</v>
      </c>
      <c r="C103" s="53">
        <v>8</v>
      </c>
      <c r="D103" s="53">
        <v>21.153846153846153</v>
      </c>
      <c r="E103" s="54"/>
      <c r="F103" s="54"/>
      <c r="G103" s="54"/>
      <c r="H103" s="54"/>
      <c r="I103" s="56">
        <f t="shared" si="3"/>
        <v>3.3333333333333313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95</v>
      </c>
      <c r="B104" s="53">
        <v>241.02564102564102</v>
      </c>
      <c r="C104" s="53"/>
      <c r="D104" s="53"/>
      <c r="E104" s="54"/>
      <c r="F104" s="54"/>
      <c r="G104" s="54"/>
      <c r="H104" s="54"/>
      <c r="I104" s="56">
        <f t="shared" si="3"/>
        <v>3.2051282051282102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100</v>
      </c>
      <c r="B105" s="53">
        <v>256.41025641025641</v>
      </c>
      <c r="C105" s="53">
        <v>9</v>
      </c>
      <c r="D105" s="53">
        <v>17.948717948717949</v>
      </c>
      <c r="E105" s="54"/>
      <c r="F105" s="54"/>
      <c r="G105" s="54"/>
      <c r="H105" s="54"/>
      <c r="I105" s="56">
        <f t="shared" si="3"/>
        <v>3.0769230769230775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105</v>
      </c>
      <c r="B106" s="53">
        <v>253.2051282051282</v>
      </c>
      <c r="C106" s="53"/>
      <c r="D106" s="53"/>
      <c r="E106" s="54"/>
      <c r="F106" s="54"/>
      <c r="G106" s="54"/>
      <c r="H106" s="54"/>
      <c r="I106" s="56">
        <f t="shared" si="3"/>
        <v>2.9487179487179502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110</v>
      </c>
      <c r="B107" s="53">
        <v>267.30769230769232</v>
      </c>
      <c r="C107" s="53">
        <v>10</v>
      </c>
      <c r="D107" s="53">
        <v>267.30769230769232</v>
      </c>
      <c r="E107" s="54"/>
      <c r="F107" s="54"/>
      <c r="G107" s="54"/>
      <c r="H107" s="54"/>
      <c r="I107" s="56">
        <f t="shared" si="3"/>
        <v>2.8205128205128234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85" zoomScaleNormal="85" workbookViewId="0">
      <selection activeCell="A22" sqref="A22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Erable sycomore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Tilleul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374.79806286316051</v>
      </c>
      <c r="T3" s="62">
        <f>IF('Données projet'!E9&gt;30,$R$33-$H$33,LOOKUP('Données projet'!$E$9,$A$3:$A$203,R3:R203)-LOOKUP('Données projet'!$E$9,$A$3:$A$203,$H$3:$H$203))</f>
        <v>350.01856672839466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310.15624717801779</v>
      </c>
      <c r="AO3" s="62">
        <f>IF('Données projet'!E10&gt;30,$AM$33-$H$33,LOOKUP('Données projet'!$E$10,$A$3:$A$203,AM3:AM203)-LOOKUP('Données projet'!$E$10,$A$3:$A$203,$H$3:$H$203))</f>
        <v>294.28794439094889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261.34571165681393</v>
      </c>
      <c r="BJ3" s="62">
        <f>IF('Données projet'!E11&gt;30,$BH$33-$H$33,LOOKUP('Données projet'!$E$11,$A$3:$A$203,BH3:BH203)-LOOKUP('Données projet'!$E$11,$A$3:$A$203,$H$3:$H$203))</f>
        <v>207.9851454455669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</v>
      </c>
      <c r="N4" s="14">
        <f>IF('Données projet'!$A$36&gt;35,N3+M4-V3,IF(A4&lt;'Données projet'!$A$36,$K$205^A4,IF(A4='Données projet'!$A$36,'Données projet'!$B$36,N3+M4-V3)))</f>
        <v>1.289976715395158</v>
      </c>
      <c r="O4" s="14">
        <f>N4*VLOOKUP('Données projet'!$B$9,Paramètres!$A$1:$I$89,3,0)*VLOOKUP('Données projet'!$B$9,Paramètres!$A$1:$I$89,5,0)</f>
        <v>0.72109698390589339</v>
      </c>
      <c r="P4" s="14">
        <f>EXP(-1.0587+0.8836*LN(O4)+0.284)</f>
        <v>0.34520357101002697</v>
      </c>
      <c r="Q4" s="22">
        <f t="shared" ref="Q4:Q34" si="2">(O4+P4)*0.475*44/12</f>
        <v>1.8571401331452277</v>
      </c>
      <c r="R4" s="62">
        <f t="shared" si="0"/>
        <v>259.74602902203407</v>
      </c>
      <c r="S4" s="62">
        <f ca="1">AVERAGE(OFFSET($R$3,0,0,'Données projet'!$E$9+1,1))-AVERAGE(OFFSET($H$3,0,0,'Données projet'!$E$9+1,1))</f>
        <v>374.79806286316051</v>
      </c>
      <c r="T4" s="62">
        <f>$T$3</f>
        <v>350.01856672839466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6.32</v>
      </c>
      <c r="AI4" s="14">
        <f>IF('Données projet'!$A$62&gt;35,AI3+AH4-AQ3,IF(A4&lt;'Données projet'!$A$62,$AF$205^A4,IF(A4='Données projet'!$A$62,'Données projet'!$B$62,AI3+AH4-AQ3)))</f>
        <v>1.2244647396966932</v>
      </c>
      <c r="AJ4" s="14">
        <f>AI4*VLOOKUP('Données projet'!$B$10,Paramètres!$A$1:$I$89,3,0)*VLOOKUP('Données projet'!$B$10,Paramètres!$A$1:$I$89,5,0)</f>
        <v>0.97418414690268917</v>
      </c>
      <c r="AK4" s="14">
        <f>EXP(-1.0587+0.8836*LN(AJ4)+0.284)</f>
        <v>0.45031384915554107</v>
      </c>
      <c r="AL4" s="22">
        <f t="shared" ref="AL4:AL67" si="4">(AJ4+AK4)*0.475*44/12</f>
        <v>2.4810006764680845</v>
      </c>
      <c r="AM4" s="62">
        <f t="shared" ref="AM4:AM67" si="5">AL4+(AD4+AE4)*44/12</f>
        <v>260.36988956535691</v>
      </c>
      <c r="AN4" s="62">
        <f ca="1">AVERAGE(OFFSET($AM$3,0,0,'Données projet'!$E$10+1,1))-AVERAGE(OFFSET($H$3,0,0,'Données projet'!$E$10+1,1))</f>
        <v>310.15624717801779</v>
      </c>
      <c r="AO4" s="62">
        <f>$AO$3</f>
        <v>294.28794439094889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2.0940170940170941</v>
      </c>
      <c r="BD4" s="13">
        <f>IF('Données projet'!$A$88&gt;35,BD3+BC4-BL3,IF(A4&lt;'Données projet'!$A$88,$BA$205^A4,IF(A4='Données projet'!$A$88,'Données projet'!$B$88,BD3+BC4-BL3)))</f>
        <v>1.2583595963961556</v>
      </c>
      <c r="BE4" s="14">
        <f>BD4*VLOOKUP('Données projet'!$B$11,Paramètres!$A$1:$I$89,3,0)*VLOOKUP('Données projet'!$B$11,Paramètres!$A$1:$I$89,5,0)</f>
        <v>0.84410761726254113</v>
      </c>
      <c r="BF4" s="14">
        <f>EXP(-1.0587+0.8836*LN(BE4)+0.284)</f>
        <v>0.3967502216694111</v>
      </c>
      <c r="BG4" s="22">
        <f t="shared" ref="BG4:BG67" si="7">(BE4+BF4)*0.475*44/12</f>
        <v>2.1611607361398169</v>
      </c>
      <c r="BH4" s="62">
        <f t="shared" ref="BH4:BH67" si="8">BG4+(AY4+AZ4)*44/12</f>
        <v>260.05004962502869</v>
      </c>
      <c r="BI4" s="62">
        <f ca="1">AVERAGE(OFFSET($BH$3,0,0,'Données projet'!$E$11+1,1))-AVERAGE(OFFSET($H$3,0,0,'Données projet'!$E$11+1,1))</f>
        <v>261.34571165681393</v>
      </c>
      <c r="BJ4" s="62">
        <f>$BJ$3</f>
        <v>207.9851454455669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</v>
      </c>
      <c r="N5" s="14">
        <f>IF('Données projet'!$A$36&gt;35,N4+M5-V4,IF(A5&lt;'Données projet'!$A$36,$K$205^A5,IF(A5='Données projet'!$A$36,'Données projet'!$B$36,N4+M5-V4)))</f>
        <v>1.6640399262616805</v>
      </c>
      <c r="O5" s="14">
        <f>N5*VLOOKUP('Données projet'!$B$9,Paramètres!$A$1:$I$89,3,0)*VLOOKUP('Données projet'!$B$9,Paramètres!$A$1:$I$89,5,0)</f>
        <v>0.93019831878027937</v>
      </c>
      <c r="P5" s="14">
        <f t="shared" ref="P5:P68" si="33">EXP(-1.0587+0.8836*LN(O5)+0.284)</f>
        <v>0.43230018467776149</v>
      </c>
      <c r="Q5" s="22">
        <f t="shared" si="2"/>
        <v>2.3730182268560873</v>
      </c>
      <c r="R5" s="62">
        <f t="shared" si="0"/>
        <v>261.4841293379672</v>
      </c>
      <c r="S5" s="62">
        <f ca="1">AVERAGE(OFFSET($R$3,0,0,'Données projet'!$E$9+1,1))-AVERAGE(OFFSET($H$3,0,0,'Données projet'!$E$9+1,1))</f>
        <v>374.79806286316051</v>
      </c>
      <c r="T5" s="62">
        <f t="shared" ref="T5:T68" si="34">$T$3</f>
        <v>350.01856672839466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6.32</v>
      </c>
      <c r="AI5" s="14">
        <f>IF('Données projet'!$A$62&gt;35,AI4+AH5-AQ4,IF(A5&lt;'Données projet'!$A$62,$AF$205^A5,IF(A5='Données projet'!$A$62,'Données projet'!$B$62,AI4+AH5-AQ4)))</f>
        <v>1.4993138987604906</v>
      </c>
      <c r="AJ5" s="14">
        <f>AI5*VLOOKUP('Données projet'!$B$10,Paramètres!$A$1:$I$89,3,0)*VLOOKUP('Données projet'!$B$10,Paramètres!$A$1:$I$89,5,0)</f>
        <v>1.1928541378538464</v>
      </c>
      <c r="AK5" s="14">
        <f t="shared" ref="AK5:AK68" si="35">EXP(-1.0587+0.8836*LN(AJ5)+0.284)</f>
        <v>0.5385482757179183</v>
      </c>
      <c r="AL5" s="22">
        <f t="shared" si="4"/>
        <v>3.0155258703041565</v>
      </c>
      <c r="AM5" s="62">
        <f t="shared" si="5"/>
        <v>262.12663698141529</v>
      </c>
      <c r="AN5" s="62">
        <f ca="1">AVERAGE(OFFSET($AM$3,0,0,'Données projet'!$E$10+1,1))-AVERAGE(OFFSET($H$3,0,0,'Données projet'!$E$10+1,1))</f>
        <v>310.15624717801779</v>
      </c>
      <c r="AO5" s="62">
        <f t="shared" ref="AO5:AO68" si="36">$AO$3</f>
        <v>294.28794439094889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2.0940170940170941</v>
      </c>
      <c r="BD5" s="13">
        <f>IF('Données projet'!$A$88&gt;35,BD4+BC5-BL4,IF(A5&lt;'Données projet'!$A$88,$BA$205^A5,IF(A5='Données projet'!$A$88,'Données projet'!$B$88,BD4+BC5-BL4)))</f>
        <v>1.5834688738422955</v>
      </c>
      <c r="BE5" s="14">
        <f>BD5*VLOOKUP('Données projet'!$B$11,Paramètres!$A$1:$I$89,3,0)*VLOOKUP('Données projet'!$B$11,Paramètres!$A$1:$I$89,5,0)</f>
        <v>1.0621909205734119</v>
      </c>
      <c r="BF5" s="14">
        <f t="shared" ref="BF5:BF68" si="37">EXP(-1.0587+0.8836*LN(BE5)+0.284)</f>
        <v>0.48607654898762231</v>
      </c>
      <c r="BG5" s="22">
        <f t="shared" si="7"/>
        <v>2.6965658428188011</v>
      </c>
      <c r="BH5" s="62">
        <f t="shared" si="8"/>
        <v>261.80767695392996</v>
      </c>
      <c r="BI5" s="62">
        <f ca="1">AVERAGE(OFFSET($BH$3,0,0,'Données projet'!$E$11+1,1))-AVERAGE(OFFSET($H$3,0,0,'Données projet'!$E$11+1,1))</f>
        <v>261.34571165681393</v>
      </c>
      <c r="BJ5" s="62">
        <f t="shared" ref="BJ5:BJ68" si="38">$BJ$3</f>
        <v>207.9851454455669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</v>
      </c>
      <c r="N6" s="14">
        <f>IF('Données projet'!$A$36&gt;35,N5+M6-V5,IF(A6&lt;'Données projet'!$A$36,$K$205^A6,IF(A6='Données projet'!$A$36,'Données projet'!$B$36,N5+M6-V5)))</f>
        <v>2.1465727583654437</v>
      </c>
      <c r="O6" s="14">
        <f>N6*VLOOKUP('Données projet'!$B$9,Paramètres!$A$1:$I$89,3,0)*VLOOKUP('Données projet'!$B$9,Paramètres!$A$1:$I$89,5,0)</f>
        <v>1.199934171926283</v>
      </c>
      <c r="P6" s="14">
        <f t="shared" si="33"/>
        <v>0.54137171618945512</v>
      </c>
      <c r="Q6" s="22">
        <f t="shared" si="2"/>
        <v>3.0327744218015771</v>
      </c>
      <c r="R6" s="62">
        <f t="shared" si="0"/>
        <v>263.36610775513492</v>
      </c>
      <c r="S6" s="62">
        <f ca="1">AVERAGE(OFFSET($R$3,0,0,'Données projet'!$E$9+1,1))-AVERAGE(OFFSET($H$3,0,0,'Données projet'!$E$9+1,1))</f>
        <v>374.79806286316051</v>
      </c>
      <c r="T6" s="62">
        <f t="shared" si="34"/>
        <v>350.01856672839466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6.32</v>
      </c>
      <c r="AI6" s="14">
        <f>IF('Données projet'!$A$62&gt;35,AI5+AH6-AQ5,IF(A6&lt;'Données projet'!$A$62,$AF$205^A6,IF(A6='Données projet'!$A$62,'Données projet'!$B$62,AI5+AH6-AQ5)))</f>
        <v>1.8358570027693983</v>
      </c>
      <c r="AJ6" s="14">
        <f>AI6*VLOOKUP('Données projet'!$B$10,Paramètres!$A$1:$I$89,3,0)*VLOOKUP('Données projet'!$B$10,Paramètres!$A$1:$I$89,5,0)</f>
        <v>1.4606078314033335</v>
      </c>
      <c r="AK6" s="14">
        <f t="shared" si="35"/>
        <v>0.64407134229301355</v>
      </c>
      <c r="AL6" s="22">
        <f t="shared" si="4"/>
        <v>3.665649560854471</v>
      </c>
      <c r="AM6" s="62">
        <f t="shared" si="5"/>
        <v>263.9989828941878</v>
      </c>
      <c r="AN6" s="62">
        <f ca="1">AVERAGE(OFFSET($AM$3,0,0,'Données projet'!$E$10+1,1))-AVERAGE(OFFSET($H$3,0,0,'Données projet'!$E$10+1,1))</f>
        <v>310.15624717801779</v>
      </c>
      <c r="AO6" s="62">
        <f t="shared" si="36"/>
        <v>294.28794439094889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2.0940170940170941</v>
      </c>
      <c r="BD6" s="13">
        <f>IF('Données projet'!$A$88&gt;35,BD5+BC6-BL5,IF(A6&lt;'Données projet'!$A$88,$BA$205^A6,IF(A6='Données projet'!$A$88,'Données projet'!$B$88,BD5+BC6-BL5)))</f>
        <v>1.9925732529940661</v>
      </c>
      <c r="BE6" s="14">
        <f>BD6*VLOOKUP('Données projet'!$B$11,Paramètres!$A$1:$I$89,3,0)*VLOOKUP('Données projet'!$B$11,Paramètres!$A$1:$I$89,5,0)</f>
        <v>1.3366181381084197</v>
      </c>
      <c r="BF6" s="14">
        <f t="shared" si="37"/>
        <v>0.59551425196829955</v>
      </c>
      <c r="BG6" s="22">
        <f t="shared" si="7"/>
        <v>3.365130579383619</v>
      </c>
      <c r="BH6" s="62">
        <f t="shared" si="8"/>
        <v>263.69846391271693</v>
      </c>
      <c r="BI6" s="62">
        <f ca="1">AVERAGE(OFFSET($BH$3,0,0,'Données projet'!$E$11+1,1))-AVERAGE(OFFSET($H$3,0,0,'Données projet'!$E$11+1,1))</f>
        <v>261.34571165681393</v>
      </c>
      <c r="BJ6" s="62">
        <f t="shared" si="38"/>
        <v>207.9851454455669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</v>
      </c>
      <c r="N7" s="14">
        <f>IF('Données projet'!$A$36&gt;35,N6+M7-V6,IF(A7&lt;'Données projet'!$A$36,$K$205^A7,IF(A7='Données projet'!$A$36,'Données projet'!$B$36,N6+M7-V6)))</f>
        <v>2.7690288761929791</v>
      </c>
      <c r="O7" s="14">
        <f>N7*VLOOKUP('Données projet'!$B$9,Paramètres!$A$1:$I$89,3,0)*VLOOKUP('Données projet'!$B$9,Paramètres!$A$1:$I$89,5,0)</f>
        <v>1.5478871417918754</v>
      </c>
      <c r="P7" s="14">
        <f t="shared" si="33"/>
        <v>0.67796254889037699</v>
      </c>
      <c r="Q7" s="22">
        <f t="shared" si="2"/>
        <v>3.8766882112715897</v>
      </c>
      <c r="R7" s="62">
        <f t="shared" si="0"/>
        <v>265.43224376682713</v>
      </c>
      <c r="S7" s="62">
        <f ca="1">AVERAGE(OFFSET($R$3,0,0,'Données projet'!$E$9+1,1))-AVERAGE(OFFSET($H$3,0,0,'Données projet'!$E$9+1,1))</f>
        <v>374.79806286316051</v>
      </c>
      <c r="T7" s="62">
        <f t="shared" si="34"/>
        <v>350.01856672839466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6.32</v>
      </c>
      <c r="AI7" s="14">
        <f>IF('Données projet'!$A$62&gt;35,AI6+AH7-AQ6,IF(A7&lt;'Données projet'!$A$62,$AF$205^A7,IF(A7='Données projet'!$A$62,'Données projet'!$B$62,AI6+AH7-AQ6)))</f>
        <v>2.2479421670163826</v>
      </c>
      <c r="AJ7" s="14">
        <f>AI7*VLOOKUP('Données projet'!$B$10,Paramètres!$A$1:$I$89,3,0)*VLOOKUP('Données projet'!$B$10,Paramètres!$A$1:$I$89,5,0)</f>
        <v>1.788462788078234</v>
      </c>
      <c r="AK7" s="14">
        <f t="shared" si="35"/>
        <v>0.77027058235426116</v>
      </c>
      <c r="AL7" s="22">
        <f t="shared" si="4"/>
        <v>4.4564606201699286</v>
      </c>
      <c r="AM7" s="62">
        <f t="shared" si="5"/>
        <v>266.01201617572548</v>
      </c>
      <c r="AN7" s="62">
        <f ca="1">AVERAGE(OFFSET($AM$3,0,0,'Données projet'!$E$10+1,1))-AVERAGE(OFFSET($H$3,0,0,'Données projet'!$E$10+1,1))</f>
        <v>310.15624717801779</v>
      </c>
      <c r="AO7" s="62">
        <f t="shared" si="36"/>
        <v>294.28794439094889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2.0940170940170941</v>
      </c>
      <c r="BD7" s="13">
        <f>IF('Données projet'!$A$88&gt;35,BD6+BC7-BL6,IF(A7&lt;'Données projet'!$A$88,$BA$205^A7,IF(A7='Données projet'!$A$88,'Données projet'!$B$88,BD6+BC7-BL6)))</f>
        <v>2.5073736744273876</v>
      </c>
      <c r="BE7" s="14">
        <f>BD7*VLOOKUP('Données projet'!$B$11,Paramètres!$A$1:$I$89,3,0)*VLOOKUP('Données projet'!$B$11,Paramètres!$A$1:$I$89,5,0)</f>
        <v>1.6819462608058917</v>
      </c>
      <c r="BF7" s="14">
        <f t="shared" si="37"/>
        <v>0.72959130621706658</v>
      </c>
      <c r="BG7" s="22">
        <f t="shared" si="7"/>
        <v>4.2000945958983191</v>
      </c>
      <c r="BH7" s="62">
        <f t="shared" si="8"/>
        <v>265.75565015145384</v>
      </c>
      <c r="BI7" s="62">
        <f ca="1">AVERAGE(OFFSET($BH$3,0,0,'Données projet'!$E$11+1,1))-AVERAGE(OFFSET($H$3,0,0,'Données projet'!$E$11+1,1))</f>
        <v>261.34571165681393</v>
      </c>
      <c r="BJ7" s="62">
        <f t="shared" si="38"/>
        <v>207.9851454455669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</v>
      </c>
      <c r="N8" s="14">
        <f>IF('Données projet'!$A$36&gt;35,N7+M8-V7,IF(A8&lt;'Données projet'!$A$36,$K$205^A8,IF(A8='Données projet'!$A$36,'Données projet'!$B$36,N7+M8-V7)))</f>
        <v>3.5719827745457646</v>
      </c>
      <c r="O8" s="14">
        <f>N8*VLOOKUP('Données projet'!$B$9,Paramètres!$A$1:$I$89,3,0)*VLOOKUP('Données projet'!$B$9,Paramètres!$A$1:$I$89,5,0)</f>
        <v>1.9967383709710824</v>
      </c>
      <c r="P8" s="14">
        <f t="shared" si="33"/>
        <v>0.84901594219430265</v>
      </c>
      <c r="Q8" s="22">
        <f t="shared" si="2"/>
        <v>4.9563554287630449</v>
      </c>
      <c r="R8" s="62">
        <f t="shared" si="0"/>
        <v>267.73413320654083</v>
      </c>
      <c r="S8" s="62">
        <f ca="1">AVERAGE(OFFSET($R$3,0,0,'Données projet'!$E$9+1,1))-AVERAGE(OFFSET($H$3,0,0,'Données projet'!$E$9+1,1))</f>
        <v>374.79806286316051</v>
      </c>
      <c r="T8" s="62">
        <f t="shared" si="34"/>
        <v>350.01856672839466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6.32</v>
      </c>
      <c r="AI8" s="14">
        <f>IF('Données projet'!$A$62&gt;35,AI7+AH8-AQ7,IF(A8&lt;'Données projet'!$A$62,$AF$205^A8,IF(A8='Données projet'!$A$62,'Données projet'!$B$62,AI7+AH8-AQ7)))</f>
        <v>2.7525259203889356</v>
      </c>
      <c r="AJ8" s="14">
        <f>AI8*VLOOKUP('Données projet'!$B$10,Paramètres!$A$1:$I$89,3,0)*VLOOKUP('Données projet'!$B$10,Paramètres!$A$1:$I$89,5,0)</f>
        <v>2.1899096222614376</v>
      </c>
      <c r="AK8" s="14">
        <f t="shared" si="35"/>
        <v>0.92119728216451158</v>
      </c>
      <c r="AL8" s="22">
        <f t="shared" si="4"/>
        <v>5.4185111918751945</v>
      </c>
      <c r="AM8" s="62">
        <f t="shared" si="5"/>
        <v>268.19628896965298</v>
      </c>
      <c r="AN8" s="62">
        <f ca="1">AVERAGE(OFFSET($AM$3,0,0,'Données projet'!$E$10+1,1))-AVERAGE(OFFSET($H$3,0,0,'Données projet'!$E$10+1,1))</f>
        <v>310.15624717801779</v>
      </c>
      <c r="AO8" s="62">
        <f t="shared" si="36"/>
        <v>294.28794439094889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2.0940170940170941</v>
      </c>
      <c r="BD8" s="13">
        <f>IF('Données projet'!$A$88&gt;35,BD7+BC8-BL7,IF(A8&lt;'Données projet'!$A$88,$BA$205^A8,IF(A8='Données projet'!$A$88,'Données projet'!$B$88,BD7+BC8-BL7)))</f>
        <v>3.1551777249667929</v>
      </c>
      <c r="BE8" s="14">
        <f>BD8*VLOOKUP('Données projet'!$B$11,Paramètres!$A$1:$I$89,3,0)*VLOOKUP('Données projet'!$B$11,Paramètres!$A$1:$I$89,5,0)</f>
        <v>2.1164932179077245</v>
      </c>
      <c r="BF8" s="14">
        <f t="shared" si="37"/>
        <v>0.8938551383919876</v>
      </c>
      <c r="BG8" s="22">
        <f t="shared" si="7"/>
        <v>5.2430233872219976</v>
      </c>
      <c r="BH8" s="62">
        <f t="shared" si="8"/>
        <v>268.0208011649998</v>
      </c>
      <c r="BI8" s="62">
        <f ca="1">AVERAGE(OFFSET($BH$3,0,0,'Données projet'!$E$11+1,1))-AVERAGE(OFFSET($H$3,0,0,'Données projet'!$E$11+1,1))</f>
        <v>261.34571165681393</v>
      </c>
      <c r="BJ8" s="62">
        <f t="shared" si="38"/>
        <v>207.9851454455669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</v>
      </c>
      <c r="N9" s="14">
        <f>IF('Données projet'!$A$36&gt;35,N8+M9-V8,IF(A9&lt;'Données projet'!$A$36,$K$205^A9,IF(A9='Données projet'!$A$36,'Données projet'!$B$36,N8+M9-V8)))</f>
        <v>4.607774606956629</v>
      </c>
      <c r="O9" s="14">
        <f>N9*VLOOKUP('Données projet'!$B$9,Paramètres!$A$1:$I$89,3,0)*VLOOKUP('Données projet'!$B$9,Paramètres!$A$1:$I$89,5,0)</f>
        <v>2.5757460052887557</v>
      </c>
      <c r="P9" s="14">
        <f t="shared" si="33"/>
        <v>1.0632269751181105</v>
      </c>
      <c r="Q9" s="22">
        <f t="shared" si="2"/>
        <v>6.3378779408752912</v>
      </c>
      <c r="R9" s="62">
        <f t="shared" si="0"/>
        <v>270.33787794087527</v>
      </c>
      <c r="S9" s="62">
        <f ca="1">AVERAGE(OFFSET($R$3,0,0,'Données projet'!$E$9+1,1))-AVERAGE(OFFSET($H$3,0,0,'Données projet'!$E$9+1,1))</f>
        <v>374.79806286316051</v>
      </c>
      <c r="T9" s="62">
        <f t="shared" si="34"/>
        <v>350.01856672839466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6.32</v>
      </c>
      <c r="AI9" s="14">
        <f>IF('Données projet'!$A$62&gt;35,AI8+AH9-AQ8,IF(A9&lt;'Données projet'!$A$62,$AF$205^A9,IF(A9='Données projet'!$A$62,'Données projet'!$B$62,AI8+AH9-AQ8)))</f>
        <v>3.3703709346174384</v>
      </c>
      <c r="AJ9" s="14">
        <f>AI9*VLOOKUP('Données projet'!$B$10,Paramètres!$A$1:$I$89,3,0)*VLOOKUP('Données projet'!$B$10,Paramètres!$A$1:$I$89,5,0)</f>
        <v>2.6814671155816341</v>
      </c>
      <c r="AK9" s="14">
        <f t="shared" si="35"/>
        <v>1.1016965363958218</v>
      </c>
      <c r="AL9" s="22">
        <f t="shared" si="4"/>
        <v>6.5890100271940684</v>
      </c>
      <c r="AM9" s="62">
        <f t="shared" si="5"/>
        <v>270.58901002719409</v>
      </c>
      <c r="AN9" s="62">
        <f ca="1">AVERAGE(OFFSET($AM$3,0,0,'Données projet'!$E$10+1,1))-AVERAGE(OFFSET($H$3,0,0,'Données projet'!$E$10+1,1))</f>
        <v>310.15624717801779</v>
      </c>
      <c r="AO9" s="62">
        <f t="shared" si="36"/>
        <v>294.28794439094889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2.0940170940170941</v>
      </c>
      <c r="BD9" s="13">
        <f>IF('Données projet'!$A$88&gt;35,BD8+BC9-BL8,IF(A9&lt;'Données projet'!$A$88,$BA$205^A9,IF(A9='Données projet'!$A$88,'Données projet'!$B$88,BD8+BC9-BL8)))</f>
        <v>3.9703481685473538</v>
      </c>
      <c r="BE9" s="14">
        <f>BD9*VLOOKUP('Données projet'!$B$11,Paramètres!$A$1:$I$89,3,0)*VLOOKUP('Données projet'!$B$11,Paramètres!$A$1:$I$89,5,0)</f>
        <v>2.6633095514615648</v>
      </c>
      <c r="BF9" s="14">
        <f t="shared" si="37"/>
        <v>1.0951021505073271</v>
      </c>
      <c r="BG9" s="22">
        <f t="shared" si="7"/>
        <v>6.5459003809291518</v>
      </c>
      <c r="BH9" s="62">
        <f t="shared" si="8"/>
        <v>270.54590038092914</v>
      </c>
      <c r="BI9" s="62">
        <f ca="1">AVERAGE(OFFSET($BH$3,0,0,'Données projet'!$E$11+1,1))-AVERAGE(OFFSET($H$3,0,0,'Données projet'!$E$11+1,1))</f>
        <v>261.34571165681393</v>
      </c>
      <c r="BJ9" s="62">
        <f t="shared" si="38"/>
        <v>207.9851454455669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</v>
      </c>
      <c r="N10" s="14">
        <f>IF('Données projet'!$A$36&gt;35,N9+M10-V9,IF(A10&lt;'Données projet'!$A$36,$K$205^A10,IF(A10='Données projet'!$A$36,'Données projet'!$B$36,N9+M10-V9)))</f>
        <v>5.9439219527631275</v>
      </c>
      <c r="O10" s="14">
        <f>N10*VLOOKUP('Données projet'!$B$9,Paramètres!$A$1:$I$89,3,0)*VLOOKUP('Données projet'!$B$9,Paramètres!$A$1:$I$89,5,0)</f>
        <v>3.3226523715945881</v>
      </c>
      <c r="P10" s="14">
        <f t="shared" si="33"/>
        <v>1.3314845392621566</v>
      </c>
      <c r="Q10" s="22">
        <f t="shared" si="2"/>
        <v>8.1059551197421627</v>
      </c>
      <c r="R10" s="62">
        <f t="shared" si="0"/>
        <v>273.32817734196442</v>
      </c>
      <c r="S10" s="62">
        <f ca="1">AVERAGE(OFFSET($R$3,0,0,'Données projet'!$E$9+1,1))-AVERAGE(OFFSET($H$3,0,0,'Données projet'!$E$9+1,1))</f>
        <v>374.79806286316051</v>
      </c>
      <c r="T10" s="62">
        <f t="shared" si="34"/>
        <v>350.01856672839466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6.32</v>
      </c>
      <c r="AI10" s="14">
        <f>IF('Données projet'!$A$62&gt;35,AI9+AH10-AQ9,IF(A10&lt;'Données projet'!$A$62,$AF$205^A10,IF(A10='Données projet'!$A$62,'Données projet'!$B$62,AI9+AH10-AQ9)))</f>
        <v>4.1269003691376422</v>
      </c>
      <c r="AJ10" s="14">
        <f>AI10*VLOOKUP('Données projet'!$B$10,Paramètres!$A$1:$I$89,3,0)*VLOOKUP('Données projet'!$B$10,Paramètres!$A$1:$I$89,5,0)</f>
        <v>3.2833619336859079</v>
      </c>
      <c r="AK10" s="14">
        <f t="shared" si="35"/>
        <v>1.3175627868274542</v>
      </c>
      <c r="AL10" s="22">
        <f t="shared" si="4"/>
        <v>8.0132772215607719</v>
      </c>
      <c r="AM10" s="62">
        <f t="shared" si="5"/>
        <v>273.235499443783</v>
      </c>
      <c r="AN10" s="62">
        <f ca="1">AVERAGE(OFFSET($AM$3,0,0,'Données projet'!$E$10+1,1))-AVERAGE(OFFSET($H$3,0,0,'Données projet'!$E$10+1,1))</f>
        <v>310.15624717801779</v>
      </c>
      <c r="AO10" s="62">
        <f t="shared" si="36"/>
        <v>294.28794439094889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2.0940170940170941</v>
      </c>
      <c r="BD10" s="13">
        <f>IF('Données projet'!$A$88&gt;35,BD9+BC10-BL9,IF(A10&lt;'Données projet'!$A$88,$BA$205^A10,IF(A10='Données projet'!$A$88,'Données projet'!$B$88,BD9+BC10-BL9)))</f>
        <v>4.9961257189254642</v>
      </c>
      <c r="BE10" s="14">
        <f>BD10*VLOOKUP('Données projet'!$B$11,Paramètres!$A$1:$I$89,3,0)*VLOOKUP('Données projet'!$B$11,Paramètres!$A$1:$I$89,5,0)</f>
        <v>3.3514011322552011</v>
      </c>
      <c r="BF10" s="14">
        <f t="shared" si="37"/>
        <v>1.3416589204859044</v>
      </c>
      <c r="BG10" s="22">
        <f t="shared" si="7"/>
        <v>8.1737462585240923</v>
      </c>
      <c r="BH10" s="62">
        <f t="shared" si="8"/>
        <v>273.39596848074632</v>
      </c>
      <c r="BI10" s="62">
        <f ca="1">AVERAGE(OFFSET($BH$3,0,0,'Données projet'!$E$11+1,1))-AVERAGE(OFFSET($H$3,0,0,'Données projet'!$E$11+1,1))</f>
        <v>261.34571165681393</v>
      </c>
      <c r="BJ10" s="62">
        <f t="shared" si="38"/>
        <v>207.9851454455669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</v>
      </c>
      <c r="N11" s="14">
        <f>IF('Données projet'!$A$36&gt;35,N10+M11-V10,IF(A11&lt;'Données projet'!$A$36,$K$205^A11,IF(A11='Données projet'!$A$36,'Données projet'!$B$36,N10+M11-V10)))</f>
        <v>7.6675209171905525</v>
      </c>
      <c r="O11" s="14">
        <f>N11*VLOOKUP('Données projet'!$B$9,Paramètres!$A$1:$I$89,3,0)*VLOOKUP('Données projet'!$B$9,Paramètres!$A$1:$I$89,5,0)</f>
        <v>4.2861441927095187</v>
      </c>
      <c r="P11" s="14">
        <f t="shared" si="33"/>
        <v>1.6674248488637313</v>
      </c>
      <c r="Q11" s="22">
        <f t="shared" si="2"/>
        <v>10.369132747406743</v>
      </c>
      <c r="R11" s="62">
        <f t="shared" si="0"/>
        <v>276.81357719185121</v>
      </c>
      <c r="S11" s="62">
        <f ca="1">AVERAGE(OFFSET($R$3,0,0,'Données projet'!$E$9+1,1))-AVERAGE(OFFSET($H$3,0,0,'Données projet'!$E$9+1,1))</f>
        <v>374.79806286316051</v>
      </c>
      <c r="T11" s="62">
        <f t="shared" si="34"/>
        <v>350.01856672839466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6.32</v>
      </c>
      <c r="AI11" s="14">
        <f>IF('Données projet'!$A$62&gt;35,AI10+AH11-AQ10,IF(A11&lt;'Données projet'!$A$62,$AF$205^A11,IF(A11='Données projet'!$A$62,'Données projet'!$B$62,AI10+AH11-AQ10)))</f>
        <v>5.05324398625031</v>
      </c>
      <c r="AJ11" s="14">
        <f>AI11*VLOOKUP('Données projet'!$B$10,Paramètres!$A$1:$I$89,3,0)*VLOOKUP('Données projet'!$B$10,Paramètres!$A$1:$I$89,5,0)</f>
        <v>4.0203609154607474</v>
      </c>
      <c r="AK11" s="14">
        <f t="shared" si="35"/>
        <v>1.5757258372725083</v>
      </c>
      <c r="AL11" s="22">
        <f t="shared" si="4"/>
        <v>9.7465177610104199</v>
      </c>
      <c r="AM11" s="62">
        <f t="shared" si="5"/>
        <v>276.19096220545487</v>
      </c>
      <c r="AN11" s="62">
        <f ca="1">AVERAGE(OFFSET($AM$3,0,0,'Données projet'!$E$10+1,1))-AVERAGE(OFFSET($H$3,0,0,'Données projet'!$E$10+1,1))</f>
        <v>310.15624717801779</v>
      </c>
      <c r="AO11" s="62">
        <f t="shared" si="36"/>
        <v>294.28794439094889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2.0940170940170941</v>
      </c>
      <c r="BD11" s="13">
        <f>IF('Données projet'!$A$88&gt;35,BD10+BC11-BL10,IF(A11&lt;'Données projet'!$A$88,$BA$205^A11,IF(A11='Données projet'!$A$88,'Données projet'!$B$88,BD10+BC11-BL10)))</f>
        <v>6.2869227432114991</v>
      </c>
      <c r="BE11" s="14">
        <f>BD11*VLOOKUP('Données projet'!$B$11,Paramètres!$A$1:$I$89,3,0)*VLOOKUP('Données projet'!$B$11,Paramètres!$A$1:$I$89,5,0)</f>
        <v>4.217267776146274</v>
      </c>
      <c r="BF11" s="14">
        <f t="shared" si="37"/>
        <v>1.6437267136088582</v>
      </c>
      <c r="BG11" s="22">
        <f t="shared" si="7"/>
        <v>10.207898736323521</v>
      </c>
      <c r="BH11" s="62">
        <f t="shared" si="8"/>
        <v>276.65234318076796</v>
      </c>
      <c r="BI11" s="62">
        <f ca="1">AVERAGE(OFFSET($BH$3,0,0,'Données projet'!$E$11+1,1))-AVERAGE(OFFSET($H$3,0,0,'Données projet'!$E$11+1,1))</f>
        <v>261.34571165681393</v>
      </c>
      <c r="BJ11" s="62">
        <f t="shared" si="38"/>
        <v>207.9851454455669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</v>
      </c>
      <c r="N12" s="14">
        <f>IF('Données projet'!$A$36&gt;35,N11+M12-V11,IF(A12&lt;'Données projet'!$A$36,$K$205^A12,IF(A12='Données projet'!$A$36,'Données projet'!$B$36,N11+M12-V11)))</f>
        <v>9.8909234479811374</v>
      </c>
      <c r="O12" s="14">
        <f>N12*VLOOKUP('Données projet'!$B$9,Paramètres!$A$1:$I$89,3,0)*VLOOKUP('Données projet'!$B$9,Paramètres!$A$1:$I$89,5,0)</f>
        <v>5.529026207421456</v>
      </c>
      <c r="P12" s="14">
        <f t="shared" si="33"/>
        <v>2.0881246042473354</v>
      </c>
      <c r="Q12" s="22">
        <f t="shared" si="2"/>
        <v>13.266537663656479</v>
      </c>
      <c r="R12" s="62">
        <f t="shared" si="0"/>
        <v>280.93320433032318</v>
      </c>
      <c r="S12" s="62">
        <f ca="1">AVERAGE(OFFSET($R$3,0,0,'Données projet'!$E$9+1,1))-AVERAGE(OFFSET($H$3,0,0,'Données projet'!$E$9+1,1))</f>
        <v>374.79806286316051</v>
      </c>
      <c r="T12" s="62">
        <f t="shared" si="34"/>
        <v>350.01856672839466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6.32</v>
      </c>
      <c r="AI12" s="14">
        <f>IF('Données projet'!$A$62&gt;35,AI11+AH12-AQ11,IF(A12&lt;'Données projet'!$A$62,$AF$205^A12,IF(A12='Données projet'!$A$62,'Données projet'!$B$62,AI11+AH12-AQ11)))</f>
        <v>6.1875190822478663</v>
      </c>
      <c r="AJ12" s="14">
        <f>AI12*VLOOKUP('Données projet'!$B$10,Paramètres!$A$1:$I$89,3,0)*VLOOKUP('Données projet'!$B$10,Paramètres!$A$1:$I$89,5,0)</f>
        <v>4.9227901818364028</v>
      </c>
      <c r="AK12" s="14">
        <f t="shared" si="35"/>
        <v>1.8844733162407568</v>
      </c>
      <c r="AL12" s="22">
        <f t="shared" si="4"/>
        <v>11.85598392581772</v>
      </c>
      <c r="AM12" s="62">
        <f t="shared" si="5"/>
        <v>279.52265059248441</v>
      </c>
      <c r="AN12" s="62">
        <f ca="1">AVERAGE(OFFSET($AM$3,0,0,'Données projet'!$E$10+1,1))-AVERAGE(OFFSET($H$3,0,0,'Données projet'!$E$10+1,1))</f>
        <v>310.15624717801779</v>
      </c>
      <c r="AO12" s="62">
        <f t="shared" si="36"/>
        <v>294.28794439094889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2.0940170940170941</v>
      </c>
      <c r="BD12" s="13">
        <f>IF('Données projet'!$A$88&gt;35,BD11+BC12-BL11,IF(A12&lt;'Données projet'!$A$88,$BA$205^A12,IF(A12='Données projet'!$A$88,'Données projet'!$B$88,BD11+BC12-BL11)))</f>
        <v>7.9112095657214336</v>
      </c>
      <c r="BE12" s="14">
        <f>BD12*VLOOKUP('Données projet'!$B$11,Paramètres!$A$1:$I$89,3,0)*VLOOKUP('Données projet'!$B$11,Paramètres!$A$1:$I$89,5,0)</f>
        <v>5.3068393766859385</v>
      </c>
      <c r="BF12" s="14">
        <f t="shared" si="37"/>
        <v>2.0138035589946082</v>
      </c>
      <c r="BG12" s="22">
        <f t="shared" si="7"/>
        <v>12.750119779643619</v>
      </c>
      <c r="BH12" s="62">
        <f t="shared" si="8"/>
        <v>280.41678644631031</v>
      </c>
      <c r="BI12" s="62">
        <f ca="1">AVERAGE(OFFSET($BH$3,0,0,'Données projet'!$E$11+1,1))-AVERAGE(OFFSET($H$3,0,0,'Données projet'!$E$11+1,1))</f>
        <v>261.34571165681393</v>
      </c>
      <c r="BJ12" s="62">
        <f t="shared" si="38"/>
        <v>207.9851454455669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</v>
      </c>
      <c r="N13" s="14">
        <f>IF('Données projet'!$A$36&gt;35,N12+M13-V12,IF(A13&lt;'Données projet'!$A$36,$K$205^A13,IF(A13='Données projet'!$A$36,'Données projet'!$B$36,N12+M13-V12)))</f>
        <v>12.75906094165166</v>
      </c>
      <c r="O13" s="14">
        <f>N13*VLOOKUP('Données projet'!$B$9,Paramètres!$A$1:$I$89,3,0)*VLOOKUP('Données projet'!$B$9,Paramètres!$A$1:$I$89,5,0)</f>
        <v>7.1323150663832777</v>
      </c>
      <c r="P13" s="14">
        <f t="shared" si="33"/>
        <v>2.6149690439328648</v>
      </c>
      <c r="Q13" s="22">
        <f t="shared" si="2"/>
        <v>16.976519825467278</v>
      </c>
      <c r="R13" s="62">
        <f t="shared" si="0"/>
        <v>285.86540871435614</v>
      </c>
      <c r="S13" s="62">
        <f ca="1">AVERAGE(OFFSET($R$3,0,0,'Données projet'!$E$9+1,1))-AVERAGE(OFFSET($H$3,0,0,'Données projet'!$E$9+1,1))</f>
        <v>374.79806286316051</v>
      </c>
      <c r="T13" s="62">
        <f t="shared" si="34"/>
        <v>350.01856672839466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6.32</v>
      </c>
      <c r="AI13" s="14">
        <f>IF('Données projet'!$A$62&gt;35,AI12+AH13-AQ12,IF(A13&lt;'Données projet'!$A$62,$AF$205^A13,IF(A13='Données projet'!$A$62,'Données projet'!$B$62,AI12+AH13-AQ12)))</f>
        <v>7.576398942412955</v>
      </c>
      <c r="AJ13" s="14">
        <f>AI13*VLOOKUP('Données projet'!$B$10,Paramètres!$A$1:$I$89,3,0)*VLOOKUP('Données projet'!$B$10,Paramètres!$A$1:$I$89,5,0)</f>
        <v>6.0277829985837474</v>
      </c>
      <c r="AK13" s="14">
        <f t="shared" si="35"/>
        <v>2.2537167289015385</v>
      </c>
      <c r="AL13" s="22">
        <f t="shared" si="4"/>
        <v>14.423612025370206</v>
      </c>
      <c r="AM13" s="62">
        <f t="shared" si="5"/>
        <v>283.31250091425909</v>
      </c>
      <c r="AN13" s="62">
        <f ca="1">AVERAGE(OFFSET($AM$3,0,0,'Données projet'!$E$10+1,1))-AVERAGE(OFFSET($H$3,0,0,'Données projet'!$E$10+1,1))</f>
        <v>310.15624717801779</v>
      </c>
      <c r="AO13" s="62">
        <f t="shared" si="36"/>
        <v>294.28794439094889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2.0940170940170941</v>
      </c>
      <c r="BD13" s="13">
        <f>IF('Données projet'!$A$88&gt;35,BD12+BC13-BL12,IF(A13&lt;'Données projet'!$A$88,$BA$205^A13,IF(A13='Données projet'!$A$88,'Données projet'!$B$88,BD12+BC13-BL12)))</f>
        <v>9.9551464761266271</v>
      </c>
      <c r="BE13" s="14">
        <f>BD13*VLOOKUP('Données projet'!$B$11,Paramètres!$A$1:$I$89,3,0)*VLOOKUP('Données projet'!$B$11,Paramètres!$A$1:$I$89,5,0)</f>
        <v>6.677912256185742</v>
      </c>
      <c r="BF13" s="14">
        <f t="shared" si="37"/>
        <v>2.46720135448524</v>
      </c>
      <c r="BG13" s="22">
        <f t="shared" si="7"/>
        <v>15.927739538585294</v>
      </c>
      <c r="BH13" s="62">
        <f t="shared" si="8"/>
        <v>284.81662842747414</v>
      </c>
      <c r="BI13" s="62">
        <f ca="1">AVERAGE(OFFSET($BH$3,0,0,'Données projet'!$E$11+1,1))-AVERAGE(OFFSET($H$3,0,0,'Données projet'!$E$11+1,1))</f>
        <v>261.34571165681393</v>
      </c>
      <c r="BJ13" s="62">
        <f t="shared" si="38"/>
        <v>207.9851454455669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</v>
      </c>
      <c r="N14" s="14">
        <f>IF('Données projet'!$A$36&gt;35,N13+M14-V13,IF(A14&lt;'Données projet'!$A$36,$K$205^A14,IF(A14='Données projet'!$A$36,'Données projet'!$B$36,N13+M14-V13)))</f>
        <v>16.45889152503846</v>
      </c>
      <c r="O14" s="14">
        <f>N14*VLOOKUP('Données projet'!$B$9,Paramètres!$A$1:$I$89,3,0)*VLOOKUP('Données projet'!$B$9,Paramètres!$A$1:$I$89,5,0)</f>
        <v>9.2005203624964995</v>
      </c>
      <c r="P14" s="14">
        <f t="shared" si="33"/>
        <v>3.2747390106980423</v>
      </c>
      <c r="Q14" s="22">
        <f t="shared" si="2"/>
        <v>21.727743408313824</v>
      </c>
      <c r="R14" s="62">
        <f t="shared" si="0"/>
        <v>291.83885451942496</v>
      </c>
      <c r="S14" s="62">
        <f ca="1">AVERAGE(OFFSET($R$3,0,0,'Données projet'!$E$9+1,1))-AVERAGE(OFFSET($H$3,0,0,'Données projet'!$E$9+1,1))</f>
        <v>374.79806286316051</v>
      </c>
      <c r="T14" s="62">
        <f t="shared" si="34"/>
        <v>350.01856672839466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6.32</v>
      </c>
      <c r="AI14" s="14">
        <f>IF('Données projet'!$A$62&gt;35,AI13+AH14-AQ13,IF(A14&lt;'Données projet'!$A$62,$AF$205^A14,IF(A14='Données projet'!$A$62,'Données projet'!$B$62,AI13+AH14-AQ13)))</f>
        <v>9.2770333588599811</v>
      </c>
      <c r="AJ14" s="14">
        <f>AI14*VLOOKUP('Données projet'!$B$10,Paramètres!$A$1:$I$89,3,0)*VLOOKUP('Données projet'!$B$10,Paramètres!$A$1:$I$89,5,0)</f>
        <v>7.3808077403090016</v>
      </c>
      <c r="AK14" s="14">
        <f t="shared" si="35"/>
        <v>2.6953096392274607</v>
      </c>
      <c r="AL14" s="22">
        <f t="shared" si="4"/>
        <v>17.54923776935934</v>
      </c>
      <c r="AM14" s="62">
        <f t="shared" si="5"/>
        <v>287.66034888047051</v>
      </c>
      <c r="AN14" s="62">
        <f ca="1">AVERAGE(OFFSET($AM$3,0,0,'Données projet'!$E$10+1,1))-AVERAGE(OFFSET($H$3,0,0,'Données projet'!$E$10+1,1))</f>
        <v>310.15624717801779</v>
      </c>
      <c r="AO14" s="62">
        <f t="shared" si="36"/>
        <v>294.28794439094889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2.0940170940170941</v>
      </c>
      <c r="BD14" s="13">
        <f>IF('Données projet'!$A$88&gt;35,BD13+BC14-BL13,IF(A14&lt;'Données projet'!$A$88,$BA$205^A14,IF(A14='Données projet'!$A$88,'Données projet'!$B$88,BD13+BC14-BL13)))</f>
        <v>12.527154101763314</v>
      </c>
      <c r="BE14" s="14">
        <f>BD14*VLOOKUP('Données projet'!$B$11,Paramètres!$A$1:$I$89,3,0)*VLOOKUP('Données projet'!$B$11,Paramètres!$A$1:$I$89,5,0)</f>
        <v>8.4032149714628304</v>
      </c>
      <c r="BF14" s="14">
        <f t="shared" si="37"/>
        <v>3.0226793951108037</v>
      </c>
      <c r="BG14" s="22">
        <f t="shared" si="7"/>
        <v>19.900099355115746</v>
      </c>
      <c r="BH14" s="62">
        <f t="shared" si="8"/>
        <v>290.01121046622688</v>
      </c>
      <c r="BI14" s="62">
        <f ca="1">AVERAGE(OFFSET($BH$3,0,0,'Données projet'!$E$11+1,1))-AVERAGE(OFFSET($H$3,0,0,'Données projet'!$E$11+1,1))</f>
        <v>261.34571165681393</v>
      </c>
      <c r="BJ14" s="62">
        <f t="shared" si="38"/>
        <v>207.9851454455669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</v>
      </c>
      <c r="N15" s="14">
        <f>IF('Données projet'!$A$36&gt;35,N14+M15-V14,IF(A15&lt;'Données projet'!$A$36,$K$205^A15,IF(A15='Données projet'!$A$36,'Données projet'!$B$36,N14+M15-V14)))</f>
        <v>21.231586828514317</v>
      </c>
      <c r="O15" s="14">
        <f>N15*VLOOKUP('Données projet'!$B$9,Paramètres!$A$1:$I$89,3,0)*VLOOKUP('Données projet'!$B$9,Paramètres!$A$1:$I$89,5,0)</f>
        <v>11.868457037139505</v>
      </c>
      <c r="P15" s="14">
        <f t="shared" si="33"/>
        <v>4.1009722899277703</v>
      </c>
      <c r="Q15" s="22">
        <f t="shared" si="2"/>
        <v>27.813422744642168</v>
      </c>
      <c r="R15" s="62">
        <f t="shared" si="0"/>
        <v>299.14675607797551</v>
      </c>
      <c r="S15" s="62">
        <f ca="1">AVERAGE(OFFSET($R$3,0,0,'Données projet'!$E$9+1,1))-AVERAGE(OFFSET($H$3,0,0,'Données projet'!$E$9+1,1))</f>
        <v>374.79806286316051</v>
      </c>
      <c r="T15" s="62">
        <f t="shared" si="34"/>
        <v>350.01856672839466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6.32</v>
      </c>
      <c r="AI15" s="14">
        <f>IF('Données projet'!$A$62&gt;35,AI14+AH15-AQ14,IF(A15&lt;'Données projet'!$A$62,$AF$205^A15,IF(A15='Données projet'!$A$62,'Données projet'!$B$62,AI14+AH15-AQ14)))</f>
        <v>11.359400236914025</v>
      </c>
      <c r="AJ15" s="14">
        <f>AI15*VLOOKUP('Données projet'!$B$10,Paramètres!$A$1:$I$89,3,0)*VLOOKUP('Données projet'!$B$10,Paramètres!$A$1:$I$89,5,0)</f>
        <v>9.037538828488799</v>
      </c>
      <c r="AK15" s="14">
        <f t="shared" si="35"/>
        <v>3.2234281966985612</v>
      </c>
      <c r="AL15" s="22">
        <f t="shared" si="4"/>
        <v>21.354517568867987</v>
      </c>
      <c r="AM15" s="62">
        <f t="shared" si="5"/>
        <v>292.68785090220132</v>
      </c>
      <c r="AN15" s="62">
        <f ca="1">AVERAGE(OFFSET($AM$3,0,0,'Données projet'!$E$10+1,1))-AVERAGE(OFFSET($H$3,0,0,'Données projet'!$E$10+1,1))</f>
        <v>310.15624717801779</v>
      </c>
      <c r="AO15" s="62">
        <f t="shared" si="36"/>
        <v>294.28794439094889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2.0940170940170941</v>
      </c>
      <c r="BD15" s="13">
        <f>IF('Données projet'!$A$88&gt;35,BD14+BC15-BL14,IF(A15&lt;'Données projet'!$A$88,$BA$205^A15,IF(A15='Données projet'!$A$88,'Données projet'!$B$88,BD14+BC15-BL14)))</f>
        <v>15.763664579487328</v>
      </c>
      <c r="BE15" s="14">
        <f>BD15*VLOOKUP('Données projet'!$B$11,Paramètres!$A$1:$I$89,3,0)*VLOOKUP('Données projet'!$B$11,Paramètres!$A$1:$I$89,5,0)</f>
        <v>10.5742661999201</v>
      </c>
      <c r="BF15" s="14">
        <f t="shared" si="37"/>
        <v>3.7032205373175491</v>
      </c>
      <c r="BG15" s="22">
        <f t="shared" si="7"/>
        <v>24.86662273402224</v>
      </c>
      <c r="BH15" s="62">
        <f t="shared" si="8"/>
        <v>296.19995606735557</v>
      </c>
      <c r="BI15" s="62">
        <f ca="1">AVERAGE(OFFSET($BH$3,0,0,'Données projet'!$E$11+1,1))-AVERAGE(OFFSET($H$3,0,0,'Données projet'!$E$11+1,1))</f>
        <v>261.34571165681393</v>
      </c>
      <c r="BJ15" s="62">
        <f t="shared" si="38"/>
        <v>207.9851454455669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</v>
      </c>
      <c r="N16" s="14">
        <f>IF('Données projet'!$A$36&gt;35,N15+M16-V15,IF(A16&lt;'Données projet'!$A$36,$K$205^A16,IF(A16='Données projet'!$A$36,'Données projet'!$B$36,N15+M16-V15)))</f>
        <v>27.388252639673997</v>
      </c>
      <c r="O16" s="14">
        <f>N16*VLOOKUP('Données projet'!$B$9,Paramètres!$A$1:$I$89,3,0)*VLOOKUP('Données projet'!$B$9,Paramètres!$A$1:$I$89,5,0)</f>
        <v>15.310033225577765</v>
      </c>
      <c r="P16" s="14">
        <f t="shared" si="33"/>
        <v>5.1356684205409415</v>
      </c>
      <c r="Q16" s="22">
        <f t="shared" si="2"/>
        <v>35.609597033656748</v>
      </c>
      <c r="R16" s="62">
        <f t="shared" si="0"/>
        <v>308.16515258921231</v>
      </c>
      <c r="S16" s="62">
        <f ca="1">AVERAGE(OFFSET($R$3,0,0,'Données projet'!$E$9+1,1))-AVERAGE(OFFSET($H$3,0,0,'Données projet'!$E$9+1,1))</f>
        <v>374.79806286316051</v>
      </c>
      <c r="T16" s="62">
        <f t="shared" si="34"/>
        <v>350.01856672839466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6.32</v>
      </c>
      <c r="AI16" s="14">
        <f>IF('Données projet'!$A$62&gt;35,AI15+AH16-AQ15,IF(A16&lt;'Données projet'!$A$62,$AF$205^A16,IF(A16='Données projet'!$A$62,'Données projet'!$B$62,AI15+AH16-AQ15)))</f>
        <v>13.909185054203489</v>
      </c>
      <c r="AJ16" s="14">
        <f>AI16*VLOOKUP('Données projet'!$B$10,Paramètres!$A$1:$I$89,3,0)*VLOOKUP('Données projet'!$B$10,Paramètres!$A$1:$I$89,5,0)</f>
        <v>11.066147629124295</v>
      </c>
      <c r="AK16" s="14">
        <f t="shared" si="35"/>
        <v>3.8550262233505381</v>
      </c>
      <c r="AL16" s="22">
        <f t="shared" si="4"/>
        <v>25.987711126393666</v>
      </c>
      <c r="AM16" s="62">
        <f t="shared" si="5"/>
        <v>298.54326668194921</v>
      </c>
      <c r="AN16" s="62">
        <f ca="1">AVERAGE(OFFSET($AM$3,0,0,'Données projet'!$E$10+1,1))-AVERAGE(OFFSET($H$3,0,0,'Données projet'!$E$10+1,1))</f>
        <v>310.15624717801779</v>
      </c>
      <c r="AO16" s="62">
        <f t="shared" si="36"/>
        <v>294.28794439094889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2.0940170940170941</v>
      </c>
      <c r="BD16" s="13">
        <f>IF('Données projet'!$A$88&gt;35,BD15+BC16-BL15,IF(A16&lt;'Données projet'!$A$88,$BA$205^A16,IF(A16='Données projet'!$A$88,'Données projet'!$B$88,BD15+BC16-BL15)))</f>
        <v>19.836358597968047</v>
      </c>
      <c r="BE16" s="14">
        <f>BD16*VLOOKUP('Données projet'!$B$11,Paramètres!$A$1:$I$89,3,0)*VLOOKUP('Données projet'!$B$11,Paramètres!$A$1:$I$89,5,0)</f>
        <v>13.306229347516966</v>
      </c>
      <c r="BF16" s="14">
        <f t="shared" si="37"/>
        <v>4.536982112688718</v>
      </c>
      <c r="BG16" s="22">
        <f t="shared" si="7"/>
        <v>31.076926626524898</v>
      </c>
      <c r="BH16" s="62">
        <f t="shared" si="8"/>
        <v>303.63248218208042</v>
      </c>
      <c r="BI16" s="62">
        <f ca="1">AVERAGE(OFFSET($BH$3,0,0,'Données projet'!$E$11+1,1))-AVERAGE(OFFSET($H$3,0,0,'Données projet'!$E$11+1,1))</f>
        <v>261.34571165681393</v>
      </c>
      <c r="BJ16" s="62">
        <f t="shared" si="38"/>
        <v>207.9851454455669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</v>
      </c>
      <c r="N17" s="14">
        <f>IF('Données projet'!$A$36&gt;35,N16+M17-V16,IF(A17&lt;'Données projet'!$A$36,$K$205^A17,IF(A17='Données projet'!$A$36,'Données projet'!$B$36,N16+M17-V16)))</f>
        <v>35.330208180539429</v>
      </c>
      <c r="O17" s="14">
        <f>N17*VLOOKUP('Données projet'!$B$9,Paramètres!$A$1:$I$89,3,0)*VLOOKUP('Données projet'!$B$9,Paramètres!$A$1:$I$89,5,0)</f>
        <v>19.749586372921542</v>
      </c>
      <c r="P17" s="14">
        <f t="shared" si="33"/>
        <v>6.4314236383699175</v>
      </c>
      <c r="Q17" s="22">
        <f t="shared" si="2"/>
        <v>45.598592436332616</v>
      </c>
      <c r="R17" s="62">
        <f t="shared" si="0"/>
        <v>319.37637021411041</v>
      </c>
      <c r="S17" s="62">
        <f ca="1">AVERAGE(OFFSET($R$3,0,0,'Données projet'!$E$9+1,1))-AVERAGE(OFFSET($H$3,0,0,'Données projet'!$E$9+1,1))</f>
        <v>374.79806286316051</v>
      </c>
      <c r="T17" s="62">
        <f t="shared" si="34"/>
        <v>350.01856672839466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6.32</v>
      </c>
      <c r="AI17" s="14">
        <f>IF('Données projet'!$A$62&gt;35,AI16+AH17-AQ16,IF(A17&lt;'Données projet'!$A$62,$AF$205^A17,IF(A17='Données projet'!$A$62,'Données projet'!$B$62,AI16+AH17-AQ16)))</f>
        <v>17.031306656788409</v>
      </c>
      <c r="AJ17" s="14">
        <f>AI17*VLOOKUP('Données projet'!$B$10,Paramètres!$A$1:$I$89,3,0)*VLOOKUP('Données projet'!$B$10,Paramètres!$A$1:$I$89,5,0)</f>
        <v>13.550107576140858</v>
      </c>
      <c r="AK17" s="14">
        <f t="shared" si="35"/>
        <v>4.6103794705094376</v>
      </c>
      <c r="AL17" s="22">
        <f t="shared" si="4"/>
        <v>31.629514939582602</v>
      </c>
      <c r="AM17" s="62">
        <f t="shared" si="5"/>
        <v>305.40729271736035</v>
      </c>
      <c r="AN17" s="62">
        <f ca="1">AVERAGE(OFFSET($AM$3,0,0,'Données projet'!$E$10+1,1))-AVERAGE(OFFSET($H$3,0,0,'Données projet'!$E$10+1,1))</f>
        <v>310.15624717801779</v>
      </c>
      <c r="AO17" s="62">
        <f t="shared" si="36"/>
        <v>294.28794439094889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2.0940170940170941</v>
      </c>
      <c r="BD17" s="13">
        <f>IF('Données projet'!$A$88&gt;35,BD16+BC17-BL16,IF(A17&lt;'Données projet'!$A$88,$BA$205^A17,IF(A17='Données projet'!$A$88,'Données projet'!$B$88,BD16+BC17-BL16)))</f>
        <v>24.961272199308482</v>
      </c>
      <c r="BE17" s="14">
        <f>BD17*VLOOKUP('Données projet'!$B$11,Paramètres!$A$1:$I$89,3,0)*VLOOKUP('Données projet'!$B$11,Paramètres!$A$1:$I$89,5,0)</f>
        <v>16.74402139129613</v>
      </c>
      <c r="BF17" s="14">
        <f t="shared" si="37"/>
        <v>5.5584609351317997</v>
      </c>
      <c r="BG17" s="22">
        <f t="shared" si="7"/>
        <v>38.84349005186197</v>
      </c>
      <c r="BH17" s="62">
        <f t="shared" si="8"/>
        <v>312.62126782963975</v>
      </c>
      <c r="BI17" s="62">
        <f ca="1">AVERAGE(OFFSET($BH$3,0,0,'Données projet'!$E$11+1,1))-AVERAGE(OFFSET($H$3,0,0,'Données projet'!$E$11+1,1))</f>
        <v>261.34571165681393</v>
      </c>
      <c r="BJ17" s="62">
        <f t="shared" si="38"/>
        <v>207.9851454455669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10</v>
      </c>
      <c r="N18" s="14">
        <f>IF('Données projet'!$A$36&gt;35,N17+M18-V17,IF(A18&lt;'Données projet'!$A$36,$K$205^A18,IF(A18='Données projet'!$A$36,'Données projet'!$B$36,N17+M18-V17)))</f>
        <v>45.575145902959399</v>
      </c>
      <c r="O18" s="14">
        <f>N18*VLOOKUP('Données projet'!$B$9,Paramètres!$A$1:$I$89,3,0)*VLOOKUP('Données projet'!$B$9,Paramètres!$A$1:$I$89,5,0)</f>
        <v>25.476506559754306</v>
      </c>
      <c r="P18" s="14">
        <f t="shared" si="33"/>
        <v>8.0541044765944179</v>
      </c>
      <c r="Q18" s="22">
        <f t="shared" si="2"/>
        <v>58.399147554974014</v>
      </c>
      <c r="R18" s="62">
        <f t="shared" si="0"/>
        <v>333.39914755497404</v>
      </c>
      <c r="S18" s="62">
        <f ca="1">AVERAGE(OFFSET($R$3,0,0,'Données projet'!$E$9+1,1))-AVERAGE(OFFSET($H$3,0,0,'Données projet'!$E$9+1,1))</f>
        <v>374.79806286316051</v>
      </c>
      <c r="T18" s="62">
        <f t="shared" si="34"/>
        <v>350.01856672839466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6.32</v>
      </c>
      <c r="AI18" s="14">
        <f>IF('Données projet'!$A$62&gt;35,AI17+AH18-AQ17,IF(A18&lt;'Données projet'!$A$62,$AF$205^A18,IF(A18='Données projet'!$A$62,'Données projet'!$B$62,AI17+AH18-AQ17)))</f>
        <v>20.854234472198975</v>
      </c>
      <c r="AJ18" s="14">
        <f>AI18*VLOOKUP('Données projet'!$B$10,Paramètres!$A$1:$I$89,3,0)*VLOOKUP('Données projet'!$B$10,Paramètres!$A$1:$I$89,5,0)</f>
        <v>16.591628946081503</v>
      </c>
      <c r="AK18" s="14">
        <f t="shared" si="35"/>
        <v>5.5137365171075023</v>
      </c>
      <c r="AL18" s="22">
        <f t="shared" si="4"/>
        <v>38.500178181720848</v>
      </c>
      <c r="AM18" s="62">
        <f t="shared" si="5"/>
        <v>313.50017818172086</v>
      </c>
      <c r="AN18" s="62">
        <f ca="1">AVERAGE(OFFSET($AM$3,0,0,'Données projet'!$E$10+1,1))-AVERAGE(OFFSET($H$3,0,0,'Données projet'!$E$10+1,1))</f>
        <v>310.15624717801779</v>
      </c>
      <c r="AO18" s="62">
        <f t="shared" si="36"/>
        <v>294.28794439094889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31.410256410256409</v>
      </c>
      <c r="BB18" s="13">
        <f>VLOOKUP(A18,'Données projet'!$A$87:$I$107,9,0)</f>
        <v>2.0940170940170941</v>
      </c>
      <c r="BC18" s="13">
        <f t="array" ref="BC18">INDEX(BB:BB,MIN(IF(ISNUMBER(BB18:BB214),ROW(BB18:BB214),"")))</f>
        <v>2.0940170940170941</v>
      </c>
      <c r="BD18" s="13">
        <f>IF('Données projet'!$A$88&gt;35,BD17+BC18-BL17,IF(A18&lt;'Données projet'!$A$88,$BA$205^A18,IF(A18='Données projet'!$A$88,'Données projet'!$B$88,BD17+BC18-BL17)))</f>
        <v>31.410256410256409</v>
      </c>
      <c r="BE18" s="14">
        <f>BD18*VLOOKUP('Données projet'!$B$11,Paramètres!$A$1:$I$89,3,0)*VLOOKUP('Données projet'!$B$11,Paramètres!$A$1:$I$89,5,0)</f>
        <v>21.07</v>
      </c>
      <c r="BF18" s="14">
        <f t="shared" si="37"/>
        <v>6.8099206036050086</v>
      </c>
      <c r="BG18" s="22">
        <f t="shared" si="7"/>
        <v>48.557528384612056</v>
      </c>
      <c r="BH18" s="62">
        <f t="shared" si="8"/>
        <v>323.55752838461206</v>
      </c>
      <c r="BI18" s="62">
        <f ca="1">AVERAGE(OFFSET($BH$3,0,0,'Données projet'!$E$11+1,1))-AVERAGE(OFFSET($H$3,0,0,'Données projet'!$E$11+1,1))</f>
        <v>261.34571165681393</v>
      </c>
      <c r="BJ18" s="62">
        <f t="shared" si="38"/>
        <v>207.9851454455669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10</v>
      </c>
      <c r="N19" s="14">
        <f>IF('Données projet'!$A$36&gt;35,N18+M19-V18,IF(A19&lt;'Données projet'!$A$36,$K$205^A19,IF(A19='Données projet'!$A$36,'Données projet'!$B$36,N18+M19-V18)))</f>
        <v>58.790877015554649</v>
      </c>
      <c r="O19" s="14">
        <f>N19*VLOOKUP('Données projet'!$B$9,Paramètres!$A$1:$I$89,3,0)*VLOOKUP('Données projet'!$B$9,Paramètres!$A$1:$I$89,5,0)</f>
        <v>32.864100251695049</v>
      </c>
      <c r="P19" s="14">
        <f t="shared" si="33"/>
        <v>10.086195929139501</v>
      </c>
      <c r="Q19" s="22">
        <f t="shared" si="2"/>
        <v>74.805099181620164</v>
      </c>
      <c r="R19" s="62">
        <f t="shared" si="0"/>
        <v>351.02732140384239</v>
      </c>
      <c r="S19" s="62">
        <f ca="1">AVERAGE(OFFSET($R$3,0,0,'Données projet'!$E$9+1,1))-AVERAGE(OFFSET($H$3,0,0,'Données projet'!$E$9+1,1))</f>
        <v>374.79806286316051</v>
      </c>
      <c r="T19" s="62">
        <f t="shared" si="34"/>
        <v>350.01856672839466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6.32</v>
      </c>
      <c r="AI19" s="14">
        <f>IF('Données projet'!$A$62&gt;35,AI18+AH19-AQ18,IF(A19&lt;'Données projet'!$A$62,$AF$205^A19,IF(A19='Données projet'!$A$62,'Données projet'!$B$62,AI18+AH19-AQ18)))</f>
        <v>25.535274784574924</v>
      </c>
      <c r="AJ19" s="14">
        <f>AI19*VLOOKUP('Données projet'!$B$10,Paramètres!$A$1:$I$89,3,0)*VLOOKUP('Données projet'!$B$10,Paramètres!$A$1:$I$89,5,0)</f>
        <v>20.315864618607812</v>
      </c>
      <c r="AK19" s="14">
        <f t="shared" si="35"/>
        <v>6.5940972049152169</v>
      </c>
      <c r="AL19" s="22">
        <f t="shared" si="4"/>
        <v>46.868183509302604</v>
      </c>
      <c r="AM19" s="62">
        <f t="shared" si="5"/>
        <v>323.09040573152481</v>
      </c>
      <c r="AN19" s="62">
        <f ca="1">AVERAGE(OFFSET($AM$3,0,0,'Données projet'!$E$10+1,1))-AVERAGE(OFFSET($H$3,0,0,'Données projet'!$E$10+1,1))</f>
        <v>310.15624717801779</v>
      </c>
      <c r="AO19" s="62">
        <f t="shared" si="36"/>
        <v>294.28794439094889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6.2820512820512819</v>
      </c>
      <c r="BD19" s="13">
        <f>IF('Données projet'!$A$88&gt;35,BD18+BC19-BL18,IF(A19&lt;'Données projet'!$A$88,$BA$205^A19,IF(A19='Données projet'!$A$88,'Données projet'!$B$88,BD18+BC19-BL18)))</f>
        <v>37.692307692307693</v>
      </c>
      <c r="BE19" s="14">
        <f>BD19*VLOOKUP('Données projet'!$B$11,Paramètres!$A$1:$I$89,3,0)*VLOOKUP('Données projet'!$B$11,Paramètres!$A$1:$I$89,5,0)</f>
        <v>25.284000000000002</v>
      </c>
      <c r="BF19" s="14">
        <f t="shared" si="37"/>
        <v>8.0003059834643206</v>
      </c>
      <c r="BG19" s="22">
        <f t="shared" si="7"/>
        <v>57.970166254533687</v>
      </c>
      <c r="BH19" s="62">
        <f t="shared" si="8"/>
        <v>334.19238847675592</v>
      </c>
      <c r="BI19" s="62">
        <f ca="1">AVERAGE(OFFSET($BH$3,0,0,'Données projet'!$E$11+1,1))-AVERAGE(OFFSET($H$3,0,0,'Données projet'!$E$11+1,1))</f>
        <v>261.34571165681393</v>
      </c>
      <c r="BJ19" s="62">
        <f t="shared" si="38"/>
        <v>207.9851454455669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10</v>
      </c>
      <c r="N20" s="14">
        <f>IF('Données projet'!$A$36&gt;35,N19+M20-V19,IF(A20&lt;'Données projet'!$A$36,$K$205^A20,IF(A20='Données projet'!$A$36,'Données projet'!$B$36,N19+M20-V19)))</f>
        <v>75.838862427725871</v>
      </c>
      <c r="O20" s="14">
        <f>N20*VLOOKUP('Données projet'!$B$9,Paramètres!$A$1:$I$89,3,0)*VLOOKUP('Données projet'!$B$9,Paramètres!$A$1:$I$89,5,0)</f>
        <v>42.393924097098761</v>
      </c>
      <c r="P20" s="14">
        <f t="shared" si="33"/>
        <v>12.630994372698538</v>
      </c>
      <c r="Q20" s="22">
        <f t="shared" si="2"/>
        <v>95.835066334896965</v>
      </c>
      <c r="R20" s="62">
        <f t="shared" si="0"/>
        <v>373.27951077934142</v>
      </c>
      <c r="S20" s="62">
        <f ca="1">AVERAGE(OFFSET($R$3,0,0,'Données projet'!$E$9+1,1))-AVERAGE(OFFSET($H$3,0,0,'Données projet'!$E$9+1,1))</f>
        <v>374.79806286316051</v>
      </c>
      <c r="T20" s="62">
        <f t="shared" si="34"/>
        <v>350.01856672839466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6.32</v>
      </c>
      <c r="AI20" s="14">
        <f>IF('Données projet'!$A$62&gt;35,AI19+AH20-AQ19,IF(A20&lt;'Données projet'!$A$62,$AF$205^A20,IF(A20='Données projet'!$A$62,'Données projet'!$B$62,AI19+AH20-AQ19)))</f>
        <v>31.267043592178069</v>
      </c>
      <c r="AJ20" s="14">
        <f>AI20*VLOOKUP('Données projet'!$B$10,Paramètres!$A$1:$I$89,3,0)*VLOOKUP('Données projet'!$B$10,Paramètres!$A$1:$I$89,5,0)</f>
        <v>24.876059881936875</v>
      </c>
      <c r="AK20" s="14">
        <f t="shared" si="35"/>
        <v>7.8861436002533765</v>
      </c>
      <c r="AL20" s="22">
        <f t="shared" si="4"/>
        <v>57.06083773148135</v>
      </c>
      <c r="AM20" s="62">
        <f t="shared" si="5"/>
        <v>334.5052821759258</v>
      </c>
      <c r="AN20" s="62">
        <f ca="1">AVERAGE(OFFSET($AM$3,0,0,'Données projet'!$E$10+1,1))-AVERAGE(OFFSET($H$3,0,0,'Données projet'!$E$10+1,1))</f>
        <v>310.15624717801779</v>
      </c>
      <c r="AO20" s="62">
        <f t="shared" si="36"/>
        <v>294.28794439094889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6.2820512820512819</v>
      </c>
      <c r="BD20" s="13">
        <f>IF('Données projet'!$A$88&gt;35,BD19+BC20-BL19,IF(A20&lt;'Données projet'!$A$88,$BA$205^A20,IF(A20='Données projet'!$A$88,'Données projet'!$B$88,BD19+BC20-BL19)))</f>
        <v>43.974358974358978</v>
      </c>
      <c r="BE20" s="14">
        <f>BD20*VLOOKUP('Données projet'!$B$11,Paramètres!$A$1:$I$89,3,0)*VLOOKUP('Données projet'!$B$11,Paramètres!$A$1:$I$89,5,0)</f>
        <v>29.498000000000005</v>
      </c>
      <c r="BF20" s="14">
        <f t="shared" si="37"/>
        <v>9.1677081835777017</v>
      </c>
      <c r="BG20" s="22">
        <f t="shared" si="7"/>
        <v>67.342775086397836</v>
      </c>
      <c r="BH20" s="62">
        <f t="shared" si="8"/>
        <v>344.78721953084232</v>
      </c>
      <c r="BI20" s="62">
        <f ca="1">AVERAGE(OFFSET($BH$3,0,0,'Données projet'!$E$11+1,1))-AVERAGE(OFFSET($H$3,0,0,'Données projet'!$E$11+1,1))</f>
        <v>261.34571165681393</v>
      </c>
      <c r="BJ20" s="62">
        <f t="shared" si="38"/>
        <v>207.9851454455669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10</v>
      </c>
      <c r="N21" s="14">
        <f>IF('Données projet'!$A$36&gt;35,N20+M21-V20,IF(A21&lt;'Données projet'!$A$36,$K$205^A21,IF(A21='Données projet'!$A$36,'Données projet'!$B$36,N20+M21-V20)))</f>
        <v>97.830366653823091</v>
      </c>
      <c r="O21" s="14">
        <f>N21*VLOOKUP('Données projet'!$B$9,Paramètres!$A$1:$I$89,3,0)*VLOOKUP('Données projet'!$B$9,Paramètres!$A$1:$I$89,5,0)</f>
        <v>54.687174959487109</v>
      </c>
      <c r="P21" s="14">
        <f t="shared" si="33"/>
        <v>15.817858384271306</v>
      </c>
      <c r="Q21" s="22">
        <f t="shared" si="2"/>
        <v>122.79626640704589</v>
      </c>
      <c r="R21" s="62">
        <f t="shared" si="0"/>
        <v>401.46293307371258</v>
      </c>
      <c r="S21" s="62">
        <f ca="1">AVERAGE(OFFSET($R$3,0,0,'Données projet'!$E$9+1,1))-AVERAGE(OFFSET($H$3,0,0,'Données projet'!$E$9+1,1))</f>
        <v>374.79806286316051</v>
      </c>
      <c r="T21" s="62">
        <f t="shared" si="34"/>
        <v>350.01856672839466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6.32</v>
      </c>
      <c r="AI21" s="14">
        <f>IF('Données projet'!$A$62&gt;35,AI20+AH21-AQ20,IF(A21&lt;'Données projet'!$A$62,$AF$205^A21,IF(A21='Données projet'!$A$62,'Données projet'!$B$62,AI20+AH21-AQ20)))</f>
        <v>38.285392393181475</v>
      </c>
      <c r="AJ21" s="14">
        <f>AI21*VLOOKUP('Données projet'!$B$10,Paramètres!$A$1:$I$89,3,0)*VLOOKUP('Données projet'!$B$10,Paramètres!$A$1:$I$89,5,0)</f>
        <v>30.459858188015183</v>
      </c>
      <c r="AK21" s="14">
        <f t="shared" si="35"/>
        <v>9.431353368200293</v>
      </c>
      <c r="AL21" s="22">
        <f t="shared" si="4"/>
        <v>69.477193460408614</v>
      </c>
      <c r="AM21" s="62">
        <f t="shared" si="5"/>
        <v>348.1438601270753</v>
      </c>
      <c r="AN21" s="62">
        <f ca="1">AVERAGE(OFFSET($AM$3,0,0,'Données projet'!$E$10+1,1))-AVERAGE(OFFSET($H$3,0,0,'Données projet'!$E$10+1,1))</f>
        <v>310.15624717801779</v>
      </c>
      <c r="AO21" s="62">
        <f t="shared" si="36"/>
        <v>294.28794439094889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6.2820512820512819</v>
      </c>
      <c r="BD21" s="13">
        <f>IF('Données projet'!$A$88&gt;35,BD20+BC21-BL20,IF(A21&lt;'Données projet'!$A$88,$BA$205^A21,IF(A21='Données projet'!$A$88,'Données projet'!$B$88,BD20+BC21-BL20)))</f>
        <v>50.256410256410263</v>
      </c>
      <c r="BE21" s="14">
        <f>BD21*VLOOKUP('Données projet'!$B$11,Paramètres!$A$1:$I$89,3,0)*VLOOKUP('Données projet'!$B$11,Paramètres!$A$1:$I$89,5,0)</f>
        <v>33.712000000000003</v>
      </c>
      <c r="BF21" s="14">
        <f t="shared" si="37"/>
        <v>10.315789350263621</v>
      </c>
      <c r="BG21" s="22">
        <f t="shared" si="7"/>
        <v>76.681733118375817</v>
      </c>
      <c r="BH21" s="62">
        <f t="shared" si="8"/>
        <v>355.34839978504249</v>
      </c>
      <c r="BI21" s="62">
        <f ca="1">AVERAGE(OFFSET($BH$3,0,0,'Données projet'!$E$11+1,1))-AVERAGE(OFFSET($H$3,0,0,'Données projet'!$E$11+1,1))</f>
        <v>261.34571165681393</v>
      </c>
      <c r="BJ21" s="62">
        <f t="shared" si="38"/>
        <v>207.9851454455669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10</v>
      </c>
      <c r="N22" s="14">
        <f>IF('Données projet'!$A$36&gt;35,N21+M22-V21,IF(A22&lt;'Données projet'!$A$36,$K$205^A22,IF(A22='Données projet'!$A$36,'Données projet'!$B$36,N21+M22-V21)))</f>
        <v>126.1988950420027</v>
      </c>
      <c r="O22" s="14">
        <f>N22*VLOOKUP('Données projet'!$B$9,Paramètres!$A$1:$I$89,3,0)*VLOOKUP('Données projet'!$B$9,Paramètres!$A$1:$I$89,5,0)</f>
        <v>70.545182328479513</v>
      </c>
      <c r="P22" s="14">
        <f t="shared" si="33"/>
        <v>19.808784366626785</v>
      </c>
      <c r="Q22" s="22">
        <f t="shared" si="2"/>
        <v>157.36649199397678</v>
      </c>
      <c r="R22" s="62">
        <f t="shared" si="0"/>
        <v>437.25538088286567</v>
      </c>
      <c r="S22" s="62">
        <f ca="1">AVERAGE(OFFSET($R$3,0,0,'Données projet'!$E$9+1,1))-AVERAGE(OFFSET($H$3,0,0,'Données projet'!$E$9+1,1))</f>
        <v>374.79806286316051</v>
      </c>
      <c r="T22" s="62">
        <f t="shared" si="34"/>
        <v>350.01856672839466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6.32</v>
      </c>
      <c r="AI22" s="14">
        <f>IF('Données projet'!$A$62&gt;35,AI21+AH22-AQ21,IF(A22&lt;'Données projet'!$A$62,$AF$205^A22,IF(A22='Données projet'!$A$62,'Données projet'!$B$62,AI21+AH22-AQ21)))</f>
        <v>46.879113030902715</v>
      </c>
      <c r="AJ22" s="14">
        <f>AI22*VLOOKUP('Données projet'!$B$10,Paramètres!$A$1:$I$89,3,0)*VLOOKUP('Données projet'!$B$10,Paramètres!$A$1:$I$89,5,0)</f>
        <v>37.297022327386202</v>
      </c>
      <c r="AK22" s="14">
        <f t="shared" si="35"/>
        <v>11.279331301170469</v>
      </c>
      <c r="AL22" s="22">
        <f t="shared" si="4"/>
        <v>84.603815903069531</v>
      </c>
      <c r="AM22" s="62">
        <f t="shared" si="5"/>
        <v>364.49270479195837</v>
      </c>
      <c r="AN22" s="62">
        <f ca="1">AVERAGE(OFFSET($AM$3,0,0,'Données projet'!$E$10+1,1))-AVERAGE(OFFSET($H$3,0,0,'Données projet'!$E$10+1,1))</f>
        <v>310.15624717801779</v>
      </c>
      <c r="AO22" s="62">
        <f t="shared" si="36"/>
        <v>294.28794439094889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6.2820512820512819</v>
      </c>
      <c r="BD22" s="13">
        <f>IF('Données projet'!$A$88&gt;35,BD21+BC22-BL21,IF(A22&lt;'Données projet'!$A$88,$BA$205^A22,IF(A22='Données projet'!$A$88,'Données projet'!$B$88,BD21+BC22-BL21)))</f>
        <v>56.538461538461547</v>
      </c>
      <c r="BE22" s="14">
        <f>BD22*VLOOKUP('Données projet'!$B$11,Paramètres!$A$1:$I$89,3,0)*VLOOKUP('Données projet'!$B$11,Paramètres!$A$1:$I$89,5,0)</f>
        <v>37.926000000000009</v>
      </c>
      <c r="BF22" s="14">
        <f t="shared" si="37"/>
        <v>11.447241207652395</v>
      </c>
      <c r="BG22" s="22">
        <f t="shared" si="7"/>
        <v>85.991728436661276</v>
      </c>
      <c r="BH22" s="62">
        <f t="shared" si="8"/>
        <v>365.88061732555013</v>
      </c>
      <c r="BI22" s="62">
        <f ca="1">AVERAGE(OFFSET($BH$3,0,0,'Données projet'!$E$11+1,1))-AVERAGE(OFFSET($H$3,0,0,'Données projet'!$E$11+1,1))</f>
        <v>261.34571165681393</v>
      </c>
      <c r="BJ22" s="62">
        <f t="shared" si="38"/>
        <v>207.9851454455669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10</v>
      </c>
      <c r="N23" s="14">
        <f>IF('Données projet'!$A$36&gt;35,N22+M23-V22,IF(A23&lt;'Données projet'!$A$36,$K$205^A23,IF(A23='Données projet'!$A$36,'Données projet'!$B$36,N22+M23-V22)))</f>
        <v>162.79363611278094</v>
      </c>
      <c r="O23" s="14">
        <f>N23*VLOOKUP('Données projet'!$B$9,Paramètres!$A$1:$I$89,3,0)*VLOOKUP('Données projet'!$B$9,Paramètres!$A$1:$I$89,5,0)</f>
        <v>91.001642587044557</v>
      </c>
      <c r="P23" s="14">
        <f t="shared" si="33"/>
        <v>24.806641237456894</v>
      </c>
      <c r="Q23" s="22">
        <f t="shared" si="2"/>
        <v>201.69942766100667</v>
      </c>
      <c r="R23" s="62">
        <f t="shared" si="0"/>
        <v>482.81053877211781</v>
      </c>
      <c r="S23" s="62">
        <f ca="1">AVERAGE(OFFSET($R$3,0,0,'Données projet'!$E$9+1,1))-AVERAGE(OFFSET($H$3,0,0,'Données projet'!$E$9+1,1))</f>
        <v>374.79806286316051</v>
      </c>
      <c r="T23" s="62">
        <f t="shared" si="34"/>
        <v>350.01856672839466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6.32</v>
      </c>
      <c r="AI23" s="14">
        <f>IF('Données projet'!$A$62&gt;35,AI22+AH23-AQ22,IF(A23&lt;'Données projet'!$A$62,$AF$205^A23,IF(A23='Données projet'!$A$62,'Données projet'!$B$62,AI22+AH23-AQ22)))</f>
        <v>57.401820934596145</v>
      </c>
      <c r="AJ23" s="14">
        <f>AI23*VLOOKUP('Données projet'!$B$10,Paramètres!$A$1:$I$89,3,0)*VLOOKUP('Données projet'!$B$10,Paramètres!$A$1:$I$89,5,0)</f>
        <v>45.668888735564693</v>
      </c>
      <c r="AK23" s="14">
        <f t="shared" si="35"/>
        <v>13.489401746998775</v>
      </c>
      <c r="AL23" s="22">
        <f t="shared" si="4"/>
        <v>103.0340225904647</v>
      </c>
      <c r="AM23" s="62">
        <f t="shared" si="5"/>
        <v>384.14513370157584</v>
      </c>
      <c r="AN23" s="62">
        <f ca="1">AVERAGE(OFFSET($AM$3,0,0,'Données projet'!$E$10+1,1))-AVERAGE(OFFSET($H$3,0,0,'Données projet'!$E$10+1,1))</f>
        <v>310.15624717801779</v>
      </c>
      <c r="AO23" s="62">
        <f t="shared" si="36"/>
        <v>294.28794439094889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62.820512820512818</v>
      </c>
      <c r="BB23" s="13">
        <f>VLOOKUP(A23,'Données projet'!$A$87:$I$107,9,0)</f>
        <v>6.2820512820512819</v>
      </c>
      <c r="BC23" s="13">
        <f t="array" ref="BC23">INDEX(BB:BB,MIN(IF(ISNUMBER(BB23:BB219),ROW(BB23:BB219),"")))</f>
        <v>6.2820512820512819</v>
      </c>
      <c r="BD23" s="13">
        <f>IF('Données projet'!$A$88&gt;35,BD22+BC23-BL22,IF(A23&lt;'Données projet'!$A$88,$BA$205^A23,IF(A23='Données projet'!$A$88,'Données projet'!$B$88,BD22+BC23-BL22)))</f>
        <v>62.820512820512832</v>
      </c>
      <c r="BE23" s="14">
        <f>BD23*VLOOKUP('Données projet'!$B$11,Paramètres!$A$1:$I$89,3,0)*VLOOKUP('Données projet'!$B$11,Paramètres!$A$1:$I$89,5,0)</f>
        <v>42.140000000000008</v>
      </c>
      <c r="BF23" s="14">
        <f t="shared" si="37"/>
        <v>12.564122227768271</v>
      </c>
      <c r="BG23" s="22">
        <f t="shared" si="7"/>
        <v>95.276346213363084</v>
      </c>
      <c r="BH23" s="62">
        <f t="shared" si="8"/>
        <v>376.38745732447421</v>
      </c>
      <c r="BI23" s="62">
        <f ca="1">AVERAGE(OFFSET($BH$3,0,0,'Données projet'!$E$11+1,1))-AVERAGE(OFFSET($H$3,0,0,'Données projet'!$E$11+1,1))</f>
        <v>261.34571165681393</v>
      </c>
      <c r="BJ23" s="62">
        <f t="shared" si="38"/>
        <v>207.9851454455669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17.307692307692307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>
        <f>VLOOKUP(A24,'Données projet'!$A$35:$I$55,2,0)</f>
        <v>210</v>
      </c>
      <c r="L24" s="13">
        <f>VLOOKUP(A24,'Données projet'!$A$35:$I$55,9,0)</f>
        <v>10</v>
      </c>
      <c r="M24" s="13">
        <f t="array" ref="M24">INDEX(L:L,MIN(IF(ISNUMBER(L24:L220),ROW(L24:L220),"")))</f>
        <v>10</v>
      </c>
      <c r="N24" s="14">
        <f>IF('Données projet'!$A$36&gt;35,N23+M24-V23,IF(A24&lt;'Données projet'!$A$36,$K$205^A24,IF(A24='Données projet'!$A$36,'Données projet'!$B$36,N23+M24-V23)))</f>
        <v>210</v>
      </c>
      <c r="O24" s="14">
        <f>N24*VLOOKUP('Données projet'!$B$9,Paramètres!$A$1:$I$89,3,0)*VLOOKUP('Données projet'!$B$9,Paramètres!$A$1:$I$89,5,0)</f>
        <v>117.39</v>
      </c>
      <c r="P24" s="14">
        <f t="shared" si="33"/>
        <v>31.065482772413461</v>
      </c>
      <c r="Q24" s="22">
        <f t="shared" si="2"/>
        <v>258.55996582862014</v>
      </c>
      <c r="R24" s="62">
        <f t="shared" si="0"/>
        <v>540.89329916195345</v>
      </c>
      <c r="S24" s="62">
        <f ca="1">AVERAGE(OFFSET($R$3,0,0,'Données projet'!$E$9+1,1))-AVERAGE(OFFSET($H$3,0,0,'Données projet'!$E$9+1,1))</f>
        <v>374.79806286316051</v>
      </c>
      <c r="T24" s="62">
        <f t="shared" si="34"/>
        <v>350.01856672839466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63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0.27500000000000002</v>
      </c>
      <c r="Y24" s="17">
        <f>IF(ISNA(VLOOKUP(A24,'Données projet'!$A$35:$I$55,7,0)),0%,VLOOKUP(A24,'Données projet'!$A$35:$I$55,7,0))</f>
        <v>0.5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12.796760722565436</v>
      </c>
      <c r="AB24" s="23">
        <f>EXP(-LN(2)/2)*AB23+(1-EXP(-LN(2)/2))/(LN(2)/2)*V24*Y24*VLOOKUP('Données projet'!$B$9,Paramètres!$A$1:$I$89,3,0)*0.475*44/12</f>
        <v>19.936912410994776</v>
      </c>
      <c r="AC24" s="24">
        <f t="shared" si="3"/>
        <v>32.73367313356021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6.32</v>
      </c>
      <c r="AI24" s="14">
        <f>IF('Données projet'!$A$62&gt;35,AI23+AH24-AQ23,IF(A24&lt;'Données projet'!$A$62,$AF$205^A24,IF(A24='Données projet'!$A$62,'Données projet'!$B$62,AI23+AH24-AQ23)))</f>
        <v>70.28650572879647</v>
      </c>
      <c r="AJ24" s="14">
        <f>AI24*VLOOKUP('Données projet'!$B$10,Paramètres!$A$1:$I$89,3,0)*VLOOKUP('Données projet'!$B$10,Paramètres!$A$1:$I$89,5,0)</f>
        <v>55.919943957830476</v>
      </c>
      <c r="AK24" s="14">
        <f t="shared" si="35"/>
        <v>16.132513057139388</v>
      </c>
      <c r="AL24" s="22">
        <f t="shared" si="4"/>
        <v>125.49136263440583</v>
      </c>
      <c r="AM24" s="62">
        <f t="shared" si="5"/>
        <v>407.82469596773916</v>
      </c>
      <c r="AN24" s="62">
        <f ca="1">AVERAGE(OFFSET($AM$3,0,0,'Données projet'!$E$10+1,1))-AVERAGE(OFFSET($H$3,0,0,'Données projet'!$E$10+1,1))</f>
        <v>310.15624717801779</v>
      </c>
      <c r="AO24" s="62">
        <f t="shared" si="36"/>
        <v>294.28794439094889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6.9230769230769225</v>
      </c>
      <c r="BD24" s="13">
        <f>IF('Données projet'!$A$88&gt;35,BD23+BC24-BL23,IF(A24&lt;'Données projet'!$A$88,$BA$205^A24,IF(A24='Données projet'!$A$88,'Données projet'!$B$88,BD23+BC24-BL23)))</f>
        <v>52.435897435897445</v>
      </c>
      <c r="BE24" s="14">
        <f>BD24*VLOOKUP('Données projet'!$B$11,Paramètres!$A$1:$I$89,3,0)*VLOOKUP('Données projet'!$B$11,Paramètres!$A$1:$I$89,5,0)</f>
        <v>35.174000000000007</v>
      </c>
      <c r="BF24" s="14">
        <f t="shared" si="37"/>
        <v>10.710102108349531</v>
      </c>
      <c r="BG24" s="22">
        <f t="shared" si="7"/>
        <v>79.914811172042121</v>
      </c>
      <c r="BH24" s="62">
        <f t="shared" si="8"/>
        <v>362.24814450537542</v>
      </c>
      <c r="BI24" s="62">
        <f ca="1">AVERAGE(OFFSET($BH$3,0,0,'Données projet'!$E$11+1,1))-AVERAGE(OFFSET($H$3,0,0,'Données projet'!$E$11+1,1))</f>
        <v>261.34571165681393</v>
      </c>
      <c r="BJ24" s="62">
        <f t="shared" si="38"/>
        <v>207.9851454455669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19</v>
      </c>
      <c r="N25" s="14">
        <f>IF('Données projet'!$A$36&gt;35,N24+M25-V24,IF(A25&lt;'Données projet'!$A$36,$K$205^A25,IF(A25='Données projet'!$A$36,'Données projet'!$B$36,N24+M25-V24)))</f>
        <v>166</v>
      </c>
      <c r="O25" s="14">
        <f>N25*VLOOKUP('Données projet'!$B$9,Paramètres!$A$1:$I$89,3,0)*VLOOKUP('Données projet'!$B$9,Paramètres!$A$1:$I$89,5,0)</f>
        <v>92.793999999999997</v>
      </c>
      <c r="P25" s="14">
        <f t="shared" si="33"/>
        <v>25.237866858098691</v>
      </c>
      <c r="Q25" s="22">
        <f t="shared" si="2"/>
        <v>205.57216811118852</v>
      </c>
      <c r="R25" s="62">
        <f t="shared" si="0"/>
        <v>489.12772366674403</v>
      </c>
      <c r="S25" s="62">
        <f ca="1">AVERAGE(OFFSET($R$3,0,0,'Données projet'!$E$9+1,1))-AVERAGE(OFFSET($H$3,0,0,'Données projet'!$E$9+1,1))</f>
        <v>374.79806286316051</v>
      </c>
      <c r="T25" s="62">
        <f t="shared" si="34"/>
        <v>350.01856672839466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12.446832627654485</v>
      </c>
      <c r="AB25" s="23">
        <f>EXP(-LN(2)/2)*AB24+(1-EXP(-LN(2)/2))/(LN(2)/2)*V25*Y25*VLOOKUP('Données projet'!$B$9,Paramètres!$A$1:$I$89,3,0)*0.475*44/12</f>
        <v>14.097525961736647</v>
      </c>
      <c r="AC25" s="24">
        <f t="shared" si="3"/>
        <v>26.54435858939113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6.32</v>
      </c>
      <c r="AI25" s="14">
        <f>IF('Données projet'!$A$62&gt;35,AI24+AH25-AQ24,IF(A25&lt;'Données projet'!$A$62,$AF$205^A25,IF(A25='Données projet'!$A$62,'Données projet'!$B$62,AI24+AH25-AQ24)))</f>
        <v>86.063347941400892</v>
      </c>
      <c r="AJ25" s="14">
        <f>AI25*VLOOKUP('Données projet'!$B$10,Paramètres!$A$1:$I$89,3,0)*VLOOKUP('Données projet'!$B$10,Paramètres!$A$1:$I$89,5,0)</f>
        <v>68.471999622178558</v>
      </c>
      <c r="AK25" s="14">
        <f t="shared" si="35"/>
        <v>19.293515192152764</v>
      </c>
      <c r="AL25" s="22">
        <f t="shared" si="4"/>
        <v>152.8582716349604</v>
      </c>
      <c r="AM25" s="62">
        <f t="shared" si="5"/>
        <v>436.41382719051592</v>
      </c>
      <c r="AN25" s="62">
        <f ca="1">AVERAGE(OFFSET($AM$3,0,0,'Données projet'!$E$10+1,1))-AVERAGE(OFFSET($H$3,0,0,'Données projet'!$E$10+1,1))</f>
        <v>310.15624717801779</v>
      </c>
      <c r="AO25" s="62">
        <f t="shared" si="36"/>
        <v>294.28794439094889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6.9230769230769225</v>
      </c>
      <c r="BD25" s="13">
        <f>IF('Données projet'!$A$88&gt;35,BD24+BC25-BL24,IF(A25&lt;'Données projet'!$A$88,$BA$205^A25,IF(A25='Données projet'!$A$88,'Données projet'!$B$88,BD24+BC25-BL24)))</f>
        <v>59.358974358974365</v>
      </c>
      <c r="BE25" s="14">
        <f>BD25*VLOOKUP('Données projet'!$B$11,Paramètres!$A$1:$I$89,3,0)*VLOOKUP('Données projet'!$B$11,Paramètres!$A$1:$I$89,5,0)</f>
        <v>39.818000000000005</v>
      </c>
      <c r="BF25" s="14">
        <f t="shared" si="37"/>
        <v>11.950394990762812</v>
      </c>
      <c r="BG25" s="22">
        <f t="shared" si="7"/>
        <v>90.163287942245233</v>
      </c>
      <c r="BH25" s="62">
        <f t="shared" si="8"/>
        <v>373.71884349780078</v>
      </c>
      <c r="BI25" s="62">
        <f ca="1">AVERAGE(OFFSET($BH$3,0,0,'Données projet'!$E$11+1,1))-AVERAGE(OFFSET($H$3,0,0,'Données projet'!$E$11+1,1))</f>
        <v>261.34571165681393</v>
      </c>
      <c r="BJ25" s="62">
        <f t="shared" si="38"/>
        <v>207.9851454455669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19</v>
      </c>
      <c r="N26" s="14">
        <f>IF('Données projet'!$A$36&gt;35,N25+M26-V25,IF(A26&lt;'Données projet'!$A$36,$K$205^A26,IF(A26='Données projet'!$A$36,'Données projet'!$B$36,N25+M26-V25)))</f>
        <v>185</v>
      </c>
      <c r="O26" s="14">
        <f>N26*VLOOKUP('Données projet'!$B$9,Paramètres!$A$1:$I$89,3,0)*VLOOKUP('Données projet'!$B$9,Paramètres!$A$1:$I$89,5,0)</f>
        <v>103.41500000000001</v>
      </c>
      <c r="P26" s="14">
        <f t="shared" si="33"/>
        <v>27.773977384564439</v>
      </c>
      <c r="Q26" s="22">
        <f t="shared" si="2"/>
        <v>228.48746894478305</v>
      </c>
      <c r="R26" s="62">
        <f t="shared" si="0"/>
        <v>513.26524672256085</v>
      </c>
      <c r="S26" s="62">
        <f ca="1">AVERAGE(OFFSET($R$3,0,0,'Données projet'!$E$9+1,1))-AVERAGE(OFFSET($H$3,0,0,'Données projet'!$E$9+1,1))</f>
        <v>374.79806286316051</v>
      </c>
      <c r="T26" s="62">
        <f t="shared" si="34"/>
        <v>350.01856672839466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12.106473334900793</v>
      </c>
      <c r="AB26" s="23">
        <f>EXP(-LN(2)/2)*AB25+(1-EXP(-LN(2)/2))/(LN(2)/2)*V26*Y26*VLOOKUP('Données projet'!$B$9,Paramètres!$A$1:$I$89,3,0)*0.475*44/12</f>
        <v>9.9684562054973895</v>
      </c>
      <c r="AC26" s="24">
        <f t="shared" si="3"/>
        <v>22.07492954039818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6.32</v>
      </c>
      <c r="AI26" s="14">
        <f>IF('Données projet'!$A$62&gt;35,AI25+AH26-AQ25,IF(A26&lt;'Données projet'!$A$62,$AF$205^A26,IF(A26='Données projet'!$A$62,'Données projet'!$B$62,AI25+AH26-AQ25)))</f>
        <v>105.38153493449337</v>
      </c>
      <c r="AJ26" s="14">
        <f>AI26*VLOOKUP('Données projet'!$B$10,Paramètres!$A$1:$I$89,3,0)*VLOOKUP('Données projet'!$B$10,Paramètres!$A$1:$I$89,5,0)</f>
        <v>83.84154919388294</v>
      </c>
      <c r="AK26" s="14">
        <f t="shared" si="35"/>
        <v>23.073883600862558</v>
      </c>
      <c r="AL26" s="22">
        <f t="shared" si="4"/>
        <v>186.21104545084839</v>
      </c>
      <c r="AM26" s="62">
        <f t="shared" si="5"/>
        <v>470.98882322862619</v>
      </c>
      <c r="AN26" s="62">
        <f ca="1">AVERAGE(OFFSET($AM$3,0,0,'Données projet'!$E$10+1,1))-AVERAGE(OFFSET($H$3,0,0,'Données projet'!$E$10+1,1))</f>
        <v>310.15624717801779</v>
      </c>
      <c r="AO26" s="62">
        <f t="shared" si="36"/>
        <v>294.28794439094889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6.9230769230769225</v>
      </c>
      <c r="BD26" s="13">
        <f>IF('Données projet'!$A$88&gt;35,BD25+BC26-BL25,IF(A26&lt;'Données projet'!$A$88,$BA$205^A26,IF(A26='Données projet'!$A$88,'Données projet'!$B$88,BD25+BC26-BL25)))</f>
        <v>66.282051282051285</v>
      </c>
      <c r="BE26" s="14">
        <f>BD26*VLOOKUP('Données projet'!$B$11,Paramètres!$A$1:$I$89,3,0)*VLOOKUP('Données projet'!$B$11,Paramètres!$A$1:$I$89,5,0)</f>
        <v>44.462000000000003</v>
      </c>
      <c r="BF26" s="14">
        <f t="shared" si="37"/>
        <v>13.173923593104782</v>
      </c>
      <c r="BG26" s="22">
        <f t="shared" si="7"/>
        <v>100.3825669246575</v>
      </c>
      <c r="BH26" s="62">
        <f t="shared" si="8"/>
        <v>385.16034470243528</v>
      </c>
      <c r="BI26" s="62">
        <f ca="1">AVERAGE(OFFSET($BH$3,0,0,'Données projet'!$E$11+1,1))-AVERAGE(OFFSET($H$3,0,0,'Données projet'!$E$11+1,1))</f>
        <v>261.34571165681393</v>
      </c>
      <c r="BJ26" s="62">
        <f t="shared" si="38"/>
        <v>207.9851454455669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19</v>
      </c>
      <c r="N27" s="14">
        <f>IF('Données projet'!$A$36&gt;35,N26+M27-V26,IF(A27&lt;'Données projet'!$A$36,$K$205^A27,IF(A27='Données projet'!$A$36,'Données projet'!$B$36,N26+M27-V26)))</f>
        <v>204</v>
      </c>
      <c r="O27" s="14">
        <f>N27*VLOOKUP('Données projet'!$B$9,Paramètres!$A$1:$I$89,3,0)*VLOOKUP('Données projet'!$B$9,Paramètres!$A$1:$I$89,5,0)</f>
        <v>114.036</v>
      </c>
      <c r="P27" s="14">
        <f t="shared" si="33"/>
        <v>30.279894261296121</v>
      </c>
      <c r="Q27" s="22">
        <f t="shared" si="2"/>
        <v>251.35018250509077</v>
      </c>
      <c r="R27" s="62">
        <f t="shared" si="0"/>
        <v>537.35018250509074</v>
      </c>
      <c r="S27" s="62">
        <f ca="1">AVERAGE(OFFSET($R$3,0,0,'Données projet'!$E$9+1,1))-AVERAGE(OFFSET($H$3,0,0,'Données projet'!$E$9+1,1))</f>
        <v>374.79806286316051</v>
      </c>
      <c r="T27" s="62">
        <f t="shared" si="34"/>
        <v>350.01856672839466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11.775421184906168</v>
      </c>
      <c r="AB27" s="23">
        <f>EXP(-LN(2)/2)*AB26+(1-EXP(-LN(2)/2))/(LN(2)/2)*V27*Y27*VLOOKUP('Données projet'!$B$9,Paramètres!$A$1:$I$89,3,0)*0.475*44/12</f>
        <v>7.0487629808683252</v>
      </c>
      <c r="AC27" s="24">
        <f t="shared" si="3"/>
        <v>18.824184165774493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6.32</v>
      </c>
      <c r="AI27" s="14">
        <f>IF('Données projet'!$A$62&gt;35,AI26+AH27-AQ26,IF(A27&lt;'Données projet'!$A$62,$AF$205^A27,IF(A27='Données projet'!$A$62,'Données projet'!$B$62,AI26+AH27-AQ26)))</f>
        <v>129.0359737424024</v>
      </c>
      <c r="AJ27" s="14">
        <f>AI27*VLOOKUP('Données projet'!$B$10,Paramètres!$A$1:$I$89,3,0)*VLOOKUP('Données projet'!$B$10,Paramètres!$A$1:$I$89,5,0)</f>
        <v>102.66102070945536</v>
      </c>
      <c r="AK27" s="14">
        <f t="shared" si="35"/>
        <v>27.594976815976896</v>
      </c>
      <c r="AL27" s="22">
        <f t="shared" si="4"/>
        <v>226.86252902346121</v>
      </c>
      <c r="AM27" s="62">
        <f t="shared" si="5"/>
        <v>512.86252902346121</v>
      </c>
      <c r="AN27" s="62">
        <f ca="1">AVERAGE(OFFSET($AM$3,0,0,'Données projet'!$E$10+1,1))-AVERAGE(OFFSET($H$3,0,0,'Données projet'!$E$10+1,1))</f>
        <v>310.15624717801779</v>
      </c>
      <c r="AO27" s="62">
        <f t="shared" si="36"/>
        <v>294.28794439094889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6.9230769230769225</v>
      </c>
      <c r="BD27" s="13">
        <f>IF('Données projet'!$A$88&gt;35,BD26+BC27-BL26,IF(A27&lt;'Données projet'!$A$88,$BA$205^A27,IF(A27='Données projet'!$A$88,'Données projet'!$B$88,BD26+BC27-BL26)))</f>
        <v>73.205128205128204</v>
      </c>
      <c r="BE27" s="14">
        <f>BD27*VLOOKUP('Données projet'!$B$11,Paramètres!$A$1:$I$89,3,0)*VLOOKUP('Données projet'!$B$11,Paramètres!$A$1:$I$89,5,0)</f>
        <v>49.106000000000002</v>
      </c>
      <c r="BF27" s="14">
        <f t="shared" si="37"/>
        <v>14.382638394225781</v>
      </c>
      <c r="BG27" s="22">
        <f t="shared" si="7"/>
        <v>110.57604520327656</v>
      </c>
      <c r="BH27" s="62">
        <f t="shared" si="8"/>
        <v>396.57604520327658</v>
      </c>
      <c r="BI27" s="62">
        <f ca="1">AVERAGE(OFFSET($BH$3,0,0,'Données projet'!$E$11+1,1))-AVERAGE(OFFSET($H$3,0,0,'Données projet'!$E$11+1,1))</f>
        <v>261.34571165681393</v>
      </c>
      <c r="BJ27" s="62">
        <f t="shared" si="38"/>
        <v>207.9851454455669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19</v>
      </c>
      <c r="N28" s="14">
        <f>IF('Données projet'!$A$36&gt;35,N27+M28-V27,IF(A28&lt;'Données projet'!$A$36,$K$205^A28,IF(A28='Données projet'!$A$36,'Données projet'!$B$36,N27+M28-V27)))</f>
        <v>223</v>
      </c>
      <c r="O28" s="14">
        <f>N28*VLOOKUP('Données projet'!$B$9,Paramètres!$A$1:$I$89,3,0)*VLOOKUP('Données projet'!$B$9,Paramètres!$A$1:$I$89,5,0)</f>
        <v>124.65700000000001</v>
      </c>
      <c r="P28" s="14">
        <f t="shared" si="33"/>
        <v>32.758749517288294</v>
      </c>
      <c r="Q28" s="22">
        <f t="shared" si="2"/>
        <v>274.16576374261041</v>
      </c>
      <c r="R28" s="62">
        <f t="shared" si="0"/>
        <v>561.38798596483264</v>
      </c>
      <c r="S28" s="62">
        <f ca="1">AVERAGE(OFFSET($R$3,0,0,'Données projet'!$E$9+1,1))-AVERAGE(OFFSET($H$3,0,0,'Données projet'!$E$9+1,1))</f>
        <v>374.79806286316051</v>
      </c>
      <c r="T28" s="62">
        <f t="shared" si="34"/>
        <v>350.01856672839466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11.453421673362422</v>
      </c>
      <c r="AB28" s="23">
        <f>EXP(-LN(2)/2)*AB27+(1-EXP(-LN(2)/2))/(LN(2)/2)*V28*Y28*VLOOKUP('Données projet'!$B$9,Paramètres!$A$1:$I$89,3,0)*0.475*44/12</f>
        <v>4.9842281027486957</v>
      </c>
      <c r="AC28" s="24">
        <f t="shared" si="3"/>
        <v>16.437649776111119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158</v>
      </c>
      <c r="AG28" s="13">
        <f>VLOOKUP(A28,'Données projet'!$A$61:$I$81,9,0)</f>
        <v>6.32</v>
      </c>
      <c r="AH28" s="13">
        <f t="array" ref="AH28">INDEX(AG:AG,MIN(IF(ISNUMBER(AG28:AG224),ROW(AG28:AG224),"")))</f>
        <v>6.32</v>
      </c>
      <c r="AI28" s="14">
        <f>IF('Données projet'!$A$62&gt;35,AI27+AH28-AQ27,IF(A28&lt;'Données projet'!$A$62,$AF$205^A28,IF(A28='Données projet'!$A$62,'Données projet'!$B$62,AI27+AH28-AQ27)))</f>
        <v>158</v>
      </c>
      <c r="AJ28" s="14">
        <f>AI28*VLOOKUP('Données projet'!$B$10,Paramètres!$A$1:$I$89,3,0)*VLOOKUP('Données projet'!$B$10,Paramètres!$A$1:$I$89,5,0)</f>
        <v>125.70480000000001</v>
      </c>
      <c r="AK28" s="14">
        <f t="shared" si="35"/>
        <v>33.001932342496389</v>
      </c>
      <c r="AL28" s="22">
        <f t="shared" si="4"/>
        <v>276.41422549651458</v>
      </c>
      <c r="AM28" s="62">
        <f t="shared" si="5"/>
        <v>563.6364477187368</v>
      </c>
      <c r="AN28" s="62">
        <f ca="1">AVERAGE(OFFSET($AM$3,0,0,'Données projet'!$E$10+1,1))-AVERAGE(OFFSET($H$3,0,0,'Données projet'!$E$10+1,1))</f>
        <v>310.15624717801779</v>
      </c>
      <c r="AO28" s="62">
        <f t="shared" si="36"/>
        <v>294.28794439094889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71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80.128205128205124</v>
      </c>
      <c r="BB28" s="13">
        <f>VLOOKUP(A28,'Données projet'!$A$87:$I$107,9,0)</f>
        <v>6.9230769230769225</v>
      </c>
      <c r="BC28" s="13">
        <f t="array" ref="BC28">INDEX(BB:BB,MIN(IF(ISNUMBER(BB28:BB224),ROW(BB28:BB224),"")))</f>
        <v>6.9230769230769225</v>
      </c>
      <c r="BD28" s="13">
        <f>IF('Données projet'!$A$88&gt;35,BD27+BC28-BL27,IF(A28&lt;'Données projet'!$A$88,$BA$205^A28,IF(A28='Données projet'!$A$88,'Données projet'!$B$88,BD27+BC28-BL27)))</f>
        <v>80.128205128205124</v>
      </c>
      <c r="BE28" s="14">
        <f>BD28*VLOOKUP('Données projet'!$B$11,Paramètres!$A$1:$I$89,3,0)*VLOOKUP('Données projet'!$B$11,Paramètres!$A$1:$I$89,5,0)</f>
        <v>53.75</v>
      </c>
      <c r="BF28" s="14">
        <f t="shared" si="37"/>
        <v>15.578099725539307</v>
      </c>
      <c r="BG28" s="22">
        <f t="shared" si="7"/>
        <v>120.74644035531428</v>
      </c>
      <c r="BH28" s="62">
        <f t="shared" si="8"/>
        <v>407.96866257753652</v>
      </c>
      <c r="BI28" s="62">
        <f ca="1">AVERAGE(OFFSET($BH$3,0,0,'Données projet'!$E$11+1,1))-AVERAGE(OFFSET($H$3,0,0,'Données projet'!$E$11+1,1))</f>
        <v>261.34571165681393</v>
      </c>
      <c r="BJ28" s="62">
        <f t="shared" si="38"/>
        <v>207.9851454455669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19</v>
      </c>
      <c r="N29" s="14">
        <f>IF('Données projet'!$A$36&gt;35,N28+M29-V28,IF(A29&lt;'Données projet'!$A$36,$K$205^A29,IF(A29='Données projet'!$A$36,'Données projet'!$B$36,N28+M29-V28)))</f>
        <v>242</v>
      </c>
      <c r="O29" s="14">
        <f>N29*VLOOKUP('Données projet'!$B$9,Paramètres!$A$1:$I$89,3,0)*VLOOKUP('Données projet'!$B$9,Paramètres!$A$1:$I$89,5,0)</f>
        <v>135.27800000000002</v>
      </c>
      <c r="P29" s="14">
        <f t="shared" si="33"/>
        <v>35.213110998543605</v>
      </c>
      <c r="Q29" s="22">
        <f t="shared" si="2"/>
        <v>296.93868498913014</v>
      </c>
      <c r="R29" s="62">
        <f t="shared" si="0"/>
        <v>585.3831294335746</v>
      </c>
      <c r="S29" s="62">
        <f ca="1">AVERAGE(OFFSET($R$3,0,0,'Données projet'!$E$9+1,1))-AVERAGE(OFFSET($H$3,0,0,'Données projet'!$E$9+1,1))</f>
        <v>374.79806286316051</v>
      </c>
      <c r="T29" s="62">
        <f t="shared" si="34"/>
        <v>350.01856672839466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11.140227255395057</v>
      </c>
      <c r="AB29" s="23">
        <f>EXP(-LN(2)/2)*AB28+(1-EXP(-LN(2)/2))/(LN(2)/2)*V29*Y29*VLOOKUP('Données projet'!$B$9,Paramètres!$A$1:$I$89,3,0)*0.475*44/12</f>
        <v>3.524381490434163</v>
      </c>
      <c r="AC29" s="24">
        <f t="shared" si="3"/>
        <v>14.66460874582922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12</v>
      </c>
      <c r="AI29" s="14">
        <f>IF('Données projet'!$A$62&gt;35,AI28+AH29-AQ28,IF(A29&lt;'Données projet'!$A$62,$AF$205^A29,IF(A29='Données projet'!$A$62,'Données projet'!$B$62,AI28+AH29-AQ28)))</f>
        <v>99</v>
      </c>
      <c r="AJ29" s="14">
        <f>AI29*VLOOKUP('Données projet'!$B$10,Paramètres!$A$1:$I$89,3,0)*VLOOKUP('Données projet'!$B$10,Paramètres!$A$1:$I$89,5,0)</f>
        <v>78.764400000000009</v>
      </c>
      <c r="AK29" s="14">
        <f t="shared" si="35"/>
        <v>21.83480036447164</v>
      </c>
      <c r="AL29" s="22">
        <f t="shared" si="4"/>
        <v>175.21027396812144</v>
      </c>
      <c r="AM29" s="62">
        <f t="shared" si="5"/>
        <v>463.6547184125659</v>
      </c>
      <c r="AN29" s="62">
        <f ca="1">AVERAGE(OFFSET($AM$3,0,0,'Données projet'!$E$10+1,1))-AVERAGE(OFFSET($H$3,0,0,'Données projet'!$E$10+1,1))</f>
        <v>310.15624717801779</v>
      </c>
      <c r="AO29" s="62">
        <f t="shared" si="36"/>
        <v>294.28794439094889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6.9230769230769225</v>
      </c>
      <c r="BD29" s="13">
        <f>IF('Données projet'!$A$88&gt;35,BD28+BC29-BL28,IF(A29&lt;'Données projet'!$A$88,$BA$205^A29,IF(A29='Données projet'!$A$88,'Données projet'!$B$88,BD28+BC29-BL28)))</f>
        <v>87.051282051282044</v>
      </c>
      <c r="BE29" s="14">
        <f>BD29*VLOOKUP('Données projet'!$B$11,Paramètres!$A$1:$I$89,3,0)*VLOOKUP('Données projet'!$B$11,Paramètres!$A$1:$I$89,5,0)</f>
        <v>58.393999999999991</v>
      </c>
      <c r="BF29" s="14">
        <f t="shared" si="37"/>
        <v>16.761582884414576</v>
      </c>
      <c r="BG29" s="22">
        <f t="shared" si="7"/>
        <v>130.8959735236887</v>
      </c>
      <c r="BH29" s="62">
        <f t="shared" si="8"/>
        <v>419.34041796813312</v>
      </c>
      <c r="BI29" s="62">
        <f ca="1">AVERAGE(OFFSET($BH$3,0,0,'Données projet'!$E$11+1,1))-AVERAGE(OFFSET($H$3,0,0,'Données projet'!$E$11+1,1))</f>
        <v>261.34571165681393</v>
      </c>
      <c r="BJ29" s="62">
        <f t="shared" si="38"/>
        <v>207.9851454455669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19</v>
      </c>
      <c r="N30" s="14">
        <f>IF('Données projet'!$A$36&gt;35,N29+M30-V29,IF(A30&lt;'Données projet'!$A$36,$K$205^A30,IF(A30='Données projet'!$A$36,'Données projet'!$B$36,N29+M30-V29)))</f>
        <v>261</v>
      </c>
      <c r="O30" s="14">
        <f>N30*VLOOKUP('Données projet'!$B$9,Paramètres!$A$1:$I$89,3,0)*VLOOKUP('Données projet'!$B$9,Paramètres!$A$1:$I$89,5,0)</f>
        <v>145.899</v>
      </c>
      <c r="P30" s="14">
        <f t="shared" si="33"/>
        <v>37.645120410716935</v>
      </c>
      <c r="Q30" s="22">
        <f t="shared" si="2"/>
        <v>319.67267638199866</v>
      </c>
      <c r="R30" s="62">
        <f t="shared" si="0"/>
        <v>609.33934304866534</v>
      </c>
      <c r="S30" s="62">
        <f ca="1">AVERAGE(OFFSET($R$3,0,0,'Données projet'!$E$9+1,1))-AVERAGE(OFFSET($H$3,0,0,'Données projet'!$E$9+1,1))</f>
        <v>374.79806286316051</v>
      </c>
      <c r="T30" s="62">
        <f t="shared" si="34"/>
        <v>350.01856672839466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10.83559715525719</v>
      </c>
      <c r="AB30" s="23">
        <f>EXP(-LN(2)/2)*AB29+(1-EXP(-LN(2)/2))/(LN(2)/2)*V30*Y30*VLOOKUP('Données projet'!$B$9,Paramètres!$A$1:$I$89,3,0)*0.475*44/12</f>
        <v>2.4921140513743483</v>
      </c>
      <c r="AC30" s="24">
        <f t="shared" si="3"/>
        <v>13.327711206631538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12</v>
      </c>
      <c r="AI30" s="14">
        <f>IF('Données projet'!$A$62&gt;35,AI29+AH30-AQ29,IF(A30&lt;'Données projet'!$A$62,$AF$205^A30,IF(A30='Données projet'!$A$62,'Données projet'!$B$62,AI29+AH30-AQ29)))</f>
        <v>111</v>
      </c>
      <c r="AJ30" s="14">
        <f>AI30*VLOOKUP('Données projet'!$B$10,Paramètres!$A$1:$I$89,3,0)*VLOOKUP('Données projet'!$B$10,Paramètres!$A$1:$I$89,5,0)</f>
        <v>88.311599999999999</v>
      </c>
      <c r="AK30" s="14">
        <f t="shared" si="35"/>
        <v>24.157575839957186</v>
      </c>
      <c r="AL30" s="22">
        <f t="shared" si="4"/>
        <v>195.88381458792546</v>
      </c>
      <c r="AM30" s="62">
        <f t="shared" si="5"/>
        <v>485.55048125459211</v>
      </c>
      <c r="AN30" s="62">
        <f ca="1">AVERAGE(OFFSET($AM$3,0,0,'Données projet'!$E$10+1,1))-AVERAGE(OFFSET($H$3,0,0,'Données projet'!$E$10+1,1))</f>
        <v>310.15624717801779</v>
      </c>
      <c r="AO30" s="62">
        <f t="shared" si="36"/>
        <v>294.28794439094889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6.9230769230769225</v>
      </c>
      <c r="BD30" s="13">
        <f>IF('Données projet'!$A$88&gt;35,BD29+BC30-BL29,IF(A30&lt;'Données projet'!$A$88,$BA$205^A30,IF(A30='Données projet'!$A$88,'Données projet'!$B$88,BD29+BC30-BL29)))</f>
        <v>93.974358974358964</v>
      </c>
      <c r="BE30" s="14">
        <f>BD30*VLOOKUP('Données projet'!$B$11,Paramètres!$A$1:$I$89,3,0)*VLOOKUP('Données projet'!$B$11,Paramètres!$A$1:$I$89,5,0)</f>
        <v>63.037999999999997</v>
      </c>
      <c r="BF30" s="14">
        <f t="shared" si="37"/>
        <v>17.93414878320046</v>
      </c>
      <c r="BG30" s="22">
        <f t="shared" si="7"/>
        <v>141.02649246407412</v>
      </c>
      <c r="BH30" s="62">
        <f t="shared" si="8"/>
        <v>430.69315913074081</v>
      </c>
      <c r="BI30" s="62">
        <f ca="1">AVERAGE(OFFSET($BH$3,0,0,'Données projet'!$E$11+1,1))-AVERAGE(OFFSET($H$3,0,0,'Données projet'!$E$11+1,1))</f>
        <v>261.34571165681393</v>
      </c>
      <c r="BJ30" s="62">
        <f t="shared" si="38"/>
        <v>207.9851454455669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>
        <f>VLOOKUP(A31,'Données projet'!$A$35:$I$55,2,0)</f>
        <v>280</v>
      </c>
      <c r="L31" s="13">
        <f>VLOOKUP(A31,'Données projet'!$A$35:$I$55,9,0)</f>
        <v>19</v>
      </c>
      <c r="M31" s="13">
        <f t="array" ref="M31">INDEX(L:L,MIN(IF(ISNUMBER(L31:L227),ROW(L31:L227),"")))</f>
        <v>19</v>
      </c>
      <c r="N31" s="14">
        <f>IF('Données projet'!$A$36&gt;35,N30+M31-V30,IF(A31&lt;'Données projet'!$A$36,$K$205^A31,IF(A31='Données projet'!$A$36,'Données projet'!$B$36,N30+M31-V30)))</f>
        <v>280</v>
      </c>
      <c r="O31" s="14">
        <f>N31*VLOOKUP('Données projet'!$B$9,Paramètres!$A$1:$I$89,3,0)*VLOOKUP('Données projet'!$B$9,Paramètres!$A$1:$I$89,5,0)</f>
        <v>156.51999999999998</v>
      </c>
      <c r="P31" s="14">
        <f t="shared" si="33"/>
        <v>40.056589961286939</v>
      </c>
      <c r="Q31" s="22">
        <f t="shared" si="2"/>
        <v>342.37089418257466</v>
      </c>
      <c r="R31" s="62">
        <f t="shared" si="0"/>
        <v>633.25978307146352</v>
      </c>
      <c r="S31" s="62">
        <f ca="1">AVERAGE(OFFSET($R$3,0,0,'Données projet'!$E$9+1,1))-AVERAGE(OFFSET($H$3,0,0,'Données projet'!$E$9+1,1))</f>
        <v>374.79806286316051</v>
      </c>
      <c r="T31" s="62">
        <f t="shared" si="34"/>
        <v>350.01856672839466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64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0.27500000000000002</v>
      </c>
      <c r="Y31" s="17">
        <f>IF(ISNA(VLOOKUP(A31,'Données projet'!$A$35:$I$55,7,0)),0%,VLOOKUP(A31,'Données projet'!$A$35:$I$55,7,0))</f>
        <v>0.5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23.539181089865295</v>
      </c>
      <c r="AB31" s="23">
        <f>EXP(-LN(2)/2)*AB30+(1-EXP(-LN(2)/2))/(LN(2)/2)*V31*Y31*VLOOKUP('Données projet'!$B$9,Paramètres!$A$1:$I$89,3,0)*0.475*44/12</f>
        <v>22.015562083370504</v>
      </c>
      <c r="AC31" s="24">
        <f t="shared" si="3"/>
        <v>45.554743173235799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</v>
      </c>
      <c r="AI31" s="14">
        <f>IF('Données projet'!$A$62&gt;35,AI30+AH31-AQ30,IF(A31&lt;'Données projet'!$A$62,$AF$205^A31,IF(A31='Données projet'!$A$62,'Données projet'!$B$62,AI30+AH31-AQ30)))</f>
        <v>123</v>
      </c>
      <c r="AJ31" s="14">
        <f>AI31*VLOOKUP('Données projet'!$B$10,Paramètres!$A$1:$I$89,3,0)*VLOOKUP('Données projet'!$B$10,Paramètres!$A$1:$I$89,5,0)</f>
        <v>97.858800000000016</v>
      </c>
      <c r="AK31" s="14">
        <f t="shared" si="35"/>
        <v>26.45124536158788</v>
      </c>
      <c r="AL31" s="22">
        <f t="shared" si="4"/>
        <v>216.50666233809889</v>
      </c>
      <c r="AM31" s="62">
        <f t="shared" si="5"/>
        <v>507.39555122698778</v>
      </c>
      <c r="AN31" s="62">
        <f ca="1">AVERAGE(OFFSET($AM$3,0,0,'Données projet'!$E$10+1,1))-AVERAGE(OFFSET($H$3,0,0,'Données projet'!$E$10+1,1))</f>
        <v>310.15624717801779</v>
      </c>
      <c r="AO31" s="62">
        <f t="shared" si="36"/>
        <v>294.28794439094889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6.9230769230769225</v>
      </c>
      <c r="BD31" s="13">
        <f>IF('Données projet'!$A$88&gt;35,BD30+BC31-BL30,IF(A31&lt;'Données projet'!$A$88,$BA$205^A31,IF(A31='Données projet'!$A$88,'Données projet'!$B$88,BD30+BC31-BL30)))</f>
        <v>100.89743589743588</v>
      </c>
      <c r="BE31" s="14">
        <f>BD31*VLOOKUP('Données projet'!$B$11,Paramètres!$A$1:$I$89,3,0)*VLOOKUP('Données projet'!$B$11,Paramètres!$A$1:$I$89,5,0)</f>
        <v>67.681999999999988</v>
      </c>
      <c r="BF31" s="14">
        <f t="shared" si="37"/>
        <v>19.096693153956942</v>
      </c>
      <c r="BG31" s="22">
        <f t="shared" si="7"/>
        <v>151.13955724314167</v>
      </c>
      <c r="BH31" s="62">
        <f t="shared" si="8"/>
        <v>442.02844613203052</v>
      </c>
      <c r="BI31" s="62">
        <f ca="1">AVERAGE(OFFSET($BH$3,0,0,'Données projet'!$E$11+1,1))-AVERAGE(OFFSET($H$3,0,0,'Données projet'!$E$11+1,1))</f>
        <v>261.34571165681393</v>
      </c>
      <c r="BJ31" s="62">
        <f t="shared" si="38"/>
        <v>207.9851454455669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19.857142857142858</v>
      </c>
      <c r="N32" s="14">
        <f>IF('Données projet'!$A$36&gt;35,N31+M32-V31,IF(A32&lt;'Données projet'!$A$36,$K$205^A32,IF(A32='Données projet'!$A$36,'Données projet'!$B$36,N31+M32-V31)))</f>
        <v>235.85714285714283</v>
      </c>
      <c r="O32" s="14">
        <f>N32*VLOOKUP('Données projet'!$B$9,Paramètres!$A$1:$I$89,3,0)*VLOOKUP('Données projet'!$B$9,Paramètres!$A$1:$I$89,5,0)</f>
        <v>131.84414285714283</v>
      </c>
      <c r="P32" s="14">
        <f t="shared" si="33"/>
        <v>34.422136630345072</v>
      </c>
      <c r="Q32" s="22">
        <f t="shared" si="2"/>
        <v>289.5804367740414</v>
      </c>
      <c r="R32" s="62">
        <f t="shared" si="0"/>
        <v>581.69154788515254</v>
      </c>
      <c r="S32" s="62">
        <f ca="1">AVERAGE(OFFSET($R$3,0,0,'Données projet'!$E$9+1,1))-AVERAGE(OFFSET($H$3,0,0,'Données projet'!$E$9+1,1))</f>
        <v>374.79806286316051</v>
      </c>
      <c r="T32" s="62">
        <f t="shared" si="34"/>
        <v>350.01856672839466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22.895500945091193</v>
      </c>
      <c r="AB32" s="23">
        <f>EXP(-LN(2)/2)*AB31+(1-EXP(-LN(2)/2))/(LN(2)/2)*V32*Y32*VLOOKUP('Données projet'!$B$9,Paramètres!$A$1:$I$89,3,0)*0.475*44/12</f>
        <v>15.567353240784721</v>
      </c>
      <c r="AC32" s="24">
        <f t="shared" si="3"/>
        <v>38.462854185875912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</v>
      </c>
      <c r="AI32" s="14">
        <f>IF('Données projet'!$A$62&gt;35,AI31+AH32-AQ31,IF(A32&lt;'Données projet'!$A$62,$AF$205^A32,IF(A32='Données projet'!$A$62,'Données projet'!$B$62,AI31+AH32-AQ31)))</f>
        <v>135</v>
      </c>
      <c r="AJ32" s="14">
        <f>AI32*VLOOKUP('Données projet'!$B$10,Paramètres!$A$1:$I$89,3,0)*VLOOKUP('Données projet'!$B$10,Paramètres!$A$1:$I$89,5,0)</f>
        <v>107.40599999999999</v>
      </c>
      <c r="AK32" s="14">
        <f t="shared" si="35"/>
        <v>28.718971683040337</v>
      </c>
      <c r="AL32" s="22">
        <f t="shared" si="4"/>
        <v>237.08432568129521</v>
      </c>
      <c r="AM32" s="62">
        <f t="shared" si="5"/>
        <v>529.19543679240633</v>
      </c>
      <c r="AN32" s="62">
        <f ca="1">AVERAGE(OFFSET($AM$3,0,0,'Données projet'!$E$10+1,1))-AVERAGE(OFFSET($H$3,0,0,'Données projet'!$E$10+1,1))</f>
        <v>310.15624717801779</v>
      </c>
      <c r="AO32" s="62">
        <f t="shared" si="36"/>
        <v>294.28794439094889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6.9230769230769225</v>
      </c>
      <c r="BD32" s="13">
        <f>IF('Données projet'!$A$88&gt;35,BD31+BC32-BL31,IF(A32&lt;'Données projet'!$A$88,$BA$205^A32,IF(A32='Données projet'!$A$88,'Données projet'!$B$88,BD31+BC32-BL31)))</f>
        <v>107.8205128205128</v>
      </c>
      <c r="BE32" s="14">
        <f>BD32*VLOOKUP('Données projet'!$B$11,Paramètres!$A$1:$I$89,3,0)*VLOOKUP('Données projet'!$B$11,Paramètres!$A$1:$I$89,5,0)</f>
        <v>72.325999999999993</v>
      </c>
      <c r="BF32" s="14">
        <f t="shared" si="37"/>
        <v>20.249981849133913</v>
      </c>
      <c r="BG32" s="22">
        <f t="shared" si="7"/>
        <v>161.23650172057486</v>
      </c>
      <c r="BH32" s="62">
        <f t="shared" si="8"/>
        <v>453.34761283168598</v>
      </c>
      <c r="BI32" s="62">
        <f ca="1">AVERAGE(OFFSET($BH$3,0,0,'Données projet'!$E$11+1,1))-AVERAGE(OFFSET($H$3,0,0,'Données projet'!$E$11+1,1))</f>
        <v>261.34571165681393</v>
      </c>
      <c r="BJ32" s="62">
        <f t="shared" si="38"/>
        <v>207.9851454455669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19.857142857142858</v>
      </c>
      <c r="N33" s="14">
        <f>IF('Données projet'!$A$36&gt;35,N32+M33-V32,IF(A33&lt;'Données projet'!$A$36,$K$205^A33,IF(A33='Données projet'!$A$36,'Données projet'!$B$36,N32+M33-V32)))</f>
        <v>255.71428571428569</v>
      </c>
      <c r="O33" s="14">
        <f>N33*VLOOKUP('Données projet'!$B$9,Paramètres!$A$1:$I$89,3,0)*VLOOKUP('Données projet'!$B$9,Paramètres!$A$1:$I$89,5,0)</f>
        <v>142.94428571428571</v>
      </c>
      <c r="P33" s="14">
        <f t="shared" si="33"/>
        <v>36.970680828333286</v>
      </c>
      <c r="Q33" s="22">
        <f t="shared" si="2"/>
        <v>313.35190006172803</v>
      </c>
      <c r="R33" s="62">
        <f t="shared" si="0"/>
        <v>606.68523339506135</v>
      </c>
      <c r="S33" s="62">
        <f ca="1">AVERAGE(OFFSET($R$3,0,0,'Données projet'!$E$9+1,1))-AVERAGE(OFFSET($H$3,0,0,'Données projet'!$E$9+1,1))</f>
        <v>374.79806286316051</v>
      </c>
      <c r="T33" s="62">
        <f t="shared" si="34"/>
        <v>350.01856672839466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22.269422267725609</v>
      </c>
      <c r="AB33" s="23">
        <f>EXP(-LN(2)/2)*AB32+(1-EXP(-LN(2)/2))/(LN(2)/2)*V33*Y33*VLOOKUP('Données projet'!$B$9,Paramètres!$A$1:$I$89,3,0)*0.475*44/12</f>
        <v>11.007781041685254</v>
      </c>
      <c r="AC33" s="24">
        <f t="shared" si="3"/>
        <v>33.277203309410865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147</v>
      </c>
      <c r="AG33" s="13">
        <f>VLOOKUP(A33,'Données projet'!$A$61:$I$81,9,0)</f>
        <v>12</v>
      </c>
      <c r="AH33" s="13">
        <f t="array" ref="AH33">INDEX(AG:AG,MIN(IF(ISNUMBER(AG33:AG229),ROW(AG33:AG229),"")))</f>
        <v>12</v>
      </c>
      <c r="AI33" s="14">
        <f>IF('Données projet'!$A$62&gt;35,AI32+AH33-AQ32,IF(A33&lt;'Données projet'!$A$62,$AF$205^A33,IF(A33='Données projet'!$A$62,'Données projet'!$B$62,AI32+AH33-AQ32)))</f>
        <v>147</v>
      </c>
      <c r="AJ33" s="14">
        <f>AI33*VLOOKUP('Données projet'!$B$10,Paramètres!$A$1:$I$89,3,0)*VLOOKUP('Données projet'!$B$10,Paramètres!$A$1:$I$89,5,0)</f>
        <v>116.9532</v>
      </c>
      <c r="AK33" s="14">
        <f t="shared" si="35"/>
        <v>30.963323095281662</v>
      </c>
      <c r="AL33" s="22">
        <f t="shared" si="4"/>
        <v>257.62127772428227</v>
      </c>
      <c r="AM33" s="62">
        <f t="shared" si="5"/>
        <v>550.95461105761558</v>
      </c>
      <c r="AN33" s="62">
        <f ca="1">AVERAGE(OFFSET($AM$3,0,0,'Données projet'!$E$10+1,1))-AVERAGE(OFFSET($H$3,0,0,'Données projet'!$E$10+1,1))</f>
        <v>310.15624717801779</v>
      </c>
      <c r="AO33" s="62">
        <f t="shared" si="36"/>
        <v>294.28794439094889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114.74358974358974</v>
      </c>
      <c r="BB33" s="13">
        <f>VLOOKUP(A33,'Données projet'!$A$87:$I$107,9,0)</f>
        <v>6.9230769230769225</v>
      </c>
      <c r="BC33" s="13">
        <f t="array" ref="BC33">INDEX(BB:BB,MIN(IF(ISNUMBER(BB33:BB229),ROW(BB33:BB229),"")))</f>
        <v>6.9230769230769225</v>
      </c>
      <c r="BD33" s="13">
        <f>IF('Données projet'!$A$88&gt;35,BD32+BC33-BL32,IF(A33&lt;'Données projet'!$A$88,$BA$205^A33,IF(A33='Données projet'!$A$88,'Données projet'!$B$88,BD32+BC33-BL32)))</f>
        <v>114.74358974358972</v>
      </c>
      <c r="BE33" s="14">
        <f>BD33*VLOOKUP('Données projet'!$B$11,Paramètres!$A$1:$I$89,3,0)*VLOOKUP('Données projet'!$B$11,Paramètres!$A$1:$I$89,5,0)</f>
        <v>76.969999999999985</v>
      </c>
      <c r="BF33" s="14">
        <f t="shared" si="37"/>
        <v>21.394676810851863</v>
      </c>
      <c r="BG33" s="22">
        <f t="shared" si="7"/>
        <v>171.31847877890027</v>
      </c>
      <c r="BH33" s="62">
        <f t="shared" si="8"/>
        <v>464.65181211223359</v>
      </c>
      <c r="BI33" s="62">
        <f ca="1">AVERAGE(OFFSET($BH$3,0,0,'Données projet'!$E$11+1,1))-AVERAGE(OFFSET($H$3,0,0,'Données projet'!$E$11+1,1))</f>
        <v>261.34571165681393</v>
      </c>
      <c r="BJ33" s="62">
        <f t="shared" si="38"/>
        <v>207.9851454455669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26.282051282051281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19.857142857142858</v>
      </c>
      <c r="N34" s="14">
        <f>IF('Données projet'!$A$36&gt;35,N33+M34-V33,IF(A34&lt;'Données projet'!$A$36,$K$205^A34,IF(A34='Données projet'!$A$36,'Données projet'!$B$36,N33+M34-V33)))</f>
        <v>275.57142857142856</v>
      </c>
      <c r="O34" s="14">
        <f>N34*VLOOKUP('Données projet'!$B$9,Paramètres!$A$1:$I$89,3,0)*VLOOKUP('Données projet'!$B$9,Paramètres!$A$1:$I$89,5,0)</f>
        <v>154.04442857142857</v>
      </c>
      <c r="P34" s="14">
        <f t="shared" si="33"/>
        <v>39.496268491280283</v>
      </c>
      <c r="Q34" s="22">
        <f t="shared" si="2"/>
        <v>337.08338071755128</v>
      </c>
      <c r="R34" s="62">
        <f t="shared" si="0"/>
        <v>630.41671405088459</v>
      </c>
      <c r="S34" s="62">
        <f ca="1">AVERAGE(OFFSET($R$3,0,0,'Données projet'!$E$9+1,1))-AVERAGE(OFFSET($H$3,0,0,'Données projet'!$E$9+1,1))</f>
        <v>374.79806286316051</v>
      </c>
      <c r="T34" s="62">
        <f t="shared" si="34"/>
        <v>350.01856672839466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21.660463744716633</v>
      </c>
      <c r="AB34" s="23">
        <f>EXP(-LN(2)/2)*AB33+(1-EXP(-LN(2)/2))/(LN(2)/2)*V34*Y34*VLOOKUP('Données projet'!$B$9,Paramètres!$A$1:$I$89,3,0)*0.475*44/12</f>
        <v>7.7836766203923613</v>
      </c>
      <c r="AC34" s="24">
        <f t="shared" si="3"/>
        <v>29.444140365108993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10.6</v>
      </c>
      <c r="AI34" s="14">
        <f>IF('Données projet'!$A$62&gt;35,AI33+AH34-AQ33,IF(A34&lt;'Données projet'!$A$62,$AF$205^A34,IF(A34='Données projet'!$A$62,'Données projet'!$B$62,AI33+AH34-AQ33)))</f>
        <v>157.6</v>
      </c>
      <c r="AJ34" s="14">
        <f>AI34*VLOOKUP('Données projet'!$B$10,Paramètres!$A$1:$I$89,3,0)*VLOOKUP('Données projet'!$B$10,Paramètres!$A$1:$I$89,5,0)</f>
        <v>125.38656000000002</v>
      </c>
      <c r="AK34" s="14">
        <f t="shared" si="35"/>
        <v>32.928097385453526</v>
      </c>
      <c r="AL34" s="22">
        <f t="shared" si="4"/>
        <v>275.73136161299823</v>
      </c>
      <c r="AM34" s="62">
        <f t="shared" si="5"/>
        <v>569.06469494633154</v>
      </c>
      <c r="AN34" s="62">
        <f ca="1">AVERAGE(OFFSET($AM$3,0,0,'Données projet'!$E$10+1,1))-AVERAGE(OFFSET($H$3,0,0,'Données projet'!$E$10+1,1))</f>
        <v>310.15624717801779</v>
      </c>
      <c r="AO34" s="62">
        <f t="shared" si="36"/>
        <v>294.28794439094889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6.5384615384615383</v>
      </c>
      <c r="BD34" s="13">
        <f>IF('Données projet'!$A$88&gt;35,BD33+BC34-BL33,IF(A34&lt;'Données projet'!$A$88,$BA$205^A34,IF(A34='Données projet'!$A$88,'Données projet'!$B$88,BD33+BC34-BL33)))</f>
        <v>94.999999999999972</v>
      </c>
      <c r="BE34" s="14">
        <f>BD34*VLOOKUP('Données projet'!$B$11,Paramètres!$A$1:$I$89,3,0)*VLOOKUP('Données projet'!$B$11,Paramètres!$A$1:$I$89,5,0)</f>
        <v>63.725999999999985</v>
      </c>
      <c r="BF34" s="14">
        <f t="shared" si="37"/>
        <v>18.106990134115833</v>
      </c>
      <c r="BG34" s="22">
        <f t="shared" si="7"/>
        <v>142.52579115025171</v>
      </c>
      <c r="BH34" s="62">
        <f t="shared" si="8"/>
        <v>435.85912448358499</v>
      </c>
      <c r="BI34" s="62">
        <f ca="1">AVERAGE(OFFSET($BH$3,0,0,'Données projet'!$E$11+1,1))-AVERAGE(OFFSET($H$3,0,0,'Données projet'!$E$11+1,1))</f>
        <v>261.34571165681393</v>
      </c>
      <c r="BJ34" s="62">
        <f t="shared" si="38"/>
        <v>207.9851454455669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19.857142857142858</v>
      </c>
      <c r="N35" s="14">
        <f>IF('Données projet'!$A$36&gt;35,N34+M35-V34,IF(A35&lt;'Données projet'!$A$36,$K$205^A35,IF(A35='Données projet'!$A$36,'Données projet'!$B$36,N34+M35-V34)))</f>
        <v>295.42857142857139</v>
      </c>
      <c r="O35" s="14">
        <f>N35*VLOOKUP('Données projet'!$B$9,Paramètres!$A$1:$I$89,3,0)*VLOOKUP('Données projet'!$B$9,Paramètres!$A$1:$I$89,5,0)</f>
        <v>165.14457142857142</v>
      </c>
      <c r="P35" s="14">
        <f t="shared" si="33"/>
        <v>42.000741952671746</v>
      </c>
      <c r="Q35" s="22">
        <f t="shared" ref="Q35:Q66" si="53">(O35+P35)*0.475*44/12</f>
        <v>360.77808747233183</v>
      </c>
      <c r="R35" s="62">
        <f t="shared" si="0"/>
        <v>654.11142080566515</v>
      </c>
      <c r="S35" s="62">
        <f ca="1">AVERAGE(OFFSET($R$3,0,0,'Données projet'!$E$9+1,1))-AVERAGE(OFFSET($H$3,0,0,'Données projet'!$E$9+1,1))</f>
        <v>374.79806286316051</v>
      </c>
      <c r="T35" s="62">
        <f t="shared" si="34"/>
        <v>350.01856672839466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21.068157224543075</v>
      </c>
      <c r="AB35" s="23">
        <f>EXP(-LN(2)/2)*AB34+(1-EXP(-LN(2)/2))/(LN(2)/2)*V35*Y35*VLOOKUP('Données projet'!$B$9,Paramètres!$A$1:$I$89,3,0)*0.475*44/12</f>
        <v>5.5038905208426279</v>
      </c>
      <c r="AC35" s="24">
        <f t="shared" si="3"/>
        <v>26.572047745385703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10.6</v>
      </c>
      <c r="AI35" s="14">
        <f>IF('Données projet'!$A$62&gt;35,AI34+AH35-AQ34,IF(A35&lt;'Données projet'!$A$62,$AF$205^A35,IF(A35='Données projet'!$A$62,'Données projet'!$B$62,AI34+AH35-AQ34)))</f>
        <v>168.2</v>
      </c>
      <c r="AJ35" s="14">
        <f>AI35*VLOOKUP('Données projet'!$B$10,Paramètres!$A$1:$I$89,3,0)*VLOOKUP('Données projet'!$B$10,Paramètres!$A$1:$I$89,5,0)</f>
        <v>133.81992</v>
      </c>
      <c r="AK35" s="14">
        <f t="shared" si="35"/>
        <v>34.877537443386267</v>
      </c>
      <c r="AL35" s="22">
        <f t="shared" si="4"/>
        <v>293.81473838056445</v>
      </c>
      <c r="AM35" s="62">
        <f t="shared" si="5"/>
        <v>587.14807171389771</v>
      </c>
      <c r="AN35" s="62">
        <f ca="1">AVERAGE(OFFSET($AM$3,0,0,'Données projet'!$E$10+1,1))-AVERAGE(OFFSET($H$3,0,0,'Données projet'!$E$10+1,1))</f>
        <v>310.15624717801779</v>
      </c>
      <c r="AO35" s="62">
        <f t="shared" si="36"/>
        <v>294.28794439094889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6.5384615384615383</v>
      </c>
      <c r="BD35" s="13">
        <f>IF('Données projet'!$A$88&gt;35,BD34+BC35-BL34,IF(A35&lt;'Données projet'!$A$88,$BA$205^A35,IF(A35='Données projet'!$A$88,'Données projet'!$B$88,BD34+BC35-BL34)))</f>
        <v>101.5384615384615</v>
      </c>
      <c r="BE35" s="14">
        <f>BD35*VLOOKUP('Données projet'!$B$11,Paramètres!$A$1:$I$89,3,0)*VLOOKUP('Données projet'!$B$11,Paramètres!$A$1:$I$89,5,0)</f>
        <v>68.111999999999981</v>
      </c>
      <c r="BF35" s="14">
        <f t="shared" si="37"/>
        <v>19.203857153488375</v>
      </c>
      <c r="BG35" s="22">
        <f t="shared" si="7"/>
        <v>152.07511787565889</v>
      </c>
      <c r="BH35" s="62">
        <f t="shared" si="8"/>
        <v>445.40845120899223</v>
      </c>
      <c r="BI35" s="62">
        <f ca="1">AVERAGE(OFFSET($BH$3,0,0,'Données projet'!$E$11+1,1))-AVERAGE(OFFSET($H$3,0,0,'Données projet'!$E$11+1,1))</f>
        <v>261.34571165681393</v>
      </c>
      <c r="BJ35" s="62">
        <f t="shared" si="38"/>
        <v>207.9851454455669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19.857142857142858</v>
      </c>
      <c r="N36" s="14">
        <f>IF('Données projet'!$A$36&gt;35,N35+M36-V35,IF(A36&lt;'Données projet'!$A$36,$K$205^A36,IF(A36='Données projet'!$A$36,'Données projet'!$B$36,N35+M36-V35)))</f>
        <v>315.28571428571422</v>
      </c>
      <c r="O36" s="14">
        <f>N36*VLOOKUP('Données projet'!$B$9,Paramètres!$A$1:$I$89,3,0)*VLOOKUP('Données projet'!$B$9,Paramètres!$A$1:$I$89,5,0)</f>
        <v>176.24471428571425</v>
      </c>
      <c r="P36" s="14">
        <f t="shared" si="33"/>
        <v>44.485681868533291</v>
      </c>
      <c r="Q36" s="22">
        <f t="shared" si="53"/>
        <v>384.43877330198114</v>
      </c>
      <c r="R36" s="62">
        <f t="shared" si="0"/>
        <v>677.77210663531446</v>
      </c>
      <c r="S36" s="62">
        <f ca="1">AVERAGE(OFFSET($R$3,0,0,'Données projet'!$E$9+1,1))-AVERAGE(OFFSET($H$3,0,0,'Données projet'!$E$9+1,1))</f>
        <v>374.79806286316051</v>
      </c>
      <c r="T36" s="62">
        <f t="shared" si="34"/>
        <v>350.01856672839466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20.492047357311709</v>
      </c>
      <c r="AB36" s="23">
        <f>EXP(-LN(2)/2)*AB35+(1-EXP(-LN(2)/2))/(LN(2)/2)*V36*Y36*VLOOKUP('Données projet'!$B$9,Paramètres!$A$1:$I$89,3,0)*0.475*44/12</f>
        <v>3.8918383101961815</v>
      </c>
      <c r="AC36" s="24">
        <f t="shared" si="3"/>
        <v>24.38388566750789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10.6</v>
      </c>
      <c r="AI36" s="14">
        <f>IF('Données projet'!$A$62&gt;35,AI35+AH36-AQ35,IF(A36&lt;'Données projet'!$A$62,$AF$205^A36,IF(A36='Données projet'!$A$62,'Données projet'!$B$62,AI35+AH36-AQ35)))</f>
        <v>178.79999999999998</v>
      </c>
      <c r="AJ36" s="14">
        <f>AI36*VLOOKUP('Données projet'!$B$10,Paramètres!$A$1:$I$89,3,0)*VLOOKUP('Données projet'!$B$10,Paramètres!$A$1:$I$89,5,0)</f>
        <v>142.25327999999999</v>
      </c>
      <c r="AK36" s="14">
        <f t="shared" si="35"/>
        <v>36.812719642712231</v>
      </c>
      <c r="AL36" s="22">
        <f t="shared" si="4"/>
        <v>311.87328271105707</v>
      </c>
      <c r="AM36" s="62">
        <f t="shared" si="5"/>
        <v>605.20661604439033</v>
      </c>
      <c r="AN36" s="62">
        <f ca="1">AVERAGE(OFFSET($AM$3,0,0,'Données projet'!$E$10+1,1))-AVERAGE(OFFSET($H$3,0,0,'Données projet'!$E$10+1,1))</f>
        <v>310.15624717801779</v>
      </c>
      <c r="AO36" s="62">
        <f t="shared" si="36"/>
        <v>294.28794439094889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6.5384615384615383</v>
      </c>
      <c r="BD36" s="13">
        <f>IF('Données projet'!$A$88&gt;35,BD35+BC36-BL35,IF(A36&lt;'Données projet'!$A$88,$BA$205^A36,IF(A36='Données projet'!$A$88,'Données projet'!$B$88,BD35+BC36-BL35)))</f>
        <v>108.07692307692304</v>
      </c>
      <c r="BE36" s="14">
        <f>BD36*VLOOKUP('Données projet'!$B$11,Paramètres!$A$1:$I$89,3,0)*VLOOKUP('Données projet'!$B$11,Paramètres!$A$1:$I$89,5,0)</f>
        <v>72.497999999999976</v>
      </c>
      <c r="BF36" s="14">
        <f t="shared" si="37"/>
        <v>20.292527413120823</v>
      </c>
      <c r="BG36" s="22">
        <f t="shared" si="7"/>
        <v>161.61016857785205</v>
      </c>
      <c r="BH36" s="62">
        <f t="shared" si="8"/>
        <v>454.94350191118536</v>
      </c>
      <c r="BI36" s="62">
        <f ca="1">AVERAGE(OFFSET($BH$3,0,0,'Données projet'!$E$11+1,1))-AVERAGE(OFFSET($H$3,0,0,'Données projet'!$E$11+1,1))</f>
        <v>261.34571165681393</v>
      </c>
      <c r="BJ36" s="62">
        <f t="shared" si="38"/>
        <v>207.9851454455669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19.857142857142858</v>
      </c>
      <c r="N37" s="14">
        <f>IF('Données projet'!$A$36&gt;35,N36+M37-V36,IF(A37&lt;'Données projet'!$A$36,$K$205^A37,IF(A37='Données projet'!$A$36,'Données projet'!$B$36,N36+M37-V36)))</f>
        <v>335.14285714285705</v>
      </c>
      <c r="O37" s="14">
        <f>N37*VLOOKUP('Données projet'!$B$9,Paramètres!$A$1:$I$89,3,0)*VLOOKUP('Données projet'!$B$9,Paramètres!$A$1:$I$89,5,0)</f>
        <v>187.34485714285708</v>
      </c>
      <c r="P37" s="14">
        <f t="shared" si="33"/>
        <v>46.95245853654621</v>
      </c>
      <c r="Q37" s="22">
        <f t="shared" si="53"/>
        <v>408.06782480829406</v>
      </c>
      <c r="R37" s="62">
        <f t="shared" si="0"/>
        <v>701.40115814162732</v>
      </c>
      <c r="S37" s="62">
        <f ca="1">AVERAGE(OFFSET($R$3,0,0,'Données projet'!$E$9+1,1))-AVERAGE(OFFSET($H$3,0,0,'Données projet'!$E$9+1,1))</f>
        <v>374.79806286316051</v>
      </c>
      <c r="T37" s="62">
        <f t="shared" si="34"/>
        <v>350.01856672839466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19.931691244696086</v>
      </c>
      <c r="AB37" s="23">
        <f>EXP(-LN(2)/2)*AB36+(1-EXP(-LN(2)/2))/(LN(2)/2)*V37*Y37*VLOOKUP('Données projet'!$B$9,Paramètres!$A$1:$I$89,3,0)*0.475*44/12</f>
        <v>2.7519452604213144</v>
      </c>
      <c r="AC37" s="24">
        <f t="shared" si="3"/>
        <v>22.683636505117402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10.6</v>
      </c>
      <c r="AI37" s="14">
        <f>IF('Données projet'!$A$62&gt;35,AI36+AH37-AQ36,IF(A37&lt;'Données projet'!$A$62,$AF$205^A37,IF(A37='Données projet'!$A$62,'Données projet'!$B$62,AI36+AH37-AQ36)))</f>
        <v>189.39999999999998</v>
      </c>
      <c r="AJ37" s="14">
        <f>AI37*VLOOKUP('Données projet'!$B$10,Paramètres!$A$1:$I$89,3,0)*VLOOKUP('Données projet'!$B$10,Paramètres!$A$1:$I$89,5,0)</f>
        <v>150.68663999999998</v>
      </c>
      <c r="AK37" s="14">
        <f t="shared" si="35"/>
        <v>38.734585523437175</v>
      </c>
      <c r="AL37" s="22">
        <f t="shared" si="4"/>
        <v>329.90863445331973</v>
      </c>
      <c r="AM37" s="62">
        <f t="shared" si="5"/>
        <v>623.24196778665305</v>
      </c>
      <c r="AN37" s="62">
        <f ca="1">AVERAGE(OFFSET($AM$3,0,0,'Données projet'!$E$10+1,1))-AVERAGE(OFFSET($H$3,0,0,'Données projet'!$E$10+1,1))</f>
        <v>310.15624717801779</v>
      </c>
      <c r="AO37" s="62">
        <f t="shared" si="36"/>
        <v>294.28794439094889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6.5384615384615383</v>
      </c>
      <c r="BD37" s="13">
        <f>IF('Données projet'!$A$88&gt;35,BD36+BC37-BL36,IF(A37&lt;'Données projet'!$A$88,$BA$205^A37,IF(A37='Données projet'!$A$88,'Données projet'!$B$88,BD36+BC37-BL36)))</f>
        <v>114.61538461538457</v>
      </c>
      <c r="BE37" s="14">
        <f>BD37*VLOOKUP('Données projet'!$B$11,Paramètres!$A$1:$I$89,3,0)*VLOOKUP('Données projet'!$B$11,Paramètres!$A$1:$I$89,5,0)</f>
        <v>76.883999999999972</v>
      </c>
      <c r="BF37" s="14">
        <f t="shared" si="37"/>
        <v>21.373553273140757</v>
      </c>
      <c r="BG37" s="22">
        <f t="shared" si="7"/>
        <v>171.13190528405343</v>
      </c>
      <c r="BH37" s="62">
        <f t="shared" si="8"/>
        <v>464.46523861738672</v>
      </c>
      <c r="BI37" s="62">
        <f ca="1">AVERAGE(OFFSET($BH$3,0,0,'Données projet'!$E$11+1,1))-AVERAGE(OFFSET($H$3,0,0,'Données projet'!$E$11+1,1))</f>
        <v>261.34571165681393</v>
      </c>
      <c r="BJ37" s="62">
        <f t="shared" si="38"/>
        <v>207.9851454455669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355</v>
      </c>
      <c r="L38" s="13">
        <f>VLOOKUP(A38,'Données projet'!$A$35:$I$55,9,0)</f>
        <v>19.857142857142858</v>
      </c>
      <c r="M38" s="13">
        <f t="array" ref="M38">INDEX(L:L,MIN(IF(ISNUMBER(L38:L234),ROW(L38:L234),"")))</f>
        <v>19.857142857142858</v>
      </c>
      <c r="N38" s="14">
        <f>IF('Données projet'!$A$36&gt;35,N37+M38-V37,IF(A38&lt;'Données projet'!$A$36,$K$205^A38,IF(A38='Données projet'!$A$36,'Données projet'!$B$36,N37+M38-V37)))</f>
        <v>354.99999999999989</v>
      </c>
      <c r="O38" s="14">
        <f>N38*VLOOKUP('Données projet'!$B$9,Paramètres!$A$1:$I$89,3,0)*VLOOKUP('Données projet'!$B$9,Paramètres!$A$1:$I$89,5,0)</f>
        <v>198.44499999999994</v>
      </c>
      <c r="P38" s="14">
        <f t="shared" si="33"/>
        <v>49.40227070134226</v>
      </c>
      <c r="Q38" s="22">
        <f t="shared" si="53"/>
        <v>431.66732980483766</v>
      </c>
      <c r="R38" s="62">
        <f t="shared" si="0"/>
        <v>725.00066313817092</v>
      </c>
      <c r="S38" s="62">
        <f ca="1">AVERAGE(OFFSET($R$3,0,0,'Données projet'!$E$9+1,1))-AVERAGE(OFFSET($H$3,0,0,'Données projet'!$E$9+1,1))</f>
        <v>374.79806286316051</v>
      </c>
      <c r="T38" s="62">
        <f t="shared" si="34"/>
        <v>350.01856672839466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73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19.386658099447782</v>
      </c>
      <c r="AB38" s="23">
        <f>EXP(-LN(2)/2)*AB37+(1-EXP(-LN(2)/2))/(LN(2)/2)*V38*Y38*VLOOKUP('Données projet'!$B$9,Paramètres!$A$1:$I$89,3,0)*0.475*44/12</f>
        <v>1.945919155098091</v>
      </c>
      <c r="AC38" s="24">
        <f t="shared" si="3"/>
        <v>21.332577254545875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200</v>
      </c>
      <c r="AG38" s="13">
        <f>VLOOKUP(A38,'Données projet'!$A$61:$I$81,9,0)</f>
        <v>10.6</v>
      </c>
      <c r="AH38" s="13">
        <f t="array" ref="AH38">INDEX(AG:AG,MIN(IF(ISNUMBER(AG38:AG234),ROW(AG38:AG234),"")))</f>
        <v>10.6</v>
      </c>
      <c r="AI38" s="14">
        <f>IF('Données projet'!$A$62&gt;35,AI37+AH38-AQ37,IF(A38&lt;'Données projet'!$A$62,$AF$205^A38,IF(A38='Données projet'!$A$62,'Données projet'!$B$62,AI37+AH38-AQ37)))</f>
        <v>199.99999999999997</v>
      </c>
      <c r="AJ38" s="14">
        <f>AI38*VLOOKUP('Données projet'!$B$10,Paramètres!$A$1:$I$89,3,0)*VLOOKUP('Données projet'!$B$10,Paramètres!$A$1:$I$89,5,0)</f>
        <v>159.11999999999998</v>
      </c>
      <c r="AK38" s="14">
        <f t="shared" si="35"/>
        <v>40.643965284387697</v>
      </c>
      <c r="AL38" s="22">
        <f t="shared" si="4"/>
        <v>347.92223953697516</v>
      </c>
      <c r="AM38" s="62">
        <f t="shared" si="5"/>
        <v>641.25557287030847</v>
      </c>
      <c r="AN38" s="62">
        <f ca="1">AVERAGE(OFFSET($AM$3,0,0,'Données projet'!$E$10+1,1))-AVERAGE(OFFSET($H$3,0,0,'Données projet'!$E$10+1,1))</f>
        <v>310.15624717801779</v>
      </c>
      <c r="AO38" s="62">
        <f t="shared" si="36"/>
        <v>294.28794439094889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56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121.15384615384615</v>
      </c>
      <c r="BB38" s="13">
        <f>VLOOKUP(A38,'Données projet'!$A$87:$I$107,9,0)</f>
        <v>6.5384615384615383</v>
      </c>
      <c r="BC38" s="13">
        <f t="array" ref="BC38">INDEX(BB:BB,MIN(IF(ISNUMBER(BB38:BB234),ROW(BB38:BB234),"")))</f>
        <v>6.5384615384615383</v>
      </c>
      <c r="BD38" s="13">
        <f>IF('Données projet'!$A$88&gt;35,BD37+BC38-BL37,IF(A38&lt;'Données projet'!$A$88,$BA$205^A38,IF(A38='Données projet'!$A$88,'Données projet'!$B$88,BD37+BC38-BL37)))</f>
        <v>121.1538461538461</v>
      </c>
      <c r="BE38" s="14">
        <f>BD38*VLOOKUP('Données projet'!$B$11,Paramètres!$A$1:$I$89,3,0)*VLOOKUP('Données projet'!$B$11,Paramètres!$A$1:$I$89,5,0)</f>
        <v>81.269999999999968</v>
      </c>
      <c r="BF38" s="14">
        <f t="shared" si="37"/>
        <v>22.447420513130801</v>
      </c>
      <c r="BG38" s="22">
        <f t="shared" si="7"/>
        <v>180.64117406036942</v>
      </c>
      <c r="BH38" s="62">
        <f t="shared" si="8"/>
        <v>473.97450739370277</v>
      </c>
      <c r="BI38" s="62">
        <f ca="1">AVERAGE(OFFSET($BH$3,0,0,'Données projet'!$E$11+1,1))-AVERAGE(OFFSET($H$3,0,0,'Données projet'!$E$11+1,1))</f>
        <v>261.34571165681393</v>
      </c>
      <c r="BJ38" s="62">
        <f t="shared" si="38"/>
        <v>207.9851454455669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19.571428571428573</v>
      </c>
      <c r="N39" s="14">
        <f>IF('Données projet'!$A$36&gt;35,N38+M39-V38,IF(A39&lt;'Données projet'!$A$36,$K$205^A39,IF(A39='Données projet'!$A$36,'Données projet'!$B$36,N38+M39-V38)))</f>
        <v>301.57142857142844</v>
      </c>
      <c r="O39" s="14">
        <f>N39*VLOOKUP('Données projet'!$B$9,Paramètres!$A$1:$I$89,3,0)*VLOOKUP('Données projet'!$B$9,Paramètres!$A$1:$I$89,5,0)</f>
        <v>168.5784285714285</v>
      </c>
      <c r="P39" s="14">
        <f t="shared" si="33"/>
        <v>42.771483439273169</v>
      </c>
      <c r="Q39" s="22">
        <f t="shared" si="53"/>
        <v>368.10109675197208</v>
      </c>
      <c r="R39" s="62">
        <f t="shared" si="0"/>
        <v>661.43443008530539</v>
      </c>
      <c r="S39" s="62">
        <f ca="1">AVERAGE(OFFSET($R$3,0,0,'Données projet'!$E$9+1,1))-AVERAGE(OFFSET($H$3,0,0,'Données projet'!$E$9+1,1))</f>
        <v>374.79806286316051</v>
      </c>
      <c r="T39" s="62">
        <f t="shared" si="34"/>
        <v>350.01856672839466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18.856528914218341</v>
      </c>
      <c r="AB39" s="23">
        <f>EXP(-LN(2)/2)*AB38+(1-EXP(-LN(2)/2))/(LN(2)/2)*V39*Y39*VLOOKUP('Données projet'!$B$9,Paramètres!$A$1:$I$89,3,0)*0.475*44/12</f>
        <v>1.3759726302106574</v>
      </c>
      <c r="AC39" s="24">
        <f t="shared" si="3"/>
        <v>20.232501544428999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9.6</v>
      </c>
      <c r="AI39" s="14">
        <f>IF('Données projet'!$A$62&gt;35,AI38+AH39-AQ38,IF(A39&lt;'Données projet'!$A$62,$AF$205^A39,IF(A39='Données projet'!$A$62,'Données projet'!$B$62,AI38+AH39-AQ38)))</f>
        <v>153.59999999999997</v>
      </c>
      <c r="AJ39" s="14">
        <f>AI39*VLOOKUP('Données projet'!$B$10,Paramètres!$A$1:$I$89,3,0)*VLOOKUP('Données projet'!$B$10,Paramètres!$A$1:$I$89,5,0)</f>
        <v>122.20415999999997</v>
      </c>
      <c r="AK39" s="14">
        <f t="shared" si="35"/>
        <v>32.188537573102444</v>
      </c>
      <c r="AL39" s="22">
        <f t="shared" si="4"/>
        <v>268.90061493982006</v>
      </c>
      <c r="AM39" s="62">
        <f t="shared" si="5"/>
        <v>562.23394827315337</v>
      </c>
      <c r="AN39" s="62">
        <f ca="1">AVERAGE(OFFSET($AM$3,0,0,'Données projet'!$E$10+1,1))-AVERAGE(OFFSET($H$3,0,0,'Données projet'!$E$10+1,1))</f>
        <v>310.15624717801779</v>
      </c>
      <c r="AO39" s="62">
        <f t="shared" si="36"/>
        <v>294.28794439094889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6.2820512820512846</v>
      </c>
      <c r="BD39" s="13">
        <f>IF('Données projet'!$A$88&gt;35,BD38+BC39-BL38,IF(A39&lt;'Données projet'!$A$88,$BA$205^A39,IF(A39='Données projet'!$A$88,'Données projet'!$B$88,BD38+BC39-BL38)))</f>
        <v>127.43589743589739</v>
      </c>
      <c r="BE39" s="14">
        <f>BD39*VLOOKUP('Données projet'!$B$11,Paramètres!$A$1:$I$89,3,0)*VLOOKUP('Données projet'!$B$11,Paramètres!$A$1:$I$89,5,0)</f>
        <v>85.483999999999966</v>
      </c>
      <c r="BF39" s="14">
        <f t="shared" si="37"/>
        <v>23.472832821569867</v>
      </c>
      <c r="BG39" s="22">
        <f t="shared" si="7"/>
        <v>189.7664838309008</v>
      </c>
      <c r="BH39" s="62">
        <f t="shared" si="8"/>
        <v>483.09981716423408</v>
      </c>
      <c r="BI39" s="62">
        <f ca="1">AVERAGE(OFFSET($BH$3,0,0,'Données projet'!$E$11+1,1))-AVERAGE(OFFSET($H$3,0,0,'Données projet'!$E$11+1,1))</f>
        <v>261.34571165681393</v>
      </c>
      <c r="BJ39" s="62">
        <f t="shared" si="38"/>
        <v>207.9851454455669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19.571428571428573</v>
      </c>
      <c r="N40" s="14">
        <f>IF('Données projet'!$A$36&gt;35,N39+M40-V39,IF(A40&lt;'Données projet'!$A$36,$K$205^A40,IF(A40='Données projet'!$A$36,'Données projet'!$B$36,N39+M40-V39)))</f>
        <v>321.142857142857</v>
      </c>
      <c r="O40" s="14">
        <f>N40*VLOOKUP('Données projet'!$B$9,Paramètres!$A$1:$I$89,3,0)*VLOOKUP('Données projet'!$B$9,Paramètres!$A$1:$I$89,5,0)</f>
        <v>179.51885714285706</v>
      </c>
      <c r="P40" s="14">
        <f t="shared" si="33"/>
        <v>45.215124075787188</v>
      </c>
      <c r="Q40" s="22">
        <f t="shared" si="53"/>
        <v>391.41168395580547</v>
      </c>
      <c r="R40" s="62">
        <f t="shared" si="0"/>
        <v>684.74501728913879</v>
      </c>
      <c r="S40" s="62">
        <f ca="1">AVERAGE(OFFSET($R$3,0,0,'Données projet'!$E$9+1,1))-AVERAGE(OFFSET($H$3,0,0,'Données projet'!$E$9+1,1))</f>
        <v>374.79806286316051</v>
      </c>
      <c r="T40" s="62">
        <f t="shared" si="34"/>
        <v>350.01856672839466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18.340896139437284</v>
      </c>
      <c r="AB40" s="23">
        <f>EXP(-LN(2)/2)*AB39+(1-EXP(-LN(2)/2))/(LN(2)/2)*V40*Y40*VLOOKUP('Données projet'!$B$9,Paramètres!$A$1:$I$89,3,0)*0.475*44/12</f>
        <v>0.97295957754904572</v>
      </c>
      <c r="AC40" s="24">
        <f t="shared" si="3"/>
        <v>19.313855716986328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9.6</v>
      </c>
      <c r="AI40" s="14">
        <f>IF('Données projet'!$A$62&gt;35,AI39+AH40-AQ39,IF(A40&lt;'Données projet'!$A$62,$AF$205^A40,IF(A40='Données projet'!$A$62,'Données projet'!$B$62,AI39+AH40-AQ39)))</f>
        <v>163.19999999999996</v>
      </c>
      <c r="AJ40" s="14">
        <f>AI40*VLOOKUP('Données projet'!$B$10,Paramètres!$A$1:$I$89,3,0)*VLOOKUP('Données projet'!$B$10,Paramètres!$A$1:$I$89,5,0)</f>
        <v>129.84191999999999</v>
      </c>
      <c r="AK40" s="14">
        <f t="shared" si="35"/>
        <v>33.959829099416851</v>
      </c>
      <c r="AL40" s="22">
        <f t="shared" si="4"/>
        <v>285.288046348151</v>
      </c>
      <c r="AM40" s="62">
        <f t="shared" si="5"/>
        <v>578.62137968148431</v>
      </c>
      <c r="AN40" s="62">
        <f ca="1">AVERAGE(OFFSET($AM$3,0,0,'Données projet'!$E$10+1,1))-AVERAGE(OFFSET($H$3,0,0,'Données projet'!$E$10+1,1))</f>
        <v>310.15624717801779</v>
      </c>
      <c r="AO40" s="62">
        <f t="shared" si="36"/>
        <v>294.28794439094889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6.2820512820512846</v>
      </c>
      <c r="BD40" s="13">
        <f>IF('Données projet'!$A$88&gt;35,BD39+BC40-BL39,IF(A40&lt;'Données projet'!$A$88,$BA$205^A40,IF(A40='Données projet'!$A$88,'Données projet'!$B$88,BD39+BC40-BL39)))</f>
        <v>133.71794871794867</v>
      </c>
      <c r="BE40" s="14">
        <f>BD40*VLOOKUP('Données projet'!$B$11,Paramètres!$A$1:$I$89,3,0)*VLOOKUP('Données projet'!$B$11,Paramètres!$A$1:$I$89,5,0)</f>
        <v>89.697999999999979</v>
      </c>
      <c r="BF40" s="14">
        <f t="shared" si="37"/>
        <v>24.492375624045465</v>
      </c>
      <c r="BG40" s="22">
        <f t="shared" si="7"/>
        <v>198.88157087854583</v>
      </c>
      <c r="BH40" s="62">
        <f t="shared" si="8"/>
        <v>492.21490421187912</v>
      </c>
      <c r="BI40" s="62">
        <f ca="1">AVERAGE(OFFSET($BH$3,0,0,'Données projet'!$E$11+1,1))-AVERAGE(OFFSET($H$3,0,0,'Données projet'!$E$11+1,1))</f>
        <v>261.34571165681393</v>
      </c>
      <c r="BJ40" s="62">
        <f t="shared" si="38"/>
        <v>207.9851454455669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19.571428571428573</v>
      </c>
      <c r="N41" s="14">
        <f>IF('Données projet'!$A$36&gt;35,N40+M41-V40,IF(A41&lt;'Données projet'!$A$36,$K$205^A41,IF(A41='Données projet'!$A$36,'Données projet'!$B$36,N40+M41-V40)))</f>
        <v>340.71428571428555</v>
      </c>
      <c r="O41" s="14">
        <f>N41*VLOOKUP('Données projet'!$B$9,Paramètres!$A$1:$I$89,3,0)*VLOOKUP('Données projet'!$B$9,Paramètres!$A$1:$I$89,5,0)</f>
        <v>190.45928571428561</v>
      </c>
      <c r="P41" s="14">
        <f t="shared" si="33"/>
        <v>47.641480128932045</v>
      </c>
      <c r="Q41" s="22">
        <f t="shared" si="53"/>
        <v>414.6921671769374</v>
      </c>
      <c r="R41" s="62">
        <f t="shared" si="0"/>
        <v>708.02550051027072</v>
      </c>
      <c r="S41" s="62">
        <f ca="1">AVERAGE(OFFSET($R$3,0,0,'Données projet'!$E$9+1,1))-AVERAGE(OFFSET($H$3,0,0,'Données projet'!$E$9+1,1))</f>
        <v>374.79806286316051</v>
      </c>
      <c r="T41" s="62">
        <f t="shared" si="34"/>
        <v>350.01856672839466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17.839363369998562</v>
      </c>
      <c r="AB41" s="23">
        <f>EXP(-LN(2)/2)*AB40+(1-EXP(-LN(2)/2))/(LN(2)/2)*V41*Y41*VLOOKUP('Données projet'!$B$9,Paramètres!$A$1:$I$89,3,0)*0.475*44/12</f>
        <v>0.68798631510532882</v>
      </c>
      <c r="AC41" s="24">
        <f t="shared" si="3"/>
        <v>18.527349685103889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9.6</v>
      </c>
      <c r="AI41" s="14">
        <f>IF('Données projet'!$A$62&gt;35,AI40+AH41-AQ40,IF(A41&lt;'Données projet'!$A$62,$AF$205^A41,IF(A41='Données projet'!$A$62,'Données projet'!$B$62,AI40+AH41-AQ40)))</f>
        <v>172.79999999999995</v>
      </c>
      <c r="AJ41" s="14">
        <f>AI41*VLOOKUP('Données projet'!$B$10,Paramètres!$A$1:$I$89,3,0)*VLOOKUP('Données projet'!$B$10,Paramètres!$A$1:$I$89,5,0)</f>
        <v>137.47967999999997</v>
      </c>
      <c r="AK41" s="14">
        <f t="shared" si="35"/>
        <v>35.719026553355249</v>
      </c>
      <c r="AL41" s="22">
        <f t="shared" si="4"/>
        <v>301.65441391376038</v>
      </c>
      <c r="AM41" s="62">
        <f t="shared" si="5"/>
        <v>594.98774724709369</v>
      </c>
      <c r="AN41" s="62">
        <f ca="1">AVERAGE(OFFSET($AM$3,0,0,'Données projet'!$E$10+1,1))-AVERAGE(OFFSET($H$3,0,0,'Données projet'!$E$10+1,1))</f>
        <v>310.15624717801779</v>
      </c>
      <c r="AO41" s="62">
        <f t="shared" si="36"/>
        <v>294.28794439094889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6.2820512820512846</v>
      </c>
      <c r="BD41" s="13">
        <f>IF('Données projet'!$A$88&gt;35,BD40+BC41-BL40,IF(A41&lt;'Données projet'!$A$88,$BA$205^A41,IF(A41='Données projet'!$A$88,'Données projet'!$B$88,BD40+BC41-BL40)))</f>
        <v>139.99999999999994</v>
      </c>
      <c r="BE41" s="14">
        <f>BD41*VLOOKUP('Données projet'!$B$11,Paramètres!$A$1:$I$89,3,0)*VLOOKUP('Données projet'!$B$11,Paramètres!$A$1:$I$89,5,0)</f>
        <v>93.911999999999964</v>
      </c>
      <c r="BF41" s="14">
        <f t="shared" si="37"/>
        <v>25.506356157232645</v>
      </c>
      <c r="BG41" s="22">
        <f t="shared" si="7"/>
        <v>207.98697030718009</v>
      </c>
      <c r="BH41" s="62">
        <f t="shared" si="8"/>
        <v>501.32030364051343</v>
      </c>
      <c r="BI41" s="62">
        <f ca="1">AVERAGE(OFFSET($BH$3,0,0,'Données projet'!$E$11+1,1))-AVERAGE(OFFSET($H$3,0,0,'Données projet'!$E$11+1,1))</f>
        <v>261.34571165681393</v>
      </c>
      <c r="BJ41" s="62">
        <f t="shared" si="38"/>
        <v>207.9851454455669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19.571428571428573</v>
      </c>
      <c r="N42" s="14">
        <f>IF('Données projet'!$A$36&gt;35,N41+M42-V41,IF(A42&lt;'Données projet'!$A$36,$K$205^A42,IF(A42='Données projet'!$A$36,'Données projet'!$B$36,N41+M42-V41)))</f>
        <v>360.28571428571411</v>
      </c>
      <c r="O42" s="14">
        <f>N42*VLOOKUP('Données projet'!$B$9,Paramètres!$A$1:$I$89,3,0)*VLOOKUP('Données projet'!$B$9,Paramètres!$A$1:$I$89,5,0)</f>
        <v>201.39971428571417</v>
      </c>
      <c r="P42" s="14">
        <f t="shared" si="33"/>
        <v>50.051657588658017</v>
      </c>
      <c r="Q42" s="22">
        <f t="shared" si="53"/>
        <v>437.94447268119819</v>
      </c>
      <c r="R42" s="62">
        <f t="shared" si="0"/>
        <v>731.27780601453151</v>
      </c>
      <c r="S42" s="62">
        <f ca="1">AVERAGE(OFFSET($R$3,0,0,'Données projet'!$E$9+1,1))-AVERAGE(OFFSET($H$3,0,0,'Données projet'!$E$9+1,1))</f>
        <v>374.79806286316051</v>
      </c>
      <c r="T42" s="62">
        <f t="shared" si="34"/>
        <v>350.01856672839466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17.351545040514605</v>
      </c>
      <c r="AB42" s="23">
        <f>EXP(-LN(2)/2)*AB41+(1-EXP(-LN(2)/2))/(LN(2)/2)*V42*Y42*VLOOKUP('Données projet'!$B$9,Paramètres!$A$1:$I$89,3,0)*0.475*44/12</f>
        <v>0.48647978877452291</v>
      </c>
      <c r="AC42" s="24">
        <f t="shared" si="3"/>
        <v>17.838024829289129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9.6</v>
      </c>
      <c r="AI42" s="14">
        <f>IF('Données projet'!$A$62&gt;35,AI41+AH42-AQ41,IF(A42&lt;'Données projet'!$A$62,$AF$205^A42,IF(A42='Données projet'!$A$62,'Données projet'!$B$62,AI41+AH42-AQ41)))</f>
        <v>182.39999999999995</v>
      </c>
      <c r="AJ42" s="14">
        <f>AI42*VLOOKUP('Données projet'!$B$10,Paramètres!$A$1:$I$89,3,0)*VLOOKUP('Données projet'!$B$10,Paramètres!$A$1:$I$89,5,0)</f>
        <v>145.11743999999996</v>
      </c>
      <c r="AK42" s="14">
        <f t="shared" si="35"/>
        <v>37.466878406916173</v>
      </c>
      <c r="AL42" s="22">
        <f t="shared" si="4"/>
        <v>318.00102122537891</v>
      </c>
      <c r="AM42" s="62">
        <f t="shared" si="5"/>
        <v>611.33435455871222</v>
      </c>
      <c r="AN42" s="62">
        <f ca="1">AVERAGE(OFFSET($AM$3,0,0,'Données projet'!$E$10+1,1))-AVERAGE(OFFSET($H$3,0,0,'Données projet'!$E$10+1,1))</f>
        <v>310.15624717801779</v>
      </c>
      <c r="AO42" s="62">
        <f t="shared" si="36"/>
        <v>294.28794439094889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6.2820512820512846</v>
      </c>
      <c r="BD42" s="13">
        <f>IF('Données projet'!$A$88&gt;35,BD41+BC42-BL41,IF(A42&lt;'Données projet'!$A$88,$BA$205^A42,IF(A42='Données projet'!$A$88,'Données projet'!$B$88,BD41+BC42-BL41)))</f>
        <v>146.28205128205121</v>
      </c>
      <c r="BE42" s="14">
        <f>BD42*VLOOKUP('Données projet'!$B$11,Paramètres!$A$1:$I$89,3,0)*VLOOKUP('Données projet'!$B$11,Paramètres!$A$1:$I$89,5,0)</f>
        <v>98.125999999999962</v>
      </c>
      <c r="BF42" s="14">
        <f t="shared" si="37"/>
        <v>26.515052526532699</v>
      </c>
      <c r="BG42" s="22">
        <f t="shared" si="7"/>
        <v>217.08316648371104</v>
      </c>
      <c r="BH42" s="62">
        <f t="shared" si="8"/>
        <v>510.41649981704438</v>
      </c>
      <c r="BI42" s="62">
        <f ca="1">AVERAGE(OFFSET($BH$3,0,0,'Données projet'!$E$11+1,1))-AVERAGE(OFFSET($H$3,0,0,'Données projet'!$E$11+1,1))</f>
        <v>261.34571165681393</v>
      </c>
      <c r="BJ42" s="62">
        <f t="shared" si="38"/>
        <v>207.9851454455669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19.571428571428573</v>
      </c>
      <c r="N43" s="14">
        <f>IF('Données projet'!$A$36&gt;35,N42+M43-V42,IF(A43&lt;'Données projet'!$A$36,$K$205^A43,IF(A43='Données projet'!$A$36,'Données projet'!$B$36,N42+M43-V42)))</f>
        <v>379.85714285714266</v>
      </c>
      <c r="O43" s="14">
        <f>N43*VLOOKUP('Données projet'!$B$9,Paramètres!$A$1:$I$89,3,0)*VLOOKUP('Données projet'!$B$9,Paramètres!$A$1:$I$89,5,0)</f>
        <v>212.34014285714278</v>
      </c>
      <c r="P43" s="14">
        <f t="shared" si="33"/>
        <v>52.446635499473253</v>
      </c>
      <c r="Q43" s="22">
        <f t="shared" si="53"/>
        <v>461.17030563777286</v>
      </c>
      <c r="R43" s="62">
        <f t="shared" si="0"/>
        <v>754.50363897110617</v>
      </c>
      <c r="S43" s="62">
        <f ca="1">AVERAGE(OFFSET($R$3,0,0,'Données projet'!$E$9+1,1))-AVERAGE(OFFSET($H$3,0,0,'Données projet'!$E$9+1,1))</f>
        <v>374.79806286316051</v>
      </c>
      <c r="T43" s="62">
        <f t="shared" si="34"/>
        <v>350.01856672839466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16.877066128903635</v>
      </c>
      <c r="AB43" s="23">
        <f>EXP(-LN(2)/2)*AB42+(1-EXP(-LN(2)/2))/(LN(2)/2)*V43*Y43*VLOOKUP('Données projet'!$B$9,Paramètres!$A$1:$I$89,3,0)*0.475*44/12</f>
        <v>0.34399315755266446</v>
      </c>
      <c r="AC43" s="24">
        <f t="shared" si="3"/>
        <v>17.221059286456299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192</v>
      </c>
      <c r="AG43" s="13">
        <f>VLOOKUP(A43,'Données projet'!$A$61:$I$81,9,0)</f>
        <v>9.6</v>
      </c>
      <c r="AH43" s="13">
        <f t="array" ref="AH43">INDEX(AG:AG,MIN(IF(ISNUMBER(AG43:AG239),ROW(AG43:AG239),"")))</f>
        <v>9.6</v>
      </c>
      <c r="AI43" s="14">
        <f>IF('Données projet'!$A$62&gt;35,AI42+AH43-AQ42,IF(A43&lt;'Données projet'!$A$62,$AF$205^A43,IF(A43='Données projet'!$A$62,'Données projet'!$B$62,AI42+AH43-AQ42)))</f>
        <v>191.99999999999994</v>
      </c>
      <c r="AJ43" s="14">
        <f>AI43*VLOOKUP('Données projet'!$B$10,Paramètres!$A$1:$I$89,3,0)*VLOOKUP('Données projet'!$B$10,Paramètres!$A$1:$I$89,5,0)</f>
        <v>152.75519999999997</v>
      </c>
      <c r="AK43" s="14">
        <f t="shared" si="35"/>
        <v>39.204049895729561</v>
      </c>
      <c r="AL43" s="22">
        <f t="shared" si="4"/>
        <v>334.32902690172892</v>
      </c>
      <c r="AM43" s="62">
        <f t="shared" si="5"/>
        <v>627.66236023506224</v>
      </c>
      <c r="AN43" s="62">
        <f ca="1">AVERAGE(OFFSET($AM$3,0,0,'Données projet'!$E$10+1,1))-AVERAGE(OFFSET($H$3,0,0,'Données projet'!$E$10+1,1))</f>
        <v>310.15624717801779</v>
      </c>
      <c r="AO43" s="62">
        <f t="shared" si="36"/>
        <v>294.28794439094889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152.56410256410257</v>
      </c>
      <c r="BB43" s="13">
        <f>VLOOKUP(A43,'Données projet'!$A$87:$I$107,9,0)</f>
        <v>6.2820512820512846</v>
      </c>
      <c r="BC43" s="13">
        <f t="array" ref="BC43">INDEX(BB:BB,MIN(IF(ISNUMBER(BB43:BB239),ROW(BB43:BB239),"")))</f>
        <v>6.2820512820512846</v>
      </c>
      <c r="BD43" s="13">
        <f>IF('Données projet'!$A$88&gt;35,BD42+BC43-BL42,IF(A43&lt;'Données projet'!$A$88,$BA$205^A43,IF(A43='Données projet'!$A$88,'Données projet'!$B$88,BD42+BC43-BL42)))</f>
        <v>152.56410256410248</v>
      </c>
      <c r="BE43" s="14">
        <f>BD43*VLOOKUP('Données projet'!$B$11,Paramètres!$A$1:$I$89,3,0)*VLOOKUP('Données projet'!$B$11,Paramètres!$A$1:$I$89,5,0)</f>
        <v>102.33999999999996</v>
      </c>
      <c r="BF43" s="14">
        <f t="shared" si="37"/>
        <v>27.518717600046635</v>
      </c>
      <c r="BG43" s="22">
        <f t="shared" si="7"/>
        <v>226.17059982008115</v>
      </c>
      <c r="BH43" s="62">
        <f t="shared" si="8"/>
        <v>519.50393315341444</v>
      </c>
      <c r="BI43" s="62">
        <f ca="1">AVERAGE(OFFSET($BH$3,0,0,'Données projet'!$E$11+1,1))-AVERAGE(OFFSET($H$3,0,0,'Données projet'!$E$11+1,1))</f>
        <v>261.34571165681393</v>
      </c>
      <c r="BJ43" s="62">
        <f t="shared" si="38"/>
        <v>207.9851454455669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28.205128205128204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19.571428571428573</v>
      </c>
      <c r="N44" s="14">
        <f>IF('Données projet'!$A$36&gt;35,N43+M44-V43,IF(A44&lt;'Données projet'!$A$36,$K$205^A44,IF(A44='Données projet'!$A$36,'Données projet'!$B$36,N43+M44-V43)))</f>
        <v>399.42857142857122</v>
      </c>
      <c r="O44" s="14">
        <f>N44*VLOOKUP('Données projet'!$B$9,Paramètres!$A$1:$I$89,3,0)*VLOOKUP('Données projet'!$B$9,Paramètres!$A$1:$I$89,5,0)</f>
        <v>223.28057142857133</v>
      </c>
      <c r="P44" s="14">
        <f t="shared" si="33"/>
        <v>54.827286320639246</v>
      </c>
      <c r="Q44" s="22">
        <f t="shared" si="53"/>
        <v>484.37118557987498</v>
      </c>
      <c r="R44" s="62">
        <f t="shared" si="0"/>
        <v>777.70451891320829</v>
      </c>
      <c r="S44" s="62">
        <f ca="1">AVERAGE(OFFSET($R$3,0,0,'Données projet'!$E$9+1,1))-AVERAGE(OFFSET($H$3,0,0,'Données projet'!$E$9+1,1))</f>
        <v>374.79806286316051</v>
      </c>
      <c r="T44" s="62">
        <f t="shared" si="34"/>
        <v>350.01856672839466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16.415561868082431</v>
      </c>
      <c r="AB44" s="23">
        <f>EXP(-LN(2)/2)*AB43+(1-EXP(-LN(2)/2))/(LN(2)/2)*V44*Y44*VLOOKUP('Données projet'!$B$9,Paramètres!$A$1:$I$89,3,0)*0.475*44/12</f>
        <v>0.24323989438726148</v>
      </c>
      <c r="AC44" s="24">
        <f t="shared" si="3"/>
        <v>16.658801762469693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8.1999999999999993</v>
      </c>
      <c r="AI44" s="14">
        <f>IF('Données projet'!$A$62&gt;35,AI43+AH44-AQ43,IF(A44&lt;'Données projet'!$A$62,$AF$205^A44,IF(A44='Données projet'!$A$62,'Données projet'!$B$62,AI43+AH44-AQ43)))</f>
        <v>200.19999999999993</v>
      </c>
      <c r="AJ44" s="14">
        <f>AI44*VLOOKUP('Données projet'!$B$10,Paramètres!$A$1:$I$89,3,0)*VLOOKUP('Données projet'!$B$10,Paramètres!$A$1:$I$89,5,0)</f>
        <v>159.27911999999995</v>
      </c>
      <c r="AK44" s="14">
        <f t="shared" si="35"/>
        <v>40.679876202753306</v>
      </c>
      <c r="AL44" s="22">
        <f t="shared" si="4"/>
        <v>348.26191838646196</v>
      </c>
      <c r="AM44" s="62">
        <f t="shared" si="5"/>
        <v>641.59525171979521</v>
      </c>
      <c r="AN44" s="62">
        <f ca="1">AVERAGE(OFFSET($AM$3,0,0,'Données projet'!$E$10+1,1))-AVERAGE(OFFSET($H$3,0,0,'Données projet'!$E$10+1,1))</f>
        <v>310.15624717801779</v>
      </c>
      <c r="AO44" s="62">
        <f t="shared" si="36"/>
        <v>294.28794439094889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5.7692307692307683</v>
      </c>
      <c r="BD44" s="13">
        <f>IF('Données projet'!$A$88&gt;35,BD43+BC44-BL43,IF(A44&lt;'Données projet'!$A$88,$BA$205^A44,IF(A44='Données projet'!$A$88,'Données projet'!$B$88,BD43+BC44-BL43)))</f>
        <v>130.12820512820505</v>
      </c>
      <c r="BE44" s="14">
        <f>BD44*VLOOKUP('Données projet'!$B$11,Paramètres!$A$1:$I$89,3,0)*VLOOKUP('Données projet'!$B$11,Paramètres!$A$1:$I$89,5,0)</f>
        <v>87.289999999999949</v>
      </c>
      <c r="BF44" s="14">
        <f t="shared" si="37"/>
        <v>23.910479818711725</v>
      </c>
      <c r="BG44" s="22">
        <f t="shared" si="7"/>
        <v>193.67416901758949</v>
      </c>
      <c r="BH44" s="62">
        <f t="shared" si="8"/>
        <v>487.00750235092278</v>
      </c>
      <c r="BI44" s="62">
        <f ca="1">AVERAGE(OFFSET($BH$3,0,0,'Données projet'!$E$11+1,1))-AVERAGE(OFFSET($H$3,0,0,'Données projet'!$E$11+1,1))</f>
        <v>261.34571165681393</v>
      </c>
      <c r="BJ44" s="62">
        <f t="shared" si="38"/>
        <v>207.9851454455669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419</v>
      </c>
      <c r="L45" s="13">
        <f>VLOOKUP(A45,'Données projet'!$A$35:$I$55,9,0)</f>
        <v>19.571428571428573</v>
      </c>
      <c r="M45" s="13">
        <f t="array" ref="M45">INDEX(L:L,MIN(IF(ISNUMBER(L45:L241),ROW(L45:L241),"")))</f>
        <v>19.571428571428573</v>
      </c>
      <c r="N45" s="14">
        <f>IF('Données projet'!$A$36&gt;35,N44+M45-V44,IF(A45&lt;'Données projet'!$A$36,$K$205^A45,IF(A45='Données projet'!$A$36,'Données projet'!$B$36,N44+M45-V44)))</f>
        <v>418.99999999999977</v>
      </c>
      <c r="O45" s="14">
        <f>N45*VLOOKUP('Données projet'!$B$9,Paramètres!$A$1:$I$89,3,0)*VLOOKUP('Données projet'!$B$9,Paramètres!$A$1:$I$89,5,0)</f>
        <v>234.22099999999989</v>
      </c>
      <c r="P45" s="14">
        <f t="shared" si="33"/>
        <v>57.194392182630075</v>
      </c>
      <c r="Q45" s="22">
        <f t="shared" si="53"/>
        <v>507.54847471808051</v>
      </c>
      <c r="R45" s="62">
        <f t="shared" si="0"/>
        <v>800.88180805141383</v>
      </c>
      <c r="S45" s="62">
        <f ca="1">AVERAGE(OFFSET($R$3,0,0,'Données projet'!$E$9+1,1))-AVERAGE(OFFSET($H$3,0,0,'Données projet'!$E$9+1,1))</f>
        <v>374.79806286316051</v>
      </c>
      <c r="T45" s="62">
        <f t="shared" si="34"/>
        <v>350.01856672839466</v>
      </c>
      <c r="U45" s="16">
        <f>IF(ISNA(VLOOKUP(A45,'Données projet'!$A$35:$I$55,3,0)),0,VLOOKUP(A45,'Données projet'!$A$35:$I$55,3,0))</f>
        <v>4</v>
      </c>
      <c r="V45" s="16">
        <f>IF(ISNA(VLOOKUP(A45,'Données projet'!$A$35:$I$55,4,0)),0,VLOOKUP(A45,'Données projet'!$A$35:$I$55,4,0))</f>
        <v>77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15.966677465542837</v>
      </c>
      <c r="AB45" s="23">
        <f>EXP(-LN(2)/2)*AB44+(1-EXP(-LN(2)/2))/(LN(2)/2)*V45*Y45*VLOOKUP('Données projet'!$B$9,Paramètres!$A$1:$I$89,3,0)*0.475*44/12</f>
        <v>0.17199657877633226</v>
      </c>
      <c r="AC45" s="24">
        <f t="shared" si="3"/>
        <v>16.138674044319171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8.1999999999999993</v>
      </c>
      <c r="AI45" s="14">
        <f>IF('Données projet'!$A$62&gt;35,AI44+AH45-AQ44,IF(A45&lt;'Données projet'!$A$62,$AF$205^A45,IF(A45='Données projet'!$A$62,'Données projet'!$B$62,AI44+AH45-AQ44)))</f>
        <v>208.39999999999992</v>
      </c>
      <c r="AJ45" s="14">
        <f>AI45*VLOOKUP('Données projet'!$B$10,Paramètres!$A$1:$I$89,3,0)*VLOOKUP('Données projet'!$B$10,Paramètres!$A$1:$I$89,5,0)</f>
        <v>165.80303999999995</v>
      </c>
      <c r="AK45" s="14">
        <f t="shared" si="35"/>
        <v>42.148680985457837</v>
      </c>
      <c r="AL45" s="22">
        <f t="shared" si="4"/>
        <v>362.18258071633903</v>
      </c>
      <c r="AM45" s="62">
        <f t="shared" si="5"/>
        <v>655.51591404967235</v>
      </c>
      <c r="AN45" s="62">
        <f ca="1">AVERAGE(OFFSET($AM$3,0,0,'Données projet'!$E$10+1,1))-AVERAGE(OFFSET($H$3,0,0,'Données projet'!$E$10+1,1))</f>
        <v>310.15624717801779</v>
      </c>
      <c r="AO45" s="62">
        <f t="shared" si="36"/>
        <v>294.28794439094889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5.7692307692307683</v>
      </c>
      <c r="BD45" s="13">
        <f>IF('Données projet'!$A$88&gt;35,BD44+BC45-BL44,IF(A45&lt;'Données projet'!$A$88,$BA$205^A45,IF(A45='Données projet'!$A$88,'Données projet'!$B$88,BD44+BC45-BL44)))</f>
        <v>135.89743589743583</v>
      </c>
      <c r="BE45" s="14">
        <f>BD45*VLOOKUP('Données projet'!$B$11,Paramètres!$A$1:$I$89,3,0)*VLOOKUP('Données projet'!$B$11,Paramètres!$A$1:$I$89,5,0)</f>
        <v>91.159999999999954</v>
      </c>
      <c r="BF45" s="14">
        <f t="shared" si="37"/>
        <v>24.844780200578068</v>
      </c>
      <c r="BG45" s="22">
        <f t="shared" si="7"/>
        <v>202.04165884934005</v>
      </c>
      <c r="BH45" s="62">
        <f t="shared" si="8"/>
        <v>495.3749921826734</v>
      </c>
      <c r="BI45" s="62">
        <f ca="1">AVERAGE(OFFSET($BH$3,0,0,'Données projet'!$E$11+1,1))-AVERAGE(OFFSET($H$3,0,0,'Données projet'!$E$11+1,1))</f>
        <v>261.34571165681393</v>
      </c>
      <c r="BJ45" s="62">
        <f t="shared" si="38"/>
        <v>207.9851454455669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18.714285714285715</v>
      </c>
      <c r="N46" s="14">
        <f>IF('Données projet'!$A$36&gt;35,N45+M46-V45,IF(A46&lt;'Données projet'!$A$36,$K$205^A46,IF(A46='Données projet'!$A$36,'Données projet'!$B$36,N45+M46-V45)))</f>
        <v>360.7142857142855</v>
      </c>
      <c r="O46" s="14">
        <f>N46*VLOOKUP('Données projet'!$B$9,Paramètres!$A$1:$I$89,3,0)*VLOOKUP('Données projet'!$B$9,Paramètres!$A$1:$I$89,5,0)</f>
        <v>201.63928571428559</v>
      </c>
      <c r="P46" s="14">
        <f t="shared" si="33"/>
        <v>50.104261772905943</v>
      </c>
      <c r="Q46" s="22">
        <f t="shared" si="53"/>
        <v>438.45334520685856</v>
      </c>
      <c r="R46" s="62">
        <f t="shared" si="0"/>
        <v>731.78667854019182</v>
      </c>
      <c r="S46" s="62">
        <f ca="1">AVERAGE(OFFSET($R$3,0,0,'Données projet'!$E$9+1,1))-AVERAGE(OFFSET($H$3,0,0,'Données projet'!$E$9+1,1))</f>
        <v>374.79806286316051</v>
      </c>
      <c r="T46" s="62">
        <f t="shared" si="34"/>
        <v>350.01856672839466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15.530067830596492</v>
      </c>
      <c r="AB46" s="23">
        <f>EXP(-LN(2)/2)*AB45+(1-EXP(-LN(2)/2))/(LN(2)/2)*V46*Y46*VLOOKUP('Données projet'!$B$9,Paramètres!$A$1:$I$89,3,0)*0.475*44/12</f>
        <v>0.12161994719363077</v>
      </c>
      <c r="AC46" s="24">
        <f t="shared" si="3"/>
        <v>15.651687777790123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8.1999999999999993</v>
      </c>
      <c r="AI46" s="14">
        <f>IF('Données projet'!$A$62&gt;35,AI45+AH46-AQ45,IF(A46&lt;'Données projet'!$A$62,$AF$205^A46,IF(A46='Données projet'!$A$62,'Données projet'!$B$62,AI45+AH46-AQ45)))</f>
        <v>216.59999999999991</v>
      </c>
      <c r="AJ46" s="14">
        <f>AI46*VLOOKUP('Données projet'!$B$10,Paramètres!$A$1:$I$89,3,0)*VLOOKUP('Données projet'!$B$10,Paramètres!$A$1:$I$89,5,0)</f>
        <v>172.32695999999993</v>
      </c>
      <c r="AK46" s="14">
        <f t="shared" si="35"/>
        <v>43.610772138081288</v>
      </c>
      <c r="AL46" s="22">
        <f t="shared" si="4"/>
        <v>376.09155014049139</v>
      </c>
      <c r="AM46" s="62">
        <f t="shared" si="5"/>
        <v>669.42488347382471</v>
      </c>
      <c r="AN46" s="62">
        <f ca="1">AVERAGE(OFFSET($AM$3,0,0,'Données projet'!$E$10+1,1))-AVERAGE(OFFSET($H$3,0,0,'Données projet'!$E$10+1,1))</f>
        <v>310.15624717801779</v>
      </c>
      <c r="AO46" s="62">
        <f t="shared" si="36"/>
        <v>294.28794439094889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5.7692307692307683</v>
      </c>
      <c r="BD46" s="13">
        <f>IF('Données projet'!$A$88&gt;35,BD45+BC46-BL45,IF(A46&lt;'Données projet'!$A$88,$BA$205^A46,IF(A46='Données projet'!$A$88,'Données projet'!$B$88,BD45+BC46-BL45)))</f>
        <v>141.6666666666666</v>
      </c>
      <c r="BE46" s="14">
        <f>BD46*VLOOKUP('Données projet'!$B$11,Paramètres!$A$1:$I$89,3,0)*VLOOKUP('Données projet'!$B$11,Paramètres!$A$1:$I$89,5,0)</f>
        <v>95.029999999999959</v>
      </c>
      <c r="BF46" s="14">
        <f t="shared" si="37"/>
        <v>25.774473655280186</v>
      </c>
      <c r="BG46" s="22">
        <f t="shared" si="7"/>
        <v>210.40112494961292</v>
      </c>
      <c r="BH46" s="62">
        <f t="shared" si="8"/>
        <v>503.73445828294621</v>
      </c>
      <c r="BI46" s="62">
        <f ca="1">AVERAGE(OFFSET($BH$3,0,0,'Données projet'!$E$11+1,1))-AVERAGE(OFFSET($H$3,0,0,'Données projet'!$E$11+1,1))</f>
        <v>261.34571165681393</v>
      </c>
      <c r="BJ46" s="62">
        <f t="shared" si="38"/>
        <v>207.9851454455669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18.714285714285715</v>
      </c>
      <c r="N47" s="14">
        <f>IF('Données projet'!$A$36&gt;35,N46+M47-V46,IF(A47&lt;'Données projet'!$A$36,$K$205^A47,IF(A47='Données projet'!$A$36,'Données projet'!$B$36,N46+M47-V46)))</f>
        <v>379.42857142857122</v>
      </c>
      <c r="O47" s="14">
        <f>N47*VLOOKUP('Données projet'!$B$9,Paramètres!$A$1:$I$89,3,0)*VLOOKUP('Données projet'!$B$9,Paramètres!$A$1:$I$89,5,0)</f>
        <v>212.10057142857133</v>
      </c>
      <c r="P47" s="14">
        <f t="shared" si="33"/>
        <v>52.394347167709434</v>
      </c>
      <c r="Q47" s="22">
        <f t="shared" si="53"/>
        <v>460.66198322185556</v>
      </c>
      <c r="R47" s="62">
        <f t="shared" si="0"/>
        <v>753.99531655518888</v>
      </c>
      <c r="S47" s="62">
        <f ca="1">AVERAGE(OFFSET($R$3,0,0,'Données projet'!$E$9+1,1))-AVERAGE(OFFSET($H$3,0,0,'Données projet'!$E$9+1,1))</f>
        <v>374.79806286316051</v>
      </c>
      <c r="T47" s="62">
        <f t="shared" si="34"/>
        <v>350.01856672839466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15.105397309078057</v>
      </c>
      <c r="AB47" s="23">
        <f>EXP(-LN(2)/2)*AB46+(1-EXP(-LN(2)/2))/(LN(2)/2)*V47*Y47*VLOOKUP('Données projet'!$B$9,Paramètres!$A$1:$I$89,3,0)*0.475*44/12</f>
        <v>8.5998289388166144E-2</v>
      </c>
      <c r="AC47" s="24">
        <f t="shared" si="3"/>
        <v>15.191395598466224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8.1999999999999993</v>
      </c>
      <c r="AI47" s="14">
        <f>IF('Données projet'!$A$62&gt;35,AI46+AH47-AQ46,IF(A47&lt;'Données projet'!$A$62,$AF$205^A47,IF(A47='Données projet'!$A$62,'Données projet'!$B$62,AI46+AH47-AQ46)))</f>
        <v>224.7999999999999</v>
      </c>
      <c r="AJ47" s="14">
        <f>AI47*VLOOKUP('Données projet'!$B$10,Paramètres!$A$1:$I$89,3,0)*VLOOKUP('Données projet'!$B$10,Paramètres!$A$1:$I$89,5,0)</f>
        <v>178.85087999999993</v>
      </c>
      <c r="AK47" s="14">
        <f t="shared" si="35"/>
        <v>45.066432921978375</v>
      </c>
      <c r="AL47" s="22">
        <f t="shared" si="4"/>
        <v>389.98932000577884</v>
      </c>
      <c r="AM47" s="62">
        <f t="shared" si="5"/>
        <v>683.32265333911209</v>
      </c>
      <c r="AN47" s="62">
        <f ca="1">AVERAGE(OFFSET($AM$3,0,0,'Données projet'!$E$10+1,1))-AVERAGE(OFFSET($H$3,0,0,'Données projet'!$E$10+1,1))</f>
        <v>310.15624717801779</v>
      </c>
      <c r="AO47" s="62">
        <f t="shared" si="36"/>
        <v>294.28794439094889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5.7692307692307683</v>
      </c>
      <c r="BD47" s="13">
        <f>IF('Données projet'!$A$88&gt;35,BD46+BC47-BL46,IF(A47&lt;'Données projet'!$A$88,$BA$205^A47,IF(A47='Données projet'!$A$88,'Données projet'!$B$88,BD46+BC47-BL46)))</f>
        <v>147.43589743589737</v>
      </c>
      <c r="BE47" s="14">
        <f>BD47*VLOOKUP('Données projet'!$B$11,Paramètres!$A$1:$I$89,3,0)*VLOOKUP('Données projet'!$B$11,Paramètres!$A$1:$I$89,5,0)</f>
        <v>98.899999999999963</v>
      </c>
      <c r="BF47" s="14">
        <f t="shared" si="37"/>
        <v>26.699769255487553</v>
      </c>
      <c r="BG47" s="22">
        <f t="shared" si="7"/>
        <v>218.75293145330741</v>
      </c>
      <c r="BH47" s="62">
        <f t="shared" si="8"/>
        <v>512.08626478664075</v>
      </c>
      <c r="BI47" s="62">
        <f ca="1">AVERAGE(OFFSET($BH$3,0,0,'Données projet'!$E$11+1,1))-AVERAGE(OFFSET($H$3,0,0,'Données projet'!$E$11+1,1))</f>
        <v>261.34571165681393</v>
      </c>
      <c r="BJ47" s="62">
        <f t="shared" si="38"/>
        <v>207.9851454455669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18.714285714285715</v>
      </c>
      <c r="N48" s="14">
        <f>IF('Données projet'!$A$36&gt;35,N47+M48-V47,IF(A48&lt;'Données projet'!$A$36,$K$205^A48,IF(A48='Données projet'!$A$36,'Données projet'!$B$36,N47+M48-V47)))</f>
        <v>398.14285714285694</v>
      </c>
      <c r="O48" s="14">
        <f>N48*VLOOKUP('Données projet'!$B$9,Paramètres!$A$1:$I$89,3,0)*VLOOKUP('Données projet'!$B$9,Paramètres!$A$1:$I$89,5,0)</f>
        <v>222.56185714285704</v>
      </c>
      <c r="P48" s="14">
        <f t="shared" si="33"/>
        <v>54.671316974727738</v>
      </c>
      <c r="Q48" s="22">
        <f t="shared" si="53"/>
        <v>482.84777825479341</v>
      </c>
      <c r="R48" s="62">
        <f t="shared" si="0"/>
        <v>776.18111158812667</v>
      </c>
      <c r="S48" s="62">
        <f ca="1">AVERAGE(OFFSET($R$3,0,0,'Données projet'!$E$9+1,1))-AVERAGE(OFFSET($H$3,0,0,'Données projet'!$E$9+1,1))</f>
        <v>374.79806286316051</v>
      </c>
      <c r="T48" s="62">
        <f t="shared" si="34"/>
        <v>350.01856672839466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14.692339425302997</v>
      </c>
      <c r="AB48" s="23">
        <f>EXP(-LN(2)/2)*AB47+(1-EXP(-LN(2)/2))/(LN(2)/2)*V48*Y48*VLOOKUP('Données projet'!$B$9,Paramètres!$A$1:$I$89,3,0)*0.475*44/12</f>
        <v>6.0809973596815392E-2</v>
      </c>
      <c r="AC48" s="24">
        <f t="shared" si="3"/>
        <v>14.753149398899811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233</v>
      </c>
      <c r="AG48" s="13">
        <f>VLOOKUP(A48,'Données projet'!$A$61:$I$81,9,0)</f>
        <v>8.1999999999999993</v>
      </c>
      <c r="AH48" s="13">
        <f t="array" ref="AH48">INDEX(AG:AG,MIN(IF(ISNUMBER(AG48:AG244),ROW(AG48:AG244),"")))</f>
        <v>8.1999999999999993</v>
      </c>
      <c r="AI48" s="14">
        <f>IF('Données projet'!$A$62&gt;35,AI47+AH48-AQ47,IF(A48&lt;'Données projet'!$A$62,$AF$205^A48,IF(A48='Données projet'!$A$62,'Données projet'!$B$62,AI47+AH48-AQ47)))</f>
        <v>232.99999999999989</v>
      </c>
      <c r="AJ48" s="14">
        <f>AI48*VLOOKUP('Données projet'!$B$10,Paramètres!$A$1:$I$89,3,0)*VLOOKUP('Données projet'!$B$10,Paramètres!$A$1:$I$89,5,0)</f>
        <v>185.37479999999991</v>
      </c>
      <c r="AK48" s="14">
        <f t="shared" si="35"/>
        <v>46.515924762412688</v>
      </c>
      <c r="AL48" s="22">
        <f t="shared" si="4"/>
        <v>403.8763456278686</v>
      </c>
      <c r="AM48" s="62">
        <f t="shared" si="5"/>
        <v>697.20967896120192</v>
      </c>
      <c r="AN48" s="62">
        <f ca="1">AVERAGE(OFFSET($AM$3,0,0,'Données projet'!$E$10+1,1))-AVERAGE(OFFSET($H$3,0,0,'Données projet'!$E$10+1,1))</f>
        <v>310.15624717801779</v>
      </c>
      <c r="AO48" s="62">
        <f t="shared" si="36"/>
        <v>294.28794439094889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50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153.2051282051282</v>
      </c>
      <c r="BB48" s="13">
        <f>VLOOKUP(A48,'Données projet'!$A$87:$I$107,9,0)</f>
        <v>5.7692307692307683</v>
      </c>
      <c r="BC48" s="13">
        <f t="array" ref="BC48">INDEX(BB:BB,MIN(IF(ISNUMBER(BB48:BB244),ROW(BB48:BB244),"")))</f>
        <v>5.7692307692307683</v>
      </c>
      <c r="BD48" s="13">
        <f>IF('Données projet'!$A$88&gt;35,BD47+BC48-BL47,IF(A48&lt;'Données projet'!$A$88,$BA$205^A48,IF(A48='Données projet'!$A$88,'Données projet'!$B$88,BD47+BC48-BL47)))</f>
        <v>153.20512820512815</v>
      </c>
      <c r="BE48" s="14">
        <f>BD48*VLOOKUP('Données projet'!$B$11,Paramètres!$A$1:$I$89,3,0)*VLOOKUP('Données projet'!$B$11,Paramètres!$A$1:$I$89,5,0)</f>
        <v>102.76999999999995</v>
      </c>
      <c r="BF48" s="14">
        <f t="shared" si="37"/>
        <v>27.62085878525345</v>
      </c>
      <c r="BG48" s="22">
        <f t="shared" si="7"/>
        <v>227.09741238431636</v>
      </c>
      <c r="BH48" s="62">
        <f t="shared" si="8"/>
        <v>520.43074571764964</v>
      </c>
      <c r="BI48" s="62">
        <f ca="1">AVERAGE(OFFSET($BH$3,0,0,'Données projet'!$E$11+1,1))-AVERAGE(OFFSET($H$3,0,0,'Données projet'!$E$11+1,1))</f>
        <v>261.34571165681393</v>
      </c>
      <c r="BJ48" s="62">
        <f t="shared" si="38"/>
        <v>207.9851454455669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18.714285714285715</v>
      </c>
      <c r="N49" s="14">
        <f>IF('Données projet'!$A$36&gt;35,N48+M49-V48,IF(A49&lt;'Données projet'!$A$36,$K$205^A49,IF(A49='Données projet'!$A$36,'Données projet'!$B$36,N48+M49-V48)))</f>
        <v>416.85714285714266</v>
      </c>
      <c r="O49" s="14">
        <f>N49*VLOOKUP('Données projet'!$B$9,Paramètres!$A$1:$I$89,3,0)*VLOOKUP('Données projet'!$B$9,Paramètres!$A$1:$I$89,5,0)</f>
        <v>233.02314285714277</v>
      </c>
      <c r="P49" s="14">
        <f t="shared" si="33"/>
        <v>56.935858075040223</v>
      </c>
      <c r="Q49" s="22">
        <f t="shared" si="53"/>
        <v>505.01192662355203</v>
      </c>
      <c r="R49" s="62">
        <f t="shared" si="0"/>
        <v>798.34525995688534</v>
      </c>
      <c r="S49" s="62">
        <f ca="1">AVERAGE(OFFSET($R$3,0,0,'Données projet'!$E$9+1,1))-AVERAGE(OFFSET($H$3,0,0,'Données projet'!$E$9+1,1))</f>
        <v>374.79806286316051</v>
      </c>
      <c r="T49" s="62">
        <f t="shared" si="34"/>
        <v>350.01856672839466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14.290576631081535</v>
      </c>
      <c r="AB49" s="23">
        <f>EXP(-LN(2)/2)*AB48+(1-EXP(-LN(2)/2))/(LN(2)/2)*V49*Y49*VLOOKUP('Données projet'!$B$9,Paramètres!$A$1:$I$89,3,0)*0.475*44/12</f>
        <v>4.2999144694083079E-2</v>
      </c>
      <c r="AC49" s="24">
        <f t="shared" si="3"/>
        <v>14.333575775775618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</v>
      </c>
      <c r="AI49" s="14">
        <f>IF('Données projet'!$A$62&gt;35,AI48+AH49-AQ48,IF(A49&lt;'Données projet'!$A$62,$AF$205^A49,IF(A49='Données projet'!$A$62,'Données projet'!$B$62,AI48+AH49-AQ48)))</f>
        <v>189.99999999999989</v>
      </c>
      <c r="AJ49" s="14">
        <f>AI49*VLOOKUP('Données projet'!$B$10,Paramètres!$A$1:$I$89,3,0)*VLOOKUP('Données projet'!$B$10,Paramètres!$A$1:$I$89,5,0)</f>
        <v>151.16399999999993</v>
      </c>
      <c r="AK49" s="14">
        <f t="shared" si="35"/>
        <v>38.842989674159945</v>
      </c>
      <c r="AL49" s="22">
        <f t="shared" si="4"/>
        <v>330.92884034916182</v>
      </c>
      <c r="AM49" s="62">
        <f t="shared" si="5"/>
        <v>624.26217368249513</v>
      </c>
      <c r="AN49" s="62">
        <f ca="1">AVERAGE(OFFSET($AM$3,0,0,'Données projet'!$E$10+1,1))-AVERAGE(OFFSET($H$3,0,0,'Données projet'!$E$10+1,1))</f>
        <v>310.15624717801779</v>
      </c>
      <c r="AO49" s="62">
        <f t="shared" si="36"/>
        <v>294.28794439094889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5.5128205128205137</v>
      </c>
      <c r="BD49" s="13">
        <f>IF('Données projet'!$A$88&gt;35,BD48+BC49-BL48,IF(A49&lt;'Données projet'!$A$88,$BA$205^A49,IF(A49='Données projet'!$A$88,'Données projet'!$B$88,BD48+BC49-BL48)))</f>
        <v>158.71794871794867</v>
      </c>
      <c r="BE49" s="14">
        <f>BD49*VLOOKUP('Données projet'!$B$11,Paramètres!$A$1:$I$89,3,0)*VLOOKUP('Données projet'!$B$11,Paramètres!$A$1:$I$89,5,0)</f>
        <v>106.46799999999996</v>
      </c>
      <c r="BF49" s="14">
        <f t="shared" si="37"/>
        <v>28.497243809169849</v>
      </c>
      <c r="BG49" s="22">
        <f t="shared" si="7"/>
        <v>235.06446630097074</v>
      </c>
      <c r="BH49" s="62">
        <f t="shared" si="8"/>
        <v>528.39779963430408</v>
      </c>
      <c r="BI49" s="62">
        <f ca="1">AVERAGE(OFFSET($BH$3,0,0,'Données projet'!$E$11+1,1))-AVERAGE(OFFSET($H$3,0,0,'Données projet'!$E$11+1,1))</f>
        <v>261.34571165681393</v>
      </c>
      <c r="BJ49" s="62">
        <f t="shared" si="38"/>
        <v>207.9851454455669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18.714285714285715</v>
      </c>
      <c r="N50" s="14">
        <f>IF('Données projet'!$A$36&gt;35,N49+M50-V49,IF(A50&lt;'Données projet'!$A$36,$K$205^A50,IF(A50='Données projet'!$A$36,'Données projet'!$B$36,N49+M50-V49)))</f>
        <v>435.57142857142838</v>
      </c>
      <c r="O50" s="14">
        <f>N50*VLOOKUP('Données projet'!$B$9,Paramètres!$A$1:$I$89,3,0)*VLOOKUP('Données projet'!$B$9,Paramètres!$A$1:$I$89,5,0)</f>
        <v>243.48442857142848</v>
      </c>
      <c r="P50" s="14">
        <f t="shared" si="33"/>
        <v>59.188592189821975</v>
      </c>
      <c r="Q50" s="22">
        <f t="shared" si="53"/>
        <v>527.15551115917788</v>
      </c>
      <c r="R50" s="62">
        <f t="shared" si="0"/>
        <v>820.48884449251113</v>
      </c>
      <c r="S50" s="62">
        <f ca="1">AVERAGE(OFFSET($R$3,0,0,'Données projet'!$E$9+1,1))-AVERAGE(OFFSET($H$3,0,0,'Données projet'!$E$9+1,1))</f>
        <v>374.79806286316051</v>
      </c>
      <c r="T50" s="62">
        <f t="shared" si="34"/>
        <v>350.01856672839466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13.899800061595847</v>
      </c>
      <c r="AB50" s="23">
        <f>EXP(-LN(2)/2)*AB49+(1-EXP(-LN(2)/2))/(LN(2)/2)*V50*Y50*VLOOKUP('Données projet'!$B$9,Paramètres!$A$1:$I$89,3,0)*0.475*44/12</f>
        <v>3.0404986798407703E-2</v>
      </c>
      <c r="AC50" s="24">
        <f t="shared" si="3"/>
        <v>13.930205048394255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</v>
      </c>
      <c r="AI50" s="14">
        <f>IF('Données projet'!$A$62&gt;35,AI49+AH50-AQ49,IF(A50&lt;'Données projet'!$A$62,$AF$205^A50,IF(A50='Données projet'!$A$62,'Données projet'!$B$62,AI49+AH50-AQ49)))</f>
        <v>196.99999999999989</v>
      </c>
      <c r="AJ50" s="14">
        <f>AI50*VLOOKUP('Données projet'!$B$10,Paramètres!$A$1:$I$89,3,0)*VLOOKUP('Données projet'!$B$10,Paramètres!$A$1:$I$89,5,0)</f>
        <v>156.73319999999993</v>
      </c>
      <c r="AK50" s="14">
        <f t="shared" si="35"/>
        <v>40.104797241533646</v>
      </c>
      <c r="AL50" s="22">
        <f t="shared" si="4"/>
        <v>342.82617852900427</v>
      </c>
      <c r="AM50" s="62">
        <f t="shared" si="5"/>
        <v>636.15951186233758</v>
      </c>
      <c r="AN50" s="62">
        <f ca="1">AVERAGE(OFFSET($AM$3,0,0,'Données projet'!$E$10+1,1))-AVERAGE(OFFSET($H$3,0,0,'Données projet'!$E$10+1,1))</f>
        <v>310.15624717801779</v>
      </c>
      <c r="AO50" s="62">
        <f t="shared" si="36"/>
        <v>294.28794439094889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5.5128205128205137</v>
      </c>
      <c r="BD50" s="13">
        <f>IF('Données projet'!$A$88&gt;35,BD49+BC50-BL49,IF(A50&lt;'Données projet'!$A$88,$BA$205^A50,IF(A50='Données projet'!$A$88,'Données projet'!$B$88,BD49+BC50-BL49)))</f>
        <v>164.2307692307692</v>
      </c>
      <c r="BE50" s="14">
        <f>BD50*VLOOKUP('Données projet'!$B$11,Paramètres!$A$1:$I$89,3,0)*VLOOKUP('Données projet'!$B$11,Paramètres!$A$1:$I$89,5,0)</f>
        <v>110.16599999999998</v>
      </c>
      <c r="BF50" s="14">
        <f t="shared" si="37"/>
        <v>29.370092034164426</v>
      </c>
      <c r="BG50" s="22">
        <f t="shared" si="7"/>
        <v>243.02536029283627</v>
      </c>
      <c r="BH50" s="62">
        <f t="shared" si="8"/>
        <v>536.35869362616961</v>
      </c>
      <c r="BI50" s="62">
        <f ca="1">AVERAGE(OFFSET($BH$3,0,0,'Données projet'!$E$11+1,1))-AVERAGE(OFFSET($H$3,0,0,'Données projet'!$E$11+1,1))</f>
        <v>261.34571165681393</v>
      </c>
      <c r="BJ50" s="62">
        <f t="shared" si="38"/>
        <v>207.9851454455669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18.714285714285715</v>
      </c>
      <c r="N51" s="14">
        <f>IF('Données projet'!$A$36&gt;35,N50+M51-V50,IF(A51&lt;'Données projet'!$A$36,$K$205^A51,IF(A51='Données projet'!$A$36,'Données projet'!$B$36,N50+M51-V50)))</f>
        <v>454.28571428571411</v>
      </c>
      <c r="O51" s="14">
        <f>N51*VLOOKUP('Données projet'!$B$9,Paramètres!$A$1:$I$89,3,0)*VLOOKUP('Données projet'!$B$9,Paramètres!$A$1:$I$89,5,0)</f>
        <v>253.94571428571419</v>
      </c>
      <c r="P51" s="14">
        <f t="shared" si="33"/>
        <v>61.430084594341928</v>
      </c>
      <c r="Q51" s="22">
        <f t="shared" si="53"/>
        <v>549.27951638276431</v>
      </c>
      <c r="R51" s="62">
        <f t="shared" si="0"/>
        <v>842.61284971609757</v>
      </c>
      <c r="S51" s="62">
        <f ca="1">AVERAGE(OFFSET($R$3,0,0,'Données projet'!$E$9+1,1))-AVERAGE(OFFSET($H$3,0,0,'Données projet'!$E$9+1,1))</f>
        <v>374.79806286316051</v>
      </c>
      <c r="T51" s="62">
        <f t="shared" si="34"/>
        <v>350.01856672839466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13.519709297952792</v>
      </c>
      <c r="AB51" s="23">
        <f>EXP(-LN(2)/2)*AB50+(1-EXP(-LN(2)/2))/(LN(2)/2)*V51*Y51*VLOOKUP('Données projet'!$B$9,Paramètres!$A$1:$I$89,3,0)*0.475*44/12</f>
        <v>2.1499572347041543E-2</v>
      </c>
      <c r="AC51" s="24">
        <f t="shared" si="3"/>
        <v>13.541208870299833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</v>
      </c>
      <c r="AI51" s="14">
        <f>IF('Données projet'!$A$62&gt;35,AI50+AH51-AQ50,IF(A51&lt;'Données projet'!$A$62,$AF$205^A51,IF(A51='Données projet'!$A$62,'Données projet'!$B$62,AI50+AH51-AQ50)))</f>
        <v>203.99999999999989</v>
      </c>
      <c r="AJ51" s="14">
        <f>AI51*VLOOKUP('Données projet'!$B$10,Paramètres!$A$1:$I$89,3,0)*VLOOKUP('Données projet'!$B$10,Paramètres!$A$1:$I$89,5,0)</f>
        <v>162.30239999999992</v>
      </c>
      <c r="AK51" s="14">
        <f t="shared" si="35"/>
        <v>41.36139554151432</v>
      </c>
      <c r="AL51" s="22">
        <f t="shared" si="4"/>
        <v>354.7144439014707</v>
      </c>
      <c r="AM51" s="62">
        <f t="shared" si="5"/>
        <v>648.04777723480402</v>
      </c>
      <c r="AN51" s="62">
        <f ca="1">AVERAGE(OFFSET($AM$3,0,0,'Données projet'!$E$10+1,1))-AVERAGE(OFFSET($H$3,0,0,'Données projet'!$E$10+1,1))</f>
        <v>310.15624717801779</v>
      </c>
      <c r="AO51" s="62">
        <f t="shared" si="36"/>
        <v>294.28794439094889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5.5128205128205137</v>
      </c>
      <c r="BD51" s="13">
        <f>IF('Données projet'!$A$88&gt;35,BD50+BC51-BL50,IF(A51&lt;'Données projet'!$A$88,$BA$205^A51,IF(A51='Données projet'!$A$88,'Données projet'!$B$88,BD50+BC51-BL50)))</f>
        <v>169.74358974358972</v>
      </c>
      <c r="BE51" s="14">
        <f>BD51*VLOOKUP('Données projet'!$B$11,Paramètres!$A$1:$I$89,3,0)*VLOOKUP('Données projet'!$B$11,Paramètres!$A$1:$I$89,5,0)</f>
        <v>113.86399999999999</v>
      </c>
      <c r="BF51" s="14">
        <f t="shared" si="37"/>
        <v>30.239535792902171</v>
      </c>
      <c r="BG51" s="22">
        <f t="shared" si="7"/>
        <v>250.98032483930456</v>
      </c>
      <c r="BH51" s="62">
        <f t="shared" si="8"/>
        <v>544.31365817263782</v>
      </c>
      <c r="BI51" s="62">
        <f ca="1">AVERAGE(OFFSET($BH$3,0,0,'Données projet'!$E$11+1,1))-AVERAGE(OFFSET($H$3,0,0,'Données projet'!$E$11+1,1))</f>
        <v>261.34571165681393</v>
      </c>
      <c r="BJ51" s="62">
        <f t="shared" si="38"/>
        <v>207.9851454455669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473</v>
      </c>
      <c r="L52" s="13">
        <f>VLOOKUP(A52,'Données projet'!$A$35:$I$55,9,0)</f>
        <v>18.714285714285715</v>
      </c>
      <c r="M52" s="13">
        <f t="array" ref="M52">INDEX(L:L,MIN(IF(ISNUMBER(L52:L248),ROW(L52:L248),"")))</f>
        <v>18.714285714285715</v>
      </c>
      <c r="N52" s="14">
        <f>IF('Données projet'!$A$36&gt;35,N51+M52-V51,IF(A52&lt;'Données projet'!$A$36,$K$205^A52,IF(A52='Données projet'!$A$36,'Données projet'!$B$36,N51+M52-V51)))</f>
        <v>472.99999999999983</v>
      </c>
      <c r="O52" s="14">
        <f>N52*VLOOKUP('Données projet'!$B$9,Paramètres!$A$1:$I$89,3,0)*VLOOKUP('Données projet'!$B$9,Paramètres!$A$1:$I$89,5,0)</f>
        <v>264.40699999999993</v>
      </c>
      <c r="P52" s="14">
        <f t="shared" si="33"/>
        <v>63.660851355620842</v>
      </c>
      <c r="Q52" s="22">
        <f t="shared" si="53"/>
        <v>571.38484111103946</v>
      </c>
      <c r="R52" s="62">
        <f t="shared" si="0"/>
        <v>864.71817444437283</v>
      </c>
      <c r="S52" s="62">
        <f ca="1">AVERAGE(OFFSET($R$3,0,0,'Données projet'!$E$9+1,1))-AVERAGE(OFFSET($H$3,0,0,'Données projet'!$E$9+1,1))</f>
        <v>374.79806286316051</v>
      </c>
      <c r="T52" s="62">
        <f t="shared" si="34"/>
        <v>350.01856672839466</v>
      </c>
      <c r="U52" s="16">
        <f>IF(ISNA(VLOOKUP(A52,'Données projet'!$A$35:$I$55,3,0)),0,VLOOKUP(A52,'Données projet'!$A$35:$I$55,3,0))</f>
        <v>5</v>
      </c>
      <c r="V52" s="16">
        <f>IF(ISNA(VLOOKUP(A52,'Données projet'!$A$35:$I$55,4,0)),0,VLOOKUP(A52,'Données projet'!$A$35:$I$55,4,0))</f>
        <v>80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13.150012136229661</v>
      </c>
      <c r="AB52" s="23">
        <f>EXP(-LN(2)/2)*AB51+(1-EXP(-LN(2)/2))/(LN(2)/2)*V52*Y52*VLOOKUP('Données projet'!$B$9,Paramètres!$A$1:$I$89,3,0)*0.475*44/12</f>
        <v>1.5202493399203853E-2</v>
      </c>
      <c r="AC52" s="24">
        <f t="shared" si="3"/>
        <v>13.165214629628865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</v>
      </c>
      <c r="AI52" s="14">
        <f>IF('Données projet'!$A$62&gt;35,AI51+AH52-AQ51,IF(A52&lt;'Données projet'!$A$62,$AF$205^A52,IF(A52='Données projet'!$A$62,'Données projet'!$B$62,AI51+AH52-AQ51)))</f>
        <v>210.99999999999989</v>
      </c>
      <c r="AJ52" s="14">
        <f>AI52*VLOOKUP('Données projet'!$B$10,Paramètres!$A$1:$I$89,3,0)*VLOOKUP('Données projet'!$B$10,Paramètres!$A$1:$I$89,5,0)</f>
        <v>167.87159999999992</v>
      </c>
      <c r="AK52" s="14">
        <f t="shared" si="35"/>
        <v>42.612983811358006</v>
      </c>
      <c r="AL52" s="22">
        <f t="shared" si="4"/>
        <v>366.59398347144838</v>
      </c>
      <c r="AM52" s="62">
        <f t="shared" si="5"/>
        <v>659.92731680478164</v>
      </c>
      <c r="AN52" s="62">
        <f ca="1">AVERAGE(OFFSET($AM$3,0,0,'Données projet'!$E$10+1,1))-AVERAGE(OFFSET($H$3,0,0,'Données projet'!$E$10+1,1))</f>
        <v>310.15624717801779</v>
      </c>
      <c r="AO52" s="62">
        <f t="shared" si="36"/>
        <v>294.28794439094889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5.5128205128205137</v>
      </c>
      <c r="BD52" s="13">
        <f>IF('Données projet'!$A$88&gt;35,BD51+BC52-BL51,IF(A52&lt;'Données projet'!$A$88,$BA$205^A52,IF(A52='Données projet'!$A$88,'Données projet'!$B$88,BD51+BC52-BL51)))</f>
        <v>175.25641025641025</v>
      </c>
      <c r="BE52" s="14">
        <f>BD52*VLOOKUP('Données projet'!$B$11,Paramètres!$A$1:$I$89,3,0)*VLOOKUP('Données projet'!$B$11,Paramètres!$A$1:$I$89,5,0)</f>
        <v>117.56200000000001</v>
      </c>
      <c r="BF52" s="14">
        <f t="shared" si="37"/>
        <v>31.10569833447618</v>
      </c>
      <c r="BG52" s="22">
        <f t="shared" si="7"/>
        <v>258.92957459921269</v>
      </c>
      <c r="BH52" s="62">
        <f t="shared" si="8"/>
        <v>552.262907932546</v>
      </c>
      <c r="BI52" s="62">
        <f ca="1">AVERAGE(OFFSET($BH$3,0,0,'Données projet'!$E$11+1,1))-AVERAGE(OFFSET($H$3,0,0,'Données projet'!$E$11+1,1))</f>
        <v>261.34571165681393</v>
      </c>
      <c r="BJ52" s="62">
        <f t="shared" si="38"/>
        <v>207.9851454455669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17.285714285714285</v>
      </c>
      <c r="N53" s="14">
        <f>IF('Données projet'!$A$36&gt;35,N52+M53-V52,IF(A53&lt;'Données projet'!$A$36,$K$205^A53,IF(A53='Données projet'!$A$36,'Données projet'!$B$36,N52+M53-V52)))</f>
        <v>410.28571428571411</v>
      </c>
      <c r="O53" s="14">
        <f>N53*VLOOKUP('Données projet'!$B$9,Paramètres!$A$1:$I$89,3,0)*VLOOKUP('Données projet'!$B$9,Paramètres!$A$1:$I$89,5,0)</f>
        <v>229.34971428571419</v>
      </c>
      <c r="P53" s="14">
        <f t="shared" si="33"/>
        <v>56.142051394693567</v>
      </c>
      <c r="Q53" s="22">
        <f t="shared" si="53"/>
        <v>497.23149189337681</v>
      </c>
      <c r="R53" s="62">
        <f t="shared" si="0"/>
        <v>790.56482522671013</v>
      </c>
      <c r="S53" s="62">
        <f ca="1">AVERAGE(OFFSET($R$3,0,0,'Données projet'!$E$9+1,1))-AVERAGE(OFFSET($H$3,0,0,'Données projet'!$E$9+1,1))</f>
        <v>374.79806286316051</v>
      </c>
      <c r="T53" s="62">
        <f t="shared" si="34"/>
        <v>350.01856672839466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12.790424362835378</v>
      </c>
      <c r="AB53" s="23">
        <f>EXP(-LN(2)/2)*AB52+(1-EXP(-LN(2)/2))/(LN(2)/2)*V53*Y53*VLOOKUP('Données projet'!$B$9,Paramètres!$A$1:$I$89,3,0)*0.475*44/12</f>
        <v>1.0749786173520773E-2</v>
      </c>
      <c r="AC53" s="24">
        <f t="shared" si="3"/>
        <v>12.801174149008899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218</v>
      </c>
      <c r="AG53" s="13">
        <f>VLOOKUP(A53,'Données projet'!$A$61:$I$81,9,0)</f>
        <v>7</v>
      </c>
      <c r="AH53" s="13">
        <f t="array" ref="AH53">INDEX(AG:AG,MIN(IF(ISNUMBER(AG53:AG249),ROW(AG53:AG249),"")))</f>
        <v>7</v>
      </c>
      <c r="AI53" s="14">
        <f>IF('Données projet'!$A$62&gt;35,AI52+AH53-AQ52,IF(A53&lt;'Données projet'!$A$62,$AF$205^A53,IF(A53='Données projet'!$A$62,'Données projet'!$B$62,AI52+AH53-AQ52)))</f>
        <v>217.99999999999989</v>
      </c>
      <c r="AJ53" s="14">
        <f>AI53*VLOOKUP('Données projet'!$B$10,Paramètres!$A$1:$I$89,3,0)*VLOOKUP('Données projet'!$B$10,Paramètres!$A$1:$I$89,5,0)</f>
        <v>173.44079999999994</v>
      </c>
      <c r="AK53" s="14">
        <f t="shared" si="35"/>
        <v>43.859747318594444</v>
      </c>
      <c r="AL53" s="22">
        <f t="shared" si="4"/>
        <v>378.46511991321859</v>
      </c>
      <c r="AM53" s="62">
        <f t="shared" si="5"/>
        <v>671.79845324655184</v>
      </c>
      <c r="AN53" s="62">
        <f ca="1">AVERAGE(OFFSET($AM$3,0,0,'Données projet'!$E$10+1,1))-AVERAGE(OFFSET($H$3,0,0,'Données projet'!$E$10+1,1))</f>
        <v>310.15624717801779</v>
      </c>
      <c r="AO53" s="62">
        <f t="shared" si="36"/>
        <v>294.28794439094889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180.76923076923077</v>
      </c>
      <c r="BB53" s="13">
        <f>VLOOKUP(A53,'Données projet'!$A$87:$I$107,9,0)</f>
        <v>5.5128205128205137</v>
      </c>
      <c r="BC53" s="13">
        <f t="array" ref="BC53">INDEX(BB:BB,MIN(IF(ISNUMBER(BB53:BB249),ROW(BB53:BB249),"")))</f>
        <v>5.5128205128205137</v>
      </c>
      <c r="BD53" s="13">
        <f>IF('Données projet'!$A$88&gt;35,BD52+BC53-BL52,IF(A53&lt;'Données projet'!$A$88,$BA$205^A53,IF(A53='Données projet'!$A$88,'Données projet'!$B$88,BD52+BC53-BL52)))</f>
        <v>180.76923076923077</v>
      </c>
      <c r="BE53" s="14">
        <f>BD53*VLOOKUP('Données projet'!$B$11,Paramètres!$A$1:$I$89,3,0)*VLOOKUP('Données projet'!$B$11,Paramètres!$A$1:$I$89,5,0)</f>
        <v>121.25999999999999</v>
      </c>
      <c r="BF53" s="14">
        <f t="shared" si="37"/>
        <v>31.968694713827716</v>
      </c>
      <c r="BG53" s="22">
        <f t="shared" si="7"/>
        <v>266.87330995991658</v>
      </c>
      <c r="BH53" s="62">
        <f t="shared" si="8"/>
        <v>560.20664329324995</v>
      </c>
      <c r="BI53" s="62">
        <f ca="1">AVERAGE(OFFSET($BH$3,0,0,'Données projet'!$E$11+1,1))-AVERAGE(OFFSET($H$3,0,0,'Données projet'!$E$11+1,1))</f>
        <v>261.34571165681393</v>
      </c>
      <c r="BJ53" s="62">
        <f t="shared" si="38"/>
        <v>207.9851454455669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28.205128205128204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17.285714285714285</v>
      </c>
      <c r="N54" s="14">
        <f>IF('Données projet'!$A$36&gt;35,N53+M54-V53,IF(A54&lt;'Données projet'!$A$36,$K$205^A54,IF(A54='Données projet'!$A$36,'Données projet'!$B$36,N53+M54-V53)))</f>
        <v>427.57142857142838</v>
      </c>
      <c r="O54" s="14">
        <f>N54*VLOOKUP('Données projet'!$B$9,Paramètres!$A$1:$I$89,3,0)*VLOOKUP('Données projet'!$B$9,Paramètres!$A$1:$I$89,5,0)</f>
        <v>239.01242857142847</v>
      </c>
      <c r="P54" s="14">
        <f t="shared" si="33"/>
        <v>58.226998714225545</v>
      </c>
      <c r="Q54" s="22">
        <f t="shared" si="53"/>
        <v>517.69200252251403</v>
      </c>
      <c r="R54" s="62">
        <f t="shared" si="0"/>
        <v>811.02533585584729</v>
      </c>
      <c r="S54" s="62">
        <f ca="1">AVERAGE(OFFSET($R$3,0,0,'Données projet'!$E$9+1,1))-AVERAGE(OFFSET($H$3,0,0,'Données projet'!$E$9+1,1))</f>
        <v>374.79806286316051</v>
      </c>
      <c r="T54" s="62">
        <f t="shared" si="34"/>
        <v>350.01856672839466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12.440669536014459</v>
      </c>
      <c r="AB54" s="23">
        <f>EXP(-LN(2)/2)*AB53+(1-EXP(-LN(2)/2))/(LN(2)/2)*V54*Y54*VLOOKUP('Données projet'!$B$9,Paramètres!$A$1:$I$89,3,0)*0.475*44/12</f>
        <v>7.6012466996019275E-3</v>
      </c>
      <c r="AC54" s="24">
        <f t="shared" si="3"/>
        <v>12.448270782714062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6.4</v>
      </c>
      <c r="AI54" s="14">
        <f>IF('Données projet'!$A$62&gt;35,AI53+AH54-AQ53,IF(A54&lt;'Données projet'!$A$62,$AF$205^A54,IF(A54='Données projet'!$A$62,'Données projet'!$B$62,AI53+AH54-AQ53)))</f>
        <v>224.39999999999989</v>
      </c>
      <c r="AJ54" s="14">
        <f>AI54*VLOOKUP('Données projet'!$B$10,Paramètres!$A$1:$I$89,3,0)*VLOOKUP('Données projet'!$B$10,Paramètres!$A$1:$I$89,5,0)</f>
        <v>178.53263999999993</v>
      </c>
      <c r="AK54" s="14">
        <f t="shared" si="35"/>
        <v>44.99557024111764</v>
      </c>
      <c r="AL54" s="22">
        <f t="shared" si="4"/>
        <v>389.311632836613</v>
      </c>
      <c r="AM54" s="62">
        <f t="shared" si="5"/>
        <v>682.64496616994631</v>
      </c>
      <c r="AN54" s="62">
        <f ca="1">AVERAGE(OFFSET($AM$3,0,0,'Données projet'!$E$10+1,1))-AVERAGE(OFFSET($H$3,0,0,'Données projet'!$E$10+1,1))</f>
        <v>310.15624717801779</v>
      </c>
      <c r="AO54" s="62">
        <f t="shared" si="36"/>
        <v>294.28794439094889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5.1282051282051269</v>
      </c>
      <c r="BD54" s="13">
        <f>IF('Données projet'!$A$88&gt;35,BD53+BC54-BL53,IF(A54&lt;'Données projet'!$A$88,$BA$205^A54,IF(A54='Données projet'!$A$88,'Données projet'!$B$88,BD53+BC54-BL53)))</f>
        <v>157.69230769230771</v>
      </c>
      <c r="BE54" s="14">
        <f>BD54*VLOOKUP('Données projet'!$B$11,Paramètres!$A$1:$I$89,3,0)*VLOOKUP('Données projet'!$B$11,Paramètres!$A$1:$I$89,5,0)</f>
        <v>105.78</v>
      </c>
      <c r="BF54" s="14">
        <f t="shared" si="37"/>
        <v>28.334467347129131</v>
      </c>
      <c r="BG54" s="22">
        <f t="shared" si="7"/>
        <v>233.58269729624988</v>
      </c>
      <c r="BH54" s="62">
        <f t="shared" si="8"/>
        <v>526.91603062958325</v>
      </c>
      <c r="BI54" s="62">
        <f ca="1">AVERAGE(OFFSET($BH$3,0,0,'Données projet'!$E$11+1,1))-AVERAGE(OFFSET($H$3,0,0,'Données projet'!$E$11+1,1))</f>
        <v>261.34571165681393</v>
      </c>
      <c r="BJ54" s="62">
        <f t="shared" si="38"/>
        <v>207.9851454455669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17.285714285714285</v>
      </c>
      <c r="N55" s="14">
        <f>IF('Données projet'!$A$36&gt;35,N54+M55-V54,IF(A55&lt;'Données projet'!$A$36,$K$205^A55,IF(A55='Données projet'!$A$36,'Données projet'!$B$36,N54+M55-V54)))</f>
        <v>444.85714285714266</v>
      </c>
      <c r="O55" s="14">
        <f>N55*VLOOKUP('Données projet'!$B$9,Paramètres!$A$1:$I$89,3,0)*VLOOKUP('Données projet'!$B$9,Paramètres!$A$1:$I$89,5,0)</f>
        <v>248.67514285714276</v>
      </c>
      <c r="P55" s="14">
        <f t="shared" si="33"/>
        <v>60.30215496200401</v>
      </c>
      <c r="Q55" s="22">
        <f t="shared" si="53"/>
        <v>538.13546036834725</v>
      </c>
      <c r="R55" s="62">
        <f t="shared" si="0"/>
        <v>831.46879370168062</v>
      </c>
      <c r="S55" s="62">
        <f ca="1">AVERAGE(OFFSET($R$3,0,0,'Données projet'!$E$9+1,1))-AVERAGE(OFFSET($H$3,0,0,'Données projet'!$E$9+1,1))</f>
        <v>374.79806286316051</v>
      </c>
      <c r="T55" s="62">
        <f t="shared" si="34"/>
        <v>350.01856672839466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12.100478773325767</v>
      </c>
      <c r="AB55" s="23">
        <f>EXP(-LN(2)/2)*AB54+(1-EXP(-LN(2)/2))/(LN(2)/2)*V55*Y55*VLOOKUP('Données projet'!$B$9,Paramètres!$A$1:$I$89,3,0)*0.475*44/12</f>
        <v>5.3748930867603874E-3</v>
      </c>
      <c r="AC55" s="24">
        <f t="shared" si="3"/>
        <v>12.105853666412527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6.4</v>
      </c>
      <c r="AI55" s="14">
        <f>IF('Données projet'!$A$62&gt;35,AI54+AH55-AQ54,IF(A55&lt;'Données projet'!$A$62,$AF$205^A55,IF(A55='Données projet'!$A$62,'Données projet'!$B$62,AI54+AH55-AQ54)))</f>
        <v>230.7999999999999</v>
      </c>
      <c r="AJ55" s="14">
        <f>AI55*VLOOKUP('Données projet'!$B$10,Paramètres!$A$1:$I$89,3,0)*VLOOKUP('Données projet'!$B$10,Paramètres!$A$1:$I$89,5,0)</f>
        <v>183.62447999999995</v>
      </c>
      <c r="AK55" s="14">
        <f t="shared" si="35"/>
        <v>46.127628187181493</v>
      </c>
      <c r="AL55" s="22">
        <f t="shared" si="4"/>
        <v>400.15158842600766</v>
      </c>
      <c r="AM55" s="62">
        <f t="shared" si="5"/>
        <v>693.48492175934098</v>
      </c>
      <c r="AN55" s="62">
        <f ca="1">AVERAGE(OFFSET($AM$3,0,0,'Données projet'!$E$10+1,1))-AVERAGE(OFFSET($H$3,0,0,'Données projet'!$E$10+1,1))</f>
        <v>310.15624717801779</v>
      </c>
      <c r="AO55" s="62">
        <f t="shared" si="36"/>
        <v>294.28794439094889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5.1282051282051269</v>
      </c>
      <c r="BD55" s="13">
        <f>IF('Données projet'!$A$88&gt;35,BD54+BC55-BL54,IF(A55&lt;'Données projet'!$A$88,$BA$205^A55,IF(A55='Données projet'!$A$88,'Données projet'!$B$88,BD54+BC55-BL54)))</f>
        <v>162.82051282051285</v>
      </c>
      <c r="BE55" s="14">
        <f>BD55*VLOOKUP('Données projet'!$B$11,Paramètres!$A$1:$I$89,3,0)*VLOOKUP('Données projet'!$B$11,Paramètres!$A$1:$I$89,5,0)</f>
        <v>109.22000000000003</v>
      </c>
      <c r="BF55" s="14">
        <f t="shared" si="37"/>
        <v>29.147134446007001</v>
      </c>
      <c r="BG55" s="22">
        <f t="shared" si="7"/>
        <v>240.98942582679555</v>
      </c>
      <c r="BH55" s="62">
        <f t="shared" si="8"/>
        <v>534.32275916012884</v>
      </c>
      <c r="BI55" s="62">
        <f ca="1">AVERAGE(OFFSET($BH$3,0,0,'Données projet'!$E$11+1,1))-AVERAGE(OFFSET($H$3,0,0,'Données projet'!$E$11+1,1))</f>
        <v>261.34571165681393</v>
      </c>
      <c r="BJ55" s="62">
        <f t="shared" si="38"/>
        <v>207.9851454455669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17.285714285714285</v>
      </c>
      <c r="N56" s="14">
        <f>IF('Données projet'!$A$36&gt;35,N55+M56-V55,IF(A56&lt;'Données projet'!$A$36,$K$205^A56,IF(A56='Données projet'!$A$36,'Données projet'!$B$36,N55+M56-V55)))</f>
        <v>462.14285714285694</v>
      </c>
      <c r="O56" s="14">
        <f>N56*VLOOKUP('Données projet'!$B$9,Paramètres!$A$1:$I$89,3,0)*VLOOKUP('Données projet'!$B$9,Paramètres!$A$1:$I$89,5,0)</f>
        <v>258.33785714285705</v>
      </c>
      <c r="P56" s="14">
        <f t="shared" si="33"/>
        <v>62.367944130057822</v>
      </c>
      <c r="Q56" s="22">
        <f t="shared" si="53"/>
        <v>558.56260388366002</v>
      </c>
      <c r="R56" s="62">
        <f t="shared" si="0"/>
        <v>851.89593721699339</v>
      </c>
      <c r="S56" s="62">
        <f ca="1">AVERAGE(OFFSET($R$3,0,0,'Données projet'!$E$9+1,1))-AVERAGE(OFFSET($H$3,0,0,'Données projet'!$E$9+1,1))</f>
        <v>374.79806286316051</v>
      </c>
      <c r="T56" s="62">
        <f t="shared" si="34"/>
        <v>350.01856672839466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11.769590544932651</v>
      </c>
      <c r="AB56" s="23">
        <f>EXP(-LN(2)/2)*AB55+(1-EXP(-LN(2)/2))/(LN(2)/2)*V56*Y56*VLOOKUP('Données projet'!$B$9,Paramètres!$A$1:$I$89,3,0)*0.475*44/12</f>
        <v>3.8006233498009646E-3</v>
      </c>
      <c r="AC56" s="24">
        <f t="shared" si="3"/>
        <v>11.773391168282451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6.4</v>
      </c>
      <c r="AI56" s="14">
        <f>IF('Données projet'!$A$62&gt;35,AI55+AH56-AQ55,IF(A56&lt;'Données projet'!$A$62,$AF$205^A56,IF(A56='Données projet'!$A$62,'Données projet'!$B$62,AI55+AH56-AQ55)))</f>
        <v>237.1999999999999</v>
      </c>
      <c r="AJ56" s="14">
        <f>AI56*VLOOKUP('Données projet'!$B$10,Paramètres!$A$1:$I$89,3,0)*VLOOKUP('Données projet'!$B$10,Paramètres!$A$1:$I$89,5,0)</f>
        <v>188.71631999999994</v>
      </c>
      <c r="AK56" s="14">
        <f t="shared" si="35"/>
        <v>47.256037552855531</v>
      </c>
      <c r="AL56" s="22">
        <f t="shared" si="4"/>
        <v>410.98518940455659</v>
      </c>
      <c r="AM56" s="62">
        <f t="shared" si="5"/>
        <v>704.31852273788991</v>
      </c>
      <c r="AN56" s="62">
        <f ca="1">AVERAGE(OFFSET($AM$3,0,0,'Données projet'!$E$10+1,1))-AVERAGE(OFFSET($H$3,0,0,'Données projet'!$E$10+1,1))</f>
        <v>310.15624717801779</v>
      </c>
      <c r="AO56" s="62">
        <f t="shared" si="36"/>
        <v>294.28794439094889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5.1282051282051269</v>
      </c>
      <c r="BD56" s="13">
        <f>IF('Données projet'!$A$88&gt;35,BD55+BC56-BL55,IF(A56&lt;'Données projet'!$A$88,$BA$205^A56,IF(A56='Données projet'!$A$88,'Données projet'!$B$88,BD55+BC56-BL55)))</f>
        <v>167.94871794871798</v>
      </c>
      <c r="BE56" s="14">
        <f>BD56*VLOOKUP('Données projet'!$B$11,Paramètres!$A$1:$I$89,3,0)*VLOOKUP('Données projet'!$B$11,Paramètres!$A$1:$I$89,5,0)</f>
        <v>112.66000000000003</v>
      </c>
      <c r="BF56" s="14">
        <f t="shared" si="37"/>
        <v>29.956827127251987</v>
      </c>
      <c r="BG56" s="22">
        <f t="shared" si="7"/>
        <v>248.39097391329724</v>
      </c>
      <c r="BH56" s="62">
        <f t="shared" si="8"/>
        <v>541.72430724663059</v>
      </c>
      <c r="BI56" s="62">
        <f ca="1">AVERAGE(OFFSET($BH$3,0,0,'Données projet'!$E$11+1,1))-AVERAGE(OFFSET($H$3,0,0,'Données projet'!$E$11+1,1))</f>
        <v>261.34571165681393</v>
      </c>
      <c r="BJ56" s="62">
        <f t="shared" si="38"/>
        <v>207.9851454455669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17.285714285714285</v>
      </c>
      <c r="N57" s="14">
        <f>IF('Données projet'!$A$36&gt;35,N56+M57-V56,IF(A57&lt;'Données projet'!$A$36,$K$205^A57,IF(A57='Données projet'!$A$36,'Données projet'!$B$36,N56+M57-V56)))</f>
        <v>479.42857142857122</v>
      </c>
      <c r="O57" s="14">
        <f>N57*VLOOKUP('Données projet'!$B$9,Paramètres!$A$1:$I$89,3,0)*VLOOKUP('Données projet'!$B$9,Paramètres!$A$1:$I$89,5,0)</f>
        <v>268.00057142857128</v>
      </c>
      <c r="P57" s="14">
        <f t="shared" si="33"/>
        <v>64.42475669606354</v>
      </c>
      <c r="Q57" s="22">
        <f t="shared" si="53"/>
        <v>578.97411315040551</v>
      </c>
      <c r="R57" s="62">
        <f t="shared" si="0"/>
        <v>872.30744648373889</v>
      </c>
      <c r="S57" s="62">
        <f ca="1">AVERAGE(OFFSET($R$3,0,0,'Données projet'!$E$9+1,1))-AVERAGE(OFFSET($H$3,0,0,'Données projet'!$E$9+1,1))</f>
        <v>374.79806286316051</v>
      </c>
      <c r="T57" s="62">
        <f t="shared" si="34"/>
        <v>350.01856672839466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11.4477504725456</v>
      </c>
      <c r="AB57" s="23">
        <f>EXP(-LN(2)/2)*AB56+(1-EXP(-LN(2)/2))/(LN(2)/2)*V57*Y57*VLOOKUP('Données projet'!$B$9,Paramètres!$A$1:$I$89,3,0)*0.475*44/12</f>
        <v>2.6874465433801942E-3</v>
      </c>
      <c r="AC57" s="24">
        <f t="shared" si="3"/>
        <v>11.45043791908898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6.4</v>
      </c>
      <c r="AI57" s="14">
        <f>IF('Données projet'!$A$62&gt;35,AI56+AH57-AQ56,IF(A57&lt;'Données projet'!$A$62,$AF$205^A57,IF(A57='Données projet'!$A$62,'Données projet'!$B$62,AI56+AH57-AQ56)))</f>
        <v>243.59999999999991</v>
      </c>
      <c r="AJ57" s="14">
        <f>AI57*VLOOKUP('Données projet'!$B$10,Paramètres!$A$1:$I$89,3,0)*VLOOKUP('Données projet'!$B$10,Paramètres!$A$1:$I$89,5,0)</f>
        <v>193.80815999999996</v>
      </c>
      <c r="AK57" s="14">
        <f t="shared" si="35"/>
        <v>48.380908095574689</v>
      </c>
      <c r="AL57" s="22">
        <f t="shared" si="4"/>
        <v>421.81262693312578</v>
      </c>
      <c r="AM57" s="62">
        <f t="shared" si="5"/>
        <v>715.14596026645904</v>
      </c>
      <c r="AN57" s="62">
        <f ca="1">AVERAGE(OFFSET($AM$3,0,0,'Données projet'!$E$10+1,1))-AVERAGE(OFFSET($H$3,0,0,'Données projet'!$E$10+1,1))</f>
        <v>310.15624717801779</v>
      </c>
      <c r="AO57" s="62">
        <f t="shared" si="36"/>
        <v>294.28794439094889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5.1282051282051269</v>
      </c>
      <c r="BD57" s="13">
        <f>IF('Données projet'!$A$88&gt;35,BD56+BC57-BL56,IF(A57&lt;'Données projet'!$A$88,$BA$205^A57,IF(A57='Données projet'!$A$88,'Données projet'!$B$88,BD56+BC57-BL56)))</f>
        <v>173.07692307692312</v>
      </c>
      <c r="BE57" s="14">
        <f>BD57*VLOOKUP('Données projet'!$B$11,Paramètres!$A$1:$I$89,3,0)*VLOOKUP('Données projet'!$B$11,Paramètres!$A$1:$I$89,5,0)</f>
        <v>116.10000000000004</v>
      </c>
      <c r="BF57" s="14">
        <f t="shared" si="37"/>
        <v>30.763646636385982</v>
      </c>
      <c r="BG57" s="22">
        <f t="shared" si="7"/>
        <v>255.78751789170562</v>
      </c>
      <c r="BH57" s="62">
        <f t="shared" si="8"/>
        <v>549.1208512250389</v>
      </c>
      <c r="BI57" s="62">
        <f ca="1">AVERAGE(OFFSET($BH$3,0,0,'Données projet'!$E$11+1,1))-AVERAGE(OFFSET($H$3,0,0,'Données projet'!$E$11+1,1))</f>
        <v>261.34571165681393</v>
      </c>
      <c r="BJ57" s="62">
        <f t="shared" si="38"/>
        <v>207.9851454455669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17.285714285714285</v>
      </c>
      <c r="N58" s="14">
        <f>IF('Données projet'!$A$36&gt;35,N57+M58-V57,IF(A58&lt;'Données projet'!$A$36,$K$205^A58,IF(A58='Données projet'!$A$36,'Données projet'!$B$36,N57+M58-V57)))</f>
        <v>496.7142857142855</v>
      </c>
      <c r="O58" s="14">
        <f>N58*VLOOKUP('Données projet'!$B$9,Paramètres!$A$1:$I$89,3,0)*VLOOKUP('Données projet'!$B$9,Paramètres!$A$1:$I$89,5,0)</f>
        <v>277.66328571428562</v>
      </c>
      <c r="P58" s="14">
        <f t="shared" si="33"/>
        <v>66.47295338451616</v>
      </c>
      <c r="Q58" s="22">
        <f t="shared" si="53"/>
        <v>599.37061643041295</v>
      </c>
      <c r="R58" s="62">
        <f t="shared" si="0"/>
        <v>892.70394976374632</v>
      </c>
      <c r="S58" s="62">
        <f ca="1">AVERAGE(OFFSET($R$3,0,0,'Données projet'!$E$9+1,1))-AVERAGE(OFFSET($H$3,0,0,'Données projet'!$E$9+1,1))</f>
        <v>374.79806286316051</v>
      </c>
      <c r="T58" s="62">
        <f t="shared" si="34"/>
        <v>350.01856672839466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11.134711133862808</v>
      </c>
      <c r="AB58" s="23">
        <f>EXP(-LN(2)/2)*AB57+(1-EXP(-LN(2)/2))/(LN(2)/2)*V58*Y58*VLOOKUP('Données projet'!$B$9,Paramètres!$A$1:$I$89,3,0)*0.475*44/12</f>
        <v>1.9003116749004825E-3</v>
      </c>
      <c r="AC58" s="24">
        <f t="shared" si="3"/>
        <v>11.136611445537708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250</v>
      </c>
      <c r="AG58" s="13">
        <f>VLOOKUP(A58,'Données projet'!$A$61:$I$81,9,0)</f>
        <v>6.4</v>
      </c>
      <c r="AH58" s="13">
        <f t="array" ref="AH58">INDEX(AG:AG,MIN(IF(ISNUMBER(AG58:AG254),ROW(AG58:AG254),"")))</f>
        <v>6.4</v>
      </c>
      <c r="AI58" s="14">
        <f>IF('Données projet'!$A$62&gt;35,AI57+AH58-AQ57,IF(A58&lt;'Données projet'!$A$62,$AF$205^A58,IF(A58='Données projet'!$A$62,'Données projet'!$B$62,AI57+AH58-AQ57)))</f>
        <v>249.99999999999991</v>
      </c>
      <c r="AJ58" s="14">
        <f>AI58*VLOOKUP('Données projet'!$B$10,Paramètres!$A$1:$I$89,3,0)*VLOOKUP('Données projet'!$B$10,Paramètres!$A$1:$I$89,5,0)</f>
        <v>198.89999999999995</v>
      </c>
      <c r="AK58" s="14">
        <f t="shared" si="35"/>
        <v>49.502343477105569</v>
      </c>
      <c r="AL58" s="22">
        <f t="shared" si="4"/>
        <v>432.63408155595874</v>
      </c>
      <c r="AM58" s="62">
        <f t="shared" si="5"/>
        <v>725.96741488929206</v>
      </c>
      <c r="AN58" s="62">
        <f ca="1">AVERAGE(OFFSET($AM$3,0,0,'Données projet'!$E$10+1,1))-AVERAGE(OFFSET($H$3,0,0,'Données projet'!$E$10+1,1))</f>
        <v>310.15624717801779</v>
      </c>
      <c r="AO58" s="62">
        <f t="shared" si="36"/>
        <v>294.28794439094889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30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178.2051282051282</v>
      </c>
      <c r="BB58" s="13">
        <f>VLOOKUP(A58,'Données projet'!$A$87:$I$107,9,0)</f>
        <v>5.1282051282051269</v>
      </c>
      <c r="BC58" s="13">
        <f t="array" ref="BC58">INDEX(BB:BB,MIN(IF(ISNUMBER(BB58:BB254),ROW(BB58:BB254),"")))</f>
        <v>5.1282051282051269</v>
      </c>
      <c r="BD58" s="13">
        <f>IF('Données projet'!$A$88&gt;35,BD57+BC58-BL57,IF(A58&lt;'Données projet'!$A$88,$BA$205^A58,IF(A58='Données projet'!$A$88,'Données projet'!$B$88,BD57+BC58-BL57)))</f>
        <v>178.20512820512826</v>
      </c>
      <c r="BE58" s="14">
        <f>BD58*VLOOKUP('Données projet'!$B$11,Paramètres!$A$1:$I$89,3,0)*VLOOKUP('Données projet'!$B$11,Paramètres!$A$1:$I$89,5,0)</f>
        <v>119.54000000000005</v>
      </c>
      <c r="BF58" s="14">
        <f t="shared" si="37"/>
        <v>31.567687878137313</v>
      </c>
      <c r="BG58" s="22">
        <f t="shared" si="7"/>
        <v>263.17922305442261</v>
      </c>
      <c r="BH58" s="62">
        <f t="shared" si="8"/>
        <v>556.51255638775592</v>
      </c>
      <c r="BI58" s="62">
        <f ca="1">AVERAGE(OFFSET($BH$3,0,0,'Données projet'!$E$11+1,1))-AVERAGE(OFFSET($H$3,0,0,'Données projet'!$E$11+1,1))</f>
        <v>261.34571165681393</v>
      </c>
      <c r="BJ58" s="62">
        <f t="shared" si="38"/>
        <v>207.9851454455669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514</v>
      </c>
      <c r="L59" s="13">
        <f>VLOOKUP(A59,'Données projet'!$A$35:$I$55,9,0)</f>
        <v>17.285714285714285</v>
      </c>
      <c r="M59" s="13">
        <f t="array" ref="M59">INDEX(L:L,MIN(IF(ISNUMBER(L59:L255),ROW(L59:L255),"")))</f>
        <v>17.285714285714285</v>
      </c>
      <c r="N59" s="14">
        <f>IF('Données projet'!$A$36&gt;35,N58+M59-V58,IF(A59&lt;'Données projet'!$A$36,$K$205^A59,IF(A59='Données projet'!$A$36,'Données projet'!$B$36,N58+M59-V58)))</f>
        <v>513.99999999999977</v>
      </c>
      <c r="O59" s="14">
        <f>N59*VLOOKUP('Données projet'!$B$9,Paramètres!$A$1:$I$89,3,0)*VLOOKUP('Données projet'!$B$9,Paramètres!$A$1:$I$89,5,0)</f>
        <v>287.32599999999985</v>
      </c>
      <c r="P59" s="14">
        <f t="shared" si="33"/>
        <v>68.512868389632061</v>
      </c>
      <c r="Q59" s="22">
        <f t="shared" si="53"/>
        <v>619.75269577860888</v>
      </c>
      <c r="R59" s="62">
        <f t="shared" si="0"/>
        <v>913.08602911194225</v>
      </c>
      <c r="S59" s="62">
        <f ca="1">AVERAGE(OFFSET($R$3,0,0,'Données projet'!$E$9+1,1))-AVERAGE(OFFSET($H$3,0,0,'Données projet'!$E$9+1,1))</f>
        <v>374.79806286316051</v>
      </c>
      <c r="T59" s="62">
        <f t="shared" si="34"/>
        <v>350.01856672839466</v>
      </c>
      <c r="U59" s="16">
        <f>IF(ISNA(VLOOKUP(A59,'Données projet'!$A$35:$I$55,3,0)),0,VLOOKUP(A59,'Données projet'!$A$35:$I$55,3,0))</f>
        <v>6</v>
      </c>
      <c r="V59" s="16">
        <f>IF(ISNA(VLOOKUP(A59,'Données projet'!$A$35:$I$55,4,0)),0,VLOOKUP(A59,'Données projet'!$A$35:$I$55,4,0))</f>
        <v>85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10.83023187235832</v>
      </c>
      <c r="AB59" s="23">
        <f>EXP(-LN(2)/2)*AB58+(1-EXP(-LN(2)/2))/(LN(2)/2)*V59*Y59*VLOOKUP('Données projet'!$B$9,Paramètres!$A$1:$I$89,3,0)*0.475*44/12</f>
        <v>1.3437232716900973E-3</v>
      </c>
      <c r="AC59" s="24">
        <f t="shared" si="3"/>
        <v>10.83157559563001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</v>
      </c>
      <c r="AI59" s="14">
        <f>IF('Données projet'!$A$62&gt;35,AI58+AH59-AQ58,IF(A59&lt;'Données projet'!$A$62,$AF$205^A59,IF(A59='Données projet'!$A$62,'Données projet'!$B$62,AI58+AH59-AQ58)))</f>
        <v>224.99999999999991</v>
      </c>
      <c r="AJ59" s="14">
        <f>AI59*VLOOKUP('Données projet'!$B$10,Paramètres!$A$1:$I$89,3,0)*VLOOKUP('Données projet'!$B$10,Paramètres!$A$1:$I$89,5,0)</f>
        <v>179.00999999999993</v>
      </c>
      <c r="AK59" s="14">
        <f t="shared" si="35"/>
        <v>45.101858757318098</v>
      </c>
      <c r="AL59" s="22">
        <f t="shared" si="4"/>
        <v>390.32815400232886</v>
      </c>
      <c r="AM59" s="62">
        <f t="shared" si="5"/>
        <v>683.66148733566217</v>
      </c>
      <c r="AN59" s="62">
        <f ca="1">AVERAGE(OFFSET($AM$3,0,0,'Données projet'!$E$10+1,1))-AVERAGE(OFFSET($H$3,0,0,'Données projet'!$E$10+1,1))</f>
        <v>310.15624717801779</v>
      </c>
      <c r="AO59" s="62">
        <f t="shared" si="36"/>
        <v>294.28794439094889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4.8717948717948731</v>
      </c>
      <c r="BD59" s="13">
        <f>IF('Données projet'!$A$88&gt;35,BD58+BC59-BL58,IF(A59&lt;'Données projet'!$A$88,$BA$205^A59,IF(A59='Données projet'!$A$88,'Données projet'!$B$88,BD58+BC59-BL58)))</f>
        <v>183.07692307692312</v>
      </c>
      <c r="BE59" s="14">
        <f>BD59*VLOOKUP('Données projet'!$B$11,Paramètres!$A$1:$I$89,3,0)*VLOOKUP('Données projet'!$B$11,Paramètres!$A$1:$I$89,5,0)</f>
        <v>122.80800000000004</v>
      </c>
      <c r="BF59" s="14">
        <f t="shared" si="37"/>
        <v>32.329034931240123</v>
      </c>
      <c r="BG59" s="22">
        <f t="shared" si="7"/>
        <v>270.19700250524323</v>
      </c>
      <c r="BH59" s="62">
        <f t="shared" si="8"/>
        <v>563.53033583857655</v>
      </c>
      <c r="BI59" s="62">
        <f ca="1">AVERAGE(OFFSET($BH$3,0,0,'Données projet'!$E$11+1,1))-AVERAGE(OFFSET($H$3,0,0,'Données projet'!$E$11+1,1))</f>
        <v>261.34571165681393</v>
      </c>
      <c r="BJ59" s="62">
        <f t="shared" si="38"/>
        <v>207.9851454455669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15.571428571428571</v>
      </c>
      <c r="N60" s="14">
        <f>IF('Données projet'!$A$36&gt;35,N59+M60-V59,IF(A60&lt;'Données projet'!$A$36,$K$205^A60,IF(A60='Données projet'!$A$36,'Données projet'!$B$36,N59+M60-V59)))</f>
        <v>444.57142857142833</v>
      </c>
      <c r="O60" s="14">
        <f>N60*VLOOKUP('Données projet'!$B$9,Paramètres!$A$1:$I$89,3,0)*VLOOKUP('Données projet'!$B$9,Paramètres!$A$1:$I$89,5,0)</f>
        <v>248.51542857142846</v>
      </c>
      <c r="P60" s="14">
        <f t="shared" si="33"/>
        <v>60.267932112745214</v>
      </c>
      <c r="Q60" s="22">
        <f t="shared" si="53"/>
        <v>537.79768652493578</v>
      </c>
      <c r="R60" s="62">
        <f t="shared" si="0"/>
        <v>831.13101985826916</v>
      </c>
      <c r="S60" s="62">
        <f ca="1">AVERAGE(OFFSET($R$3,0,0,'Données projet'!$E$9+1,1))-AVERAGE(OFFSET($H$3,0,0,'Données projet'!$E$9+1,1))</f>
        <v>374.79806286316051</v>
      </c>
      <c r="T60" s="62">
        <f t="shared" si="34"/>
        <v>350.01856672839466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10.534078612271541</v>
      </c>
      <c r="AB60" s="23">
        <f>EXP(-LN(2)/2)*AB59+(1-EXP(-LN(2)/2))/(LN(2)/2)*V60*Y60*VLOOKUP('Données projet'!$B$9,Paramètres!$A$1:$I$89,3,0)*0.475*44/12</f>
        <v>9.5015583745024148E-4</v>
      </c>
      <c r="AC60" s="24">
        <f t="shared" si="3"/>
        <v>10.535028768108992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</v>
      </c>
      <c r="AI60" s="14">
        <f>IF('Données projet'!$A$62&gt;35,AI59+AH60-AQ59,IF(A60&lt;'Données projet'!$A$62,$AF$205^A60,IF(A60='Données projet'!$A$62,'Données projet'!$B$62,AI59+AH60-AQ59)))</f>
        <v>229.99999999999991</v>
      </c>
      <c r="AJ60" s="14">
        <f>AI60*VLOOKUP('Données projet'!$B$10,Paramètres!$A$1:$I$89,3,0)*VLOOKUP('Données projet'!$B$10,Paramètres!$A$1:$I$89,5,0)</f>
        <v>182.98799999999994</v>
      </c>
      <c r="AK60" s="14">
        <f t="shared" si="35"/>
        <v>45.986322796524831</v>
      </c>
      <c r="AL60" s="22">
        <f t="shared" si="4"/>
        <v>398.79694553728064</v>
      </c>
      <c r="AM60" s="62">
        <f t="shared" si="5"/>
        <v>692.13027887061389</v>
      </c>
      <c r="AN60" s="62">
        <f ca="1">AVERAGE(OFFSET($AM$3,0,0,'Données projet'!$E$10+1,1))-AVERAGE(OFFSET($H$3,0,0,'Données projet'!$E$10+1,1))</f>
        <v>310.15624717801779</v>
      </c>
      <c r="AO60" s="62">
        <f t="shared" si="36"/>
        <v>294.28794439094889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4.8717948717948731</v>
      </c>
      <c r="BD60" s="13">
        <f>IF('Données projet'!$A$88&gt;35,BD59+BC60-BL59,IF(A60&lt;'Données projet'!$A$88,$BA$205^A60,IF(A60='Données projet'!$A$88,'Données projet'!$B$88,BD59+BC60-BL59)))</f>
        <v>187.94871794871798</v>
      </c>
      <c r="BE60" s="14">
        <f>BD60*VLOOKUP('Données projet'!$B$11,Paramètres!$A$1:$I$89,3,0)*VLOOKUP('Données projet'!$B$11,Paramètres!$A$1:$I$89,5,0)</f>
        <v>126.07600000000004</v>
      </c>
      <c r="BF60" s="14">
        <f t="shared" si="37"/>
        <v>33.088027082698986</v>
      </c>
      <c r="BG60" s="22">
        <f t="shared" si="7"/>
        <v>277.21068050236744</v>
      </c>
      <c r="BH60" s="62">
        <f t="shared" si="8"/>
        <v>570.54401383570075</v>
      </c>
      <c r="BI60" s="62">
        <f ca="1">AVERAGE(OFFSET($BH$3,0,0,'Données projet'!$E$11+1,1))-AVERAGE(OFFSET($H$3,0,0,'Données projet'!$E$11+1,1))</f>
        <v>261.34571165681393</v>
      </c>
      <c r="BJ60" s="62">
        <f t="shared" si="38"/>
        <v>207.9851454455669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15.571428571428571</v>
      </c>
      <c r="N61" s="14">
        <f>IF('Données projet'!$A$36&gt;35,N60+M61-V60,IF(A61&lt;'Données projet'!$A$36,$K$205^A61,IF(A61='Données projet'!$A$36,'Données projet'!$B$36,N60+M61-V60)))</f>
        <v>460.14285714285688</v>
      </c>
      <c r="O61" s="14">
        <f>N61*VLOOKUP('Données projet'!$B$9,Paramètres!$A$1:$I$89,3,0)*VLOOKUP('Données projet'!$B$9,Paramètres!$A$1:$I$89,5,0)</f>
        <v>257.21985714285699</v>
      </c>
      <c r="P61" s="14">
        <f t="shared" si="33"/>
        <v>62.129393573116417</v>
      </c>
      <c r="Q61" s="22">
        <f t="shared" si="53"/>
        <v>556.19994499698703</v>
      </c>
      <c r="R61" s="62">
        <f t="shared" si="0"/>
        <v>849.5332783303204</v>
      </c>
      <c r="S61" s="62">
        <f ca="1">AVERAGE(OFFSET($R$3,0,0,'Données projet'!$E$9+1,1))-AVERAGE(OFFSET($H$3,0,0,'Données projet'!$E$9+1,1))</f>
        <v>374.79806286316051</v>
      </c>
      <c r="T61" s="62">
        <f t="shared" si="34"/>
        <v>350.01856672839466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10.246023678655858</v>
      </c>
      <c r="AB61" s="23">
        <f>EXP(-LN(2)/2)*AB60+(1-EXP(-LN(2)/2))/(LN(2)/2)*V61*Y61*VLOOKUP('Données projet'!$B$9,Paramètres!$A$1:$I$89,3,0)*0.475*44/12</f>
        <v>6.7186163584504876E-4</v>
      </c>
      <c r="AC61" s="24">
        <f t="shared" si="3"/>
        <v>10.246695540291704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</v>
      </c>
      <c r="AI61" s="14">
        <f>IF('Données projet'!$A$62&gt;35,AI60+AH61-AQ60,IF(A61&lt;'Données projet'!$A$62,$AF$205^A61,IF(A61='Données projet'!$A$62,'Données projet'!$B$62,AI60+AH61-AQ60)))</f>
        <v>234.99999999999991</v>
      </c>
      <c r="AJ61" s="14">
        <f>AI61*VLOOKUP('Données projet'!$B$10,Paramètres!$A$1:$I$89,3,0)*VLOOKUP('Données projet'!$B$10,Paramètres!$A$1:$I$89,5,0)</f>
        <v>186.96599999999992</v>
      </c>
      <c r="AK61" s="14">
        <f t="shared" si="35"/>
        <v>46.868551400324606</v>
      </c>
      <c r="AL61" s="22">
        <f t="shared" si="4"/>
        <v>407.26184368889852</v>
      </c>
      <c r="AM61" s="62">
        <f t="shared" si="5"/>
        <v>700.59517702223184</v>
      </c>
      <c r="AN61" s="62">
        <f ca="1">AVERAGE(OFFSET($AM$3,0,0,'Données projet'!$E$10+1,1))-AVERAGE(OFFSET($H$3,0,0,'Données projet'!$E$10+1,1))</f>
        <v>310.15624717801779</v>
      </c>
      <c r="AO61" s="62">
        <f t="shared" si="36"/>
        <v>294.28794439094889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4.8717948717948731</v>
      </c>
      <c r="BD61" s="13">
        <f>IF('Données projet'!$A$88&gt;35,BD60+BC61-BL60,IF(A61&lt;'Données projet'!$A$88,$BA$205^A61,IF(A61='Données projet'!$A$88,'Données projet'!$B$88,BD60+BC61-BL60)))</f>
        <v>192.82051282051285</v>
      </c>
      <c r="BE61" s="14">
        <f>BD61*VLOOKUP('Données projet'!$B$11,Paramètres!$A$1:$I$89,3,0)*VLOOKUP('Données projet'!$B$11,Paramètres!$A$1:$I$89,5,0)</f>
        <v>129.34400000000002</v>
      </c>
      <c r="BF61" s="14">
        <f t="shared" si="37"/>
        <v>33.844732391528566</v>
      </c>
      <c r="BG61" s="22">
        <f t="shared" si="7"/>
        <v>284.22037558191226</v>
      </c>
      <c r="BH61" s="62">
        <f t="shared" si="8"/>
        <v>577.55370891524558</v>
      </c>
      <c r="BI61" s="62">
        <f ca="1">AVERAGE(OFFSET($BH$3,0,0,'Données projet'!$E$11+1,1))-AVERAGE(OFFSET($H$3,0,0,'Données projet'!$E$11+1,1))</f>
        <v>261.34571165681393</v>
      </c>
      <c r="BJ61" s="62">
        <f t="shared" si="38"/>
        <v>207.9851454455669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15.571428571428571</v>
      </c>
      <c r="N62" s="14">
        <f>IF('Données projet'!$A$36&gt;35,N61+M62-V61,IF(A62&lt;'Données projet'!$A$36,$K$205^A62,IF(A62='Données projet'!$A$36,'Données projet'!$B$36,N61+M62-V61)))</f>
        <v>475.71428571428544</v>
      </c>
      <c r="O62" s="14">
        <f>N62*VLOOKUP('Données projet'!$B$9,Paramètres!$A$1:$I$89,3,0)*VLOOKUP('Données projet'!$B$9,Paramètres!$A$1:$I$89,5,0)</f>
        <v>265.92428571428559</v>
      </c>
      <c r="P62" s="14">
        <f t="shared" si="33"/>
        <v>63.983535636381461</v>
      </c>
      <c r="Q62" s="22">
        <f t="shared" si="53"/>
        <v>574.58945551907846</v>
      </c>
      <c r="R62" s="62">
        <f t="shared" si="0"/>
        <v>867.92278885241171</v>
      </c>
      <c r="S62" s="62">
        <f ca="1">AVERAGE(OFFSET($R$3,0,0,'Données projet'!$E$9+1,1))-AVERAGE(OFFSET($H$3,0,0,'Données projet'!$E$9+1,1))</f>
        <v>374.79806286316051</v>
      </c>
      <c r="T62" s="62">
        <f t="shared" si="34"/>
        <v>350.01856672839466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9.9658456223480449</v>
      </c>
      <c r="AB62" s="23">
        <f>EXP(-LN(2)/2)*AB61+(1-EXP(-LN(2)/2))/(LN(2)/2)*V62*Y62*VLOOKUP('Données projet'!$B$9,Paramètres!$A$1:$I$89,3,0)*0.475*44/12</f>
        <v>4.7507791872512079E-4</v>
      </c>
      <c r="AC62" s="24">
        <f t="shared" si="3"/>
        <v>9.9663207002667704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</v>
      </c>
      <c r="AI62" s="14">
        <f>IF('Données projet'!$A$62&gt;35,AI61+AH62-AQ61,IF(A62&lt;'Données projet'!$A$62,$AF$205^A62,IF(A62='Données projet'!$A$62,'Données projet'!$B$62,AI61+AH62-AQ61)))</f>
        <v>239.99999999999991</v>
      </c>
      <c r="AJ62" s="14">
        <f>AI62*VLOOKUP('Données projet'!$B$10,Paramètres!$A$1:$I$89,3,0)*VLOOKUP('Données projet'!$B$10,Paramètres!$A$1:$I$89,5,0)</f>
        <v>190.94399999999996</v>
      </c>
      <c r="AK62" s="14">
        <f t="shared" si="35"/>
        <v>47.748597609826554</v>
      </c>
      <c r="AL62" s="22">
        <f t="shared" si="4"/>
        <v>415.72294083711449</v>
      </c>
      <c r="AM62" s="62">
        <f t="shared" si="5"/>
        <v>709.05627417044775</v>
      </c>
      <c r="AN62" s="62">
        <f ca="1">AVERAGE(OFFSET($AM$3,0,0,'Données projet'!$E$10+1,1))-AVERAGE(OFFSET($H$3,0,0,'Données projet'!$E$10+1,1))</f>
        <v>310.15624717801779</v>
      </c>
      <c r="AO62" s="62">
        <f t="shared" si="36"/>
        <v>294.28794439094889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4.8717948717948731</v>
      </c>
      <c r="BD62" s="13">
        <f>IF('Données projet'!$A$88&gt;35,BD61+BC62-BL61,IF(A62&lt;'Données projet'!$A$88,$BA$205^A62,IF(A62='Données projet'!$A$88,'Données projet'!$B$88,BD61+BC62-BL61)))</f>
        <v>197.69230769230771</v>
      </c>
      <c r="BE62" s="14">
        <f>BD62*VLOOKUP('Données projet'!$B$11,Paramètres!$A$1:$I$89,3,0)*VLOOKUP('Données projet'!$B$11,Paramètres!$A$1:$I$89,5,0)</f>
        <v>132.61199999999999</v>
      </c>
      <c r="BF62" s="14">
        <f t="shared" si="37"/>
        <v>34.599215281612537</v>
      </c>
      <c r="BG62" s="22">
        <f t="shared" si="7"/>
        <v>291.22619994880847</v>
      </c>
      <c r="BH62" s="62">
        <f t="shared" si="8"/>
        <v>584.55953328214173</v>
      </c>
      <c r="BI62" s="62">
        <f ca="1">AVERAGE(OFFSET($BH$3,0,0,'Données projet'!$E$11+1,1))-AVERAGE(OFFSET($H$3,0,0,'Données projet'!$E$11+1,1))</f>
        <v>261.34571165681393</v>
      </c>
      <c r="BJ62" s="62">
        <f t="shared" si="38"/>
        <v>207.9851454455669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15.571428571428571</v>
      </c>
      <c r="N63" s="14">
        <f>IF('Données projet'!$A$36&gt;35,N62+M63-V62,IF(A63&lt;'Données projet'!$A$36,$K$205^A63,IF(A63='Données projet'!$A$36,'Données projet'!$B$36,N62+M63-V62)))</f>
        <v>491.28571428571399</v>
      </c>
      <c r="O63" s="14">
        <f>N63*VLOOKUP('Données projet'!$B$9,Paramètres!$A$1:$I$89,3,0)*VLOOKUP('Données projet'!$B$9,Paramètres!$A$1:$I$89,5,0)</f>
        <v>274.62871428571412</v>
      </c>
      <c r="P63" s="14">
        <f t="shared" si="33"/>
        <v>65.830625361909483</v>
      </c>
      <c r="Q63" s="22">
        <f t="shared" si="53"/>
        <v>592.96668321961113</v>
      </c>
      <c r="R63" s="62">
        <f t="shared" si="0"/>
        <v>886.3000165529445</v>
      </c>
      <c r="S63" s="62">
        <f ca="1">AVERAGE(OFFSET($R$3,0,0,'Données projet'!$E$9+1,1))-AVERAGE(OFFSET($H$3,0,0,'Données projet'!$E$9+1,1))</f>
        <v>374.79806286316051</v>
      </c>
      <c r="T63" s="62">
        <f t="shared" si="34"/>
        <v>350.01856672839466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9.6933290497238929</v>
      </c>
      <c r="AB63" s="23">
        <f>EXP(-LN(2)/2)*AB62+(1-EXP(-LN(2)/2))/(LN(2)/2)*V63*Y63*VLOOKUP('Données projet'!$B$9,Paramètres!$A$1:$I$89,3,0)*0.475*44/12</f>
        <v>3.3593081792252443E-4</v>
      </c>
      <c r="AC63" s="24">
        <f t="shared" si="3"/>
        <v>9.6936649805418149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245</v>
      </c>
      <c r="AG63" s="13">
        <f>VLOOKUP(A63,'Données projet'!$A$61:$I$81,9,0)</f>
        <v>5</v>
      </c>
      <c r="AH63" s="13">
        <f t="array" ref="AH63">INDEX(AG:AG,MIN(IF(ISNUMBER(AG63:AG259),ROW(AG63:AG259),"")))</f>
        <v>5</v>
      </c>
      <c r="AI63" s="14">
        <f>IF('Données projet'!$A$62&gt;35,AI62+AH63-AQ62,IF(A63&lt;'Données projet'!$A$62,$AF$205^A63,IF(A63='Données projet'!$A$62,'Données projet'!$B$62,AI62+AH63-AQ62)))</f>
        <v>244.99999999999991</v>
      </c>
      <c r="AJ63" s="14">
        <f>AI63*VLOOKUP('Données projet'!$B$10,Paramètres!$A$1:$I$89,3,0)*VLOOKUP('Données projet'!$B$10,Paramètres!$A$1:$I$89,5,0)</f>
        <v>194.92199999999994</v>
      </c>
      <c r="AK63" s="14">
        <f t="shared" si="35"/>
        <v>48.626512129794968</v>
      </c>
      <c r="AL63" s="22">
        <f t="shared" si="4"/>
        <v>424.18032529272614</v>
      </c>
      <c r="AM63" s="62">
        <f t="shared" si="5"/>
        <v>717.5136586260594</v>
      </c>
      <c r="AN63" s="62">
        <f ca="1">AVERAGE(OFFSET($AM$3,0,0,'Données projet'!$E$10+1,1))-AVERAGE(OFFSET($H$3,0,0,'Données projet'!$E$10+1,1))</f>
        <v>310.15624717801779</v>
      </c>
      <c r="AO63" s="62">
        <f t="shared" si="36"/>
        <v>294.28794439094889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202.56410256410257</v>
      </c>
      <c r="BB63" s="13">
        <f>VLOOKUP(A63,'Données projet'!$A$87:$I$107,9,0)</f>
        <v>4.8717948717948731</v>
      </c>
      <c r="BC63" s="13">
        <f t="array" ref="BC63">INDEX(BB:BB,MIN(IF(ISNUMBER(BB63:BB259),ROW(BB63:BB259),"")))</f>
        <v>4.8717948717948731</v>
      </c>
      <c r="BD63" s="13">
        <f>IF('Données projet'!$A$88&gt;35,BD62+BC63-BL62,IF(A63&lt;'Données projet'!$A$88,$BA$205^A63,IF(A63='Données projet'!$A$88,'Données projet'!$B$88,BD62+BC63-BL62)))</f>
        <v>202.56410256410257</v>
      </c>
      <c r="BE63" s="14">
        <f>BD63*VLOOKUP('Données projet'!$B$11,Paramètres!$A$1:$I$89,3,0)*VLOOKUP('Données projet'!$B$11,Paramètres!$A$1:$I$89,5,0)</f>
        <v>135.88</v>
      </c>
      <c r="BF63" s="14">
        <f t="shared" si="37"/>
        <v>35.351536820589814</v>
      </c>
      <c r="BG63" s="22">
        <f t="shared" si="7"/>
        <v>298.22825996252726</v>
      </c>
      <c r="BH63" s="62">
        <f t="shared" si="8"/>
        <v>591.56159329586058</v>
      </c>
      <c r="BI63" s="62">
        <f ca="1">AVERAGE(OFFSET($BH$3,0,0,'Données projet'!$E$11+1,1))-AVERAGE(OFFSET($H$3,0,0,'Données projet'!$E$11+1,1))</f>
        <v>261.34571165681393</v>
      </c>
      <c r="BJ63" s="62">
        <f t="shared" si="38"/>
        <v>207.9851454455669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26.282051282051281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15.571428571428571</v>
      </c>
      <c r="N64" s="14">
        <f>IF('Données projet'!$A$36&gt;35,N63+M64-V63,IF(A64&lt;'Données projet'!$A$36,$K$205^A64,IF(A64='Données projet'!$A$36,'Données projet'!$B$36,N63+M64-V63)))</f>
        <v>506.85714285714255</v>
      </c>
      <c r="O64" s="14">
        <f>N64*VLOOKUP('Données projet'!$B$9,Paramètres!$A$1:$I$89,3,0)*VLOOKUP('Données projet'!$B$9,Paramètres!$A$1:$I$89,5,0)</f>
        <v>283.33314285714266</v>
      </c>
      <c r="P64" s="14">
        <f t="shared" si="33"/>
        <v>67.670911918680105</v>
      </c>
      <c r="Q64" s="22">
        <f t="shared" si="53"/>
        <v>611.33206206789123</v>
      </c>
      <c r="R64" s="62">
        <f t="shared" si="0"/>
        <v>904.66539540122449</v>
      </c>
      <c r="S64" s="62">
        <f ca="1">AVERAGE(OFFSET($R$3,0,0,'Données projet'!$E$9+1,1))-AVERAGE(OFFSET($H$3,0,0,'Données projet'!$E$9+1,1))</f>
        <v>374.79806286316051</v>
      </c>
      <c r="T64" s="62">
        <f t="shared" si="34"/>
        <v>350.01856672839466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9.4282644571091723</v>
      </c>
      <c r="AB64" s="23">
        <f>EXP(-LN(2)/2)*AB63+(1-EXP(-LN(2)/2))/(LN(2)/2)*V64*Y64*VLOOKUP('Données projet'!$B$9,Paramètres!$A$1:$I$89,3,0)*0.475*44/12</f>
        <v>2.3753895936256045E-4</v>
      </c>
      <c r="AC64" s="24">
        <f t="shared" si="3"/>
        <v>9.428501996068535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4.4000000000000004</v>
      </c>
      <c r="AI64" s="14">
        <f>IF('Données projet'!$A$62&gt;35,AI63+AH64-AQ63,IF(A64&lt;'Données projet'!$A$62,$AF$205^A64,IF(A64='Données projet'!$A$62,'Données projet'!$B$62,AI63+AH64-AQ63)))</f>
        <v>249.39999999999992</v>
      </c>
      <c r="AJ64" s="14">
        <f>AI64*VLOOKUP('Données projet'!$B$10,Paramètres!$A$1:$I$89,3,0)*VLOOKUP('Données projet'!$B$10,Paramètres!$A$1:$I$89,5,0)</f>
        <v>198.42263999999994</v>
      </c>
      <c r="AK64" s="14">
        <f t="shared" si="35"/>
        <v>49.397352151183256</v>
      </c>
      <c r="AL64" s="22">
        <f t="shared" si="4"/>
        <v>431.61981966331081</v>
      </c>
      <c r="AM64" s="62">
        <f t="shared" si="5"/>
        <v>724.95315299664412</v>
      </c>
      <c r="AN64" s="62">
        <f ca="1">AVERAGE(OFFSET($AM$3,0,0,'Données projet'!$E$10+1,1))-AVERAGE(OFFSET($H$3,0,0,'Données projet'!$E$10+1,1))</f>
        <v>310.15624717801779</v>
      </c>
      <c r="AO64" s="62">
        <f t="shared" si="36"/>
        <v>294.28794439094889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4.4871794871794801</v>
      </c>
      <c r="BD64" s="13">
        <f>IF('Données projet'!$A$88&gt;35,BD63+BC64-BL63,IF(A64&lt;'Données projet'!$A$88,$BA$205^A64,IF(A64='Données projet'!$A$88,'Données projet'!$B$88,BD63+BC64-BL63)))</f>
        <v>180.76923076923077</v>
      </c>
      <c r="BE64" s="14">
        <f>BD64*VLOOKUP('Données projet'!$B$11,Paramètres!$A$1:$I$89,3,0)*VLOOKUP('Données projet'!$B$11,Paramètres!$A$1:$I$89,5,0)</f>
        <v>121.25999999999999</v>
      </c>
      <c r="BF64" s="14">
        <f t="shared" si="37"/>
        <v>31.968694713827716</v>
      </c>
      <c r="BG64" s="22">
        <f t="shared" si="7"/>
        <v>266.87330995991658</v>
      </c>
      <c r="BH64" s="62">
        <f t="shared" si="8"/>
        <v>560.20664329324995</v>
      </c>
      <c r="BI64" s="62">
        <f ca="1">AVERAGE(OFFSET($BH$3,0,0,'Données projet'!$E$11+1,1))-AVERAGE(OFFSET($H$3,0,0,'Données projet'!$E$11+1,1))</f>
        <v>261.34571165681393</v>
      </c>
      <c r="BJ64" s="62">
        <f t="shared" si="38"/>
        <v>207.9851454455669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15.571428571428571</v>
      </c>
      <c r="N65" s="14">
        <f>IF('Données projet'!$A$36&gt;35,N64+M65-V64,IF(A65&lt;'Données projet'!$A$36,$K$205^A65,IF(A65='Données projet'!$A$36,'Données projet'!$B$36,N64+M65-V64)))</f>
        <v>522.4285714285711</v>
      </c>
      <c r="O65" s="14">
        <f>N65*VLOOKUP('Données projet'!$B$9,Paramètres!$A$1:$I$89,3,0)*VLOOKUP('Données projet'!$B$9,Paramètres!$A$1:$I$89,5,0)</f>
        <v>292.03757142857125</v>
      </c>
      <c r="P65" s="14">
        <f t="shared" si="33"/>
        <v>69.504628296156</v>
      </c>
      <c r="Q65" s="22">
        <f t="shared" si="53"/>
        <v>629.68599785389995</v>
      </c>
      <c r="R65" s="62">
        <f t="shared" si="0"/>
        <v>923.01933118723332</v>
      </c>
      <c r="S65" s="62">
        <f ca="1">AVERAGE(OFFSET($R$3,0,0,'Données projet'!$E$9+1,1))-AVERAGE(OFFSET($H$3,0,0,'Données projet'!$E$9+1,1))</f>
        <v>374.79806286316051</v>
      </c>
      <c r="T65" s="62">
        <f t="shared" si="34"/>
        <v>350.01856672839466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9.1704480697186419</v>
      </c>
      <c r="AB65" s="23">
        <f>EXP(-LN(2)/2)*AB64+(1-EXP(-LN(2)/2))/(LN(2)/2)*V65*Y65*VLOOKUP('Données projet'!$B$9,Paramètres!$A$1:$I$89,3,0)*0.475*44/12</f>
        <v>1.6796540896126224E-4</v>
      </c>
      <c r="AC65" s="24">
        <f t="shared" si="3"/>
        <v>9.1706160351276029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4.4000000000000004</v>
      </c>
      <c r="AI65" s="14">
        <f>IF('Données projet'!$A$62&gt;35,AI64+AH65-AQ64,IF(A65&lt;'Données projet'!$A$62,$AF$205^A65,IF(A65='Données projet'!$A$62,'Données projet'!$B$62,AI64+AH65-AQ64)))</f>
        <v>253.79999999999993</v>
      </c>
      <c r="AJ65" s="14">
        <f>AI65*VLOOKUP('Données projet'!$B$10,Paramètres!$A$1:$I$89,3,0)*VLOOKUP('Données projet'!$B$10,Paramètres!$A$1:$I$89,5,0)</f>
        <v>201.92327999999995</v>
      </c>
      <c r="AK65" s="14">
        <f t="shared" si="35"/>
        <v>50.166610737265309</v>
      </c>
      <c r="AL65" s="22">
        <f t="shared" si="4"/>
        <v>439.05655970073695</v>
      </c>
      <c r="AM65" s="62">
        <f t="shared" si="5"/>
        <v>732.38989303407027</v>
      </c>
      <c r="AN65" s="62">
        <f ca="1">AVERAGE(OFFSET($AM$3,0,0,'Données projet'!$E$10+1,1))-AVERAGE(OFFSET($H$3,0,0,'Données projet'!$E$10+1,1))</f>
        <v>310.15624717801779</v>
      </c>
      <c r="AO65" s="62">
        <f t="shared" si="36"/>
        <v>294.28794439094889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4.4871794871794801</v>
      </c>
      <c r="BD65" s="13">
        <f>IF('Données projet'!$A$88&gt;35,BD64+BC65-BL64,IF(A65&lt;'Données projet'!$A$88,$BA$205^A65,IF(A65='Données projet'!$A$88,'Données projet'!$B$88,BD64+BC65-BL64)))</f>
        <v>185.25641025641025</v>
      </c>
      <c r="BE65" s="14">
        <f>BD65*VLOOKUP('Données projet'!$B$11,Paramètres!$A$1:$I$89,3,0)*VLOOKUP('Données projet'!$B$11,Paramètres!$A$1:$I$89,5,0)</f>
        <v>124.27</v>
      </c>
      <c r="BF65" s="14">
        <f t="shared" si="37"/>
        <v>32.668871006084437</v>
      </c>
      <c r="BG65" s="22">
        <f t="shared" si="7"/>
        <v>273.33520033559711</v>
      </c>
      <c r="BH65" s="62">
        <f t="shared" si="8"/>
        <v>566.66853366893042</v>
      </c>
      <c r="BI65" s="62">
        <f ca="1">AVERAGE(OFFSET($BH$3,0,0,'Données projet'!$E$11+1,1))-AVERAGE(OFFSET($H$3,0,0,'Données projet'!$E$11+1,1))</f>
        <v>261.34571165681393</v>
      </c>
      <c r="BJ65" s="62">
        <f t="shared" si="38"/>
        <v>207.9851454455669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538</v>
      </c>
      <c r="L66" s="13">
        <f>VLOOKUP(A66,'Données projet'!$A$35:$I$55,9,0)</f>
        <v>15.571428571428571</v>
      </c>
      <c r="M66" s="13">
        <f t="array" ref="M66">INDEX(L:L,MIN(IF(ISNUMBER(L66:L262),ROW(L66:L262),"")))</f>
        <v>15.571428571428571</v>
      </c>
      <c r="N66" s="14">
        <f>IF('Données projet'!$A$36&gt;35,N65+M66-V65,IF(A66&lt;'Données projet'!$A$36,$K$205^A66,IF(A66='Données projet'!$A$36,'Données projet'!$B$36,N65+M66-V65)))</f>
        <v>537.99999999999966</v>
      </c>
      <c r="O66" s="14">
        <f>N66*VLOOKUP('Données projet'!$B$9,Paramètres!$A$1:$I$89,3,0)*VLOOKUP('Données projet'!$B$9,Paramètres!$A$1:$I$89,5,0)</f>
        <v>300.74199999999985</v>
      </c>
      <c r="P66" s="14">
        <f t="shared" si="33"/>
        <v>71.331992805448763</v>
      </c>
      <c r="Q66" s="22">
        <f t="shared" si="53"/>
        <v>648.02887080282289</v>
      </c>
      <c r="R66" s="62">
        <f t="shared" si="0"/>
        <v>941.36220413615615</v>
      </c>
      <c r="S66" s="62">
        <f ca="1">AVERAGE(OFFSET($R$3,0,0,'Données projet'!$E$9+1,1))-AVERAGE(OFFSET($H$3,0,0,'Données projet'!$E$9+1,1))</f>
        <v>374.79806286316051</v>
      </c>
      <c r="T66" s="62">
        <f t="shared" si="34"/>
        <v>350.01856672839466</v>
      </c>
      <c r="U66" s="16">
        <f>IF(ISNA(VLOOKUP(A66,'Données projet'!$A$35:$I$55,3,0)),0,VLOOKUP(A66,'Données projet'!$A$35:$I$55,3,0))</f>
        <v>7</v>
      </c>
      <c r="V66" s="16">
        <f>IF(ISNA(VLOOKUP(A66,'Données projet'!$A$35:$I$55,4,0)),0,VLOOKUP(A66,'Données projet'!$A$35:$I$55,4,0))</f>
        <v>84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8.919681684999281</v>
      </c>
      <c r="AB66" s="23">
        <f>EXP(-LN(2)/2)*AB65+(1-EXP(-LN(2)/2))/(LN(2)/2)*V66*Y66*VLOOKUP('Données projet'!$B$9,Paramètres!$A$1:$I$89,3,0)*0.475*44/12</f>
        <v>1.1876947968128024E-4</v>
      </c>
      <c r="AC66" s="24">
        <f t="shared" si="3"/>
        <v>8.9198004544789615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4.4000000000000004</v>
      </c>
      <c r="AI66" s="14">
        <f>IF('Données projet'!$A$62&gt;35,AI65+AH66-AQ65,IF(A66&lt;'Données projet'!$A$62,$AF$205^A66,IF(A66='Données projet'!$A$62,'Données projet'!$B$62,AI65+AH66-AQ65)))</f>
        <v>258.19999999999993</v>
      </c>
      <c r="AJ66" s="14">
        <f>AI66*VLOOKUP('Données projet'!$B$10,Paramètres!$A$1:$I$89,3,0)*VLOOKUP('Données projet'!$B$10,Paramètres!$A$1:$I$89,5,0)</f>
        <v>205.42391999999995</v>
      </c>
      <c r="AK66" s="14">
        <f t="shared" si="35"/>
        <v>50.934318468081216</v>
      </c>
      <c r="AL66" s="22">
        <f t="shared" si="4"/>
        <v>446.49059866524129</v>
      </c>
      <c r="AM66" s="62">
        <f t="shared" si="5"/>
        <v>739.82393199857461</v>
      </c>
      <c r="AN66" s="62">
        <f ca="1">AVERAGE(OFFSET($AM$3,0,0,'Données projet'!$E$10+1,1))-AVERAGE(OFFSET($H$3,0,0,'Données projet'!$E$10+1,1))</f>
        <v>310.15624717801779</v>
      </c>
      <c r="AO66" s="62">
        <f t="shared" si="36"/>
        <v>294.28794439094889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4.4871794871794801</v>
      </c>
      <c r="BD66" s="13">
        <f>IF('Données projet'!$A$88&gt;35,BD65+BC66-BL65,IF(A66&lt;'Données projet'!$A$88,$BA$205^A66,IF(A66='Données projet'!$A$88,'Données projet'!$B$88,BD65+BC66-BL65)))</f>
        <v>189.74358974358972</v>
      </c>
      <c r="BE66" s="14">
        <f>BD66*VLOOKUP('Données projet'!$B$11,Paramètres!$A$1:$I$89,3,0)*VLOOKUP('Données projet'!$B$11,Paramètres!$A$1:$I$89,5,0)</f>
        <v>127.27999999999999</v>
      </c>
      <c r="BF66" s="14">
        <f t="shared" si="37"/>
        <v>33.367075813758639</v>
      </c>
      <c r="BG66" s="22">
        <f t="shared" si="7"/>
        <v>279.79365704229622</v>
      </c>
      <c r="BH66" s="62">
        <f t="shared" si="8"/>
        <v>573.12699037562948</v>
      </c>
      <c r="BI66" s="62">
        <f ca="1">AVERAGE(OFFSET($BH$3,0,0,'Données projet'!$E$11+1,1))-AVERAGE(OFFSET($H$3,0,0,'Données projet'!$E$11+1,1))</f>
        <v>261.34571165681393</v>
      </c>
      <c r="BJ66" s="62">
        <f t="shared" si="38"/>
        <v>207.9851454455669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13.857142857142858</v>
      </c>
      <c r="N67" s="14">
        <f>IF('Données projet'!$A$36&gt;35,N66+M67-V66,IF(A67&lt;'Données projet'!$A$36,$K$205^A67,IF(A67='Données projet'!$A$36,'Données projet'!$B$36,N66+M67-V66)))</f>
        <v>467.85714285714255</v>
      </c>
      <c r="O67" s="14">
        <f>N67*VLOOKUP('Données projet'!$B$9,Paramètres!$A$1:$I$89,3,0)*VLOOKUP('Données projet'!$B$9,Paramètres!$A$1:$I$89,5,0)</f>
        <v>261.53214285714273</v>
      </c>
      <c r="P67" s="14">
        <f t="shared" si="33"/>
        <v>63.048857133846255</v>
      </c>
      <c r="Q67" s="22">
        <f t="shared" ref="Q67:Q98" si="54">(O67+P67)*0.475*44/12</f>
        <v>565.31190831763899</v>
      </c>
      <c r="R67" s="62">
        <f t="shared" ref="R67:R130" si="55">Q67+(I67+J67)*44/12</f>
        <v>858.64524165097237</v>
      </c>
      <c r="S67" s="62">
        <f ca="1">AVERAGE(OFFSET($R$3,0,0,'Données projet'!$E$9+1,1))-AVERAGE(OFFSET($H$3,0,0,'Données projet'!$E$9+1,1))</f>
        <v>374.79806286316051</v>
      </c>
      <c r="T67" s="62">
        <f t="shared" si="34"/>
        <v>350.01856672839466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8.6757725202573024</v>
      </c>
      <c r="AB67" s="23">
        <f>EXP(-LN(2)/2)*AB66+(1-EXP(-LN(2)/2))/(LN(2)/2)*V67*Y67*VLOOKUP('Données projet'!$B$9,Paramètres!$A$1:$I$89,3,0)*0.475*44/12</f>
        <v>8.3982704480631135E-5</v>
      </c>
      <c r="AC67" s="24">
        <f t="shared" si="3"/>
        <v>8.6758565029617838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4.4000000000000004</v>
      </c>
      <c r="AI67" s="14">
        <f>IF('Données projet'!$A$62&gt;35,AI66+AH67-AQ66,IF(A67&lt;'Données projet'!$A$62,$AF$205^A67,IF(A67='Données projet'!$A$62,'Données projet'!$B$62,AI66+AH67-AQ66)))</f>
        <v>262.59999999999991</v>
      </c>
      <c r="AJ67" s="14">
        <f>AI67*VLOOKUP('Données projet'!$B$10,Paramètres!$A$1:$I$89,3,0)*VLOOKUP('Données projet'!$B$10,Paramètres!$A$1:$I$89,5,0)</f>
        <v>208.92455999999996</v>
      </c>
      <c r="AK67" s="14">
        <f t="shared" si="35"/>
        <v>51.700504821714368</v>
      </c>
      <c r="AL67" s="22">
        <f t="shared" si="4"/>
        <v>453.92198789781906</v>
      </c>
      <c r="AM67" s="62">
        <f t="shared" si="5"/>
        <v>747.25532123115238</v>
      </c>
      <c r="AN67" s="62">
        <f ca="1">AVERAGE(OFFSET($AM$3,0,0,'Données projet'!$E$10+1,1))-AVERAGE(OFFSET($H$3,0,0,'Données projet'!$E$10+1,1))</f>
        <v>310.15624717801779</v>
      </c>
      <c r="AO67" s="62">
        <f t="shared" si="36"/>
        <v>294.28794439094889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4.4871794871794801</v>
      </c>
      <c r="BD67" s="13">
        <f>IF('Données projet'!$A$88&gt;35,BD66+BC67-BL66,IF(A67&lt;'Données projet'!$A$88,$BA$205^A67,IF(A67='Données projet'!$A$88,'Données projet'!$B$88,BD66+BC67-BL66)))</f>
        <v>194.2307692307692</v>
      </c>
      <c r="BE67" s="14">
        <f>BD67*VLOOKUP('Données projet'!$B$11,Paramètres!$A$1:$I$89,3,0)*VLOOKUP('Données projet'!$B$11,Paramètres!$A$1:$I$89,5,0)</f>
        <v>130.29</v>
      </c>
      <c r="BF67" s="14">
        <f t="shared" si="37"/>
        <v>34.063361124931106</v>
      </c>
      <c r="BG67" s="22">
        <f t="shared" si="7"/>
        <v>286.24877062592162</v>
      </c>
      <c r="BH67" s="62">
        <f t="shared" si="8"/>
        <v>579.58210395925494</v>
      </c>
      <c r="BI67" s="62">
        <f ca="1">AVERAGE(OFFSET($BH$3,0,0,'Données projet'!$E$11+1,1))-AVERAGE(OFFSET($H$3,0,0,'Données projet'!$E$11+1,1))</f>
        <v>261.34571165681393</v>
      </c>
      <c r="BJ67" s="62">
        <f t="shared" si="38"/>
        <v>207.9851454455669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13.857142857142858</v>
      </c>
      <c r="N68" s="14">
        <f>IF('Données projet'!$A$36&gt;35,N67+M68-V67,IF(A68&lt;'Données projet'!$A$36,$K$205^A68,IF(A68='Données projet'!$A$36,'Données projet'!$B$36,N67+M68-V67)))</f>
        <v>481.71428571428538</v>
      </c>
      <c r="O68" s="14">
        <f>N68*VLOOKUP('Données projet'!$B$9,Paramètres!$A$1:$I$89,3,0)*VLOOKUP('Données projet'!$B$9,Paramètres!$A$1:$I$89,5,0)</f>
        <v>269.27828571428557</v>
      </c>
      <c r="P68" s="14">
        <f t="shared" si="33"/>
        <v>64.696079449868591</v>
      </c>
      <c r="Q68" s="22">
        <f t="shared" si="54"/>
        <v>581.67201932756836</v>
      </c>
      <c r="R68" s="62">
        <f t="shared" si="55"/>
        <v>875.00535266090174</v>
      </c>
      <c r="S68" s="62">
        <f ca="1">AVERAGE(OFFSET($R$3,0,0,'Données projet'!$E$9+1,1))-AVERAGE(OFFSET($H$3,0,0,'Données projet'!$E$9+1,1))</f>
        <v>374.79806286316051</v>
      </c>
      <c r="T68" s="62">
        <f t="shared" si="34"/>
        <v>350.01856672839466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8.4385330644518177</v>
      </c>
      <c r="AB68" s="23">
        <f>EXP(-LN(2)/2)*AB67+(1-EXP(-LN(2)/2))/(LN(2)/2)*V68*Y68*VLOOKUP('Données projet'!$B$9,Paramètres!$A$1:$I$89,3,0)*0.475*44/12</f>
        <v>5.9384739840640126E-5</v>
      </c>
      <c r="AC68" s="24">
        <f t="shared" ref="AC68:AC131" si="57">SUM(Z68:AB68)</f>
        <v>8.438592449191658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267</v>
      </c>
      <c r="AG68" s="13">
        <f>VLOOKUP(A68,'Données projet'!$A$61:$I$81,9,0)</f>
        <v>4.4000000000000004</v>
      </c>
      <c r="AH68" s="13">
        <f t="array" ref="AH68">INDEX(AG:AG,MIN(IF(ISNUMBER(AG68:AG264),ROW(AG68:AG264),"")))</f>
        <v>4.4000000000000004</v>
      </c>
      <c r="AI68" s="14">
        <f>IF('Données projet'!$A$62&gt;35,AI67+AH68-AQ67,IF(A68&lt;'Données projet'!$A$62,$AF$205^A68,IF(A68='Données projet'!$A$62,'Données projet'!$B$62,AI67+AH68-AQ67)))</f>
        <v>266.99999999999989</v>
      </c>
      <c r="AJ68" s="14">
        <f>AI68*VLOOKUP('Données projet'!$B$10,Paramètres!$A$1:$I$89,3,0)*VLOOKUP('Données projet'!$B$10,Paramètres!$A$1:$I$89,5,0)</f>
        <v>212.4251999999999</v>
      </c>
      <c r="AK68" s="14">
        <f t="shared" si="35"/>
        <v>52.465198231787184</v>
      </c>
      <c r="AL68" s="22">
        <f t="shared" ref="AL68:AL131" si="58">(AJ68+AK68)*0.475*44/12</f>
        <v>461.35077692036253</v>
      </c>
      <c r="AM68" s="62">
        <f t="shared" ref="AM68:AM131" si="59">AL68+(AD68+AE68)*44/12</f>
        <v>754.68411025369585</v>
      </c>
      <c r="AN68" s="62">
        <f ca="1">AVERAGE(OFFSET($AM$3,0,0,'Données projet'!$E$10+1,1))-AVERAGE(OFFSET($H$3,0,0,'Données projet'!$E$10+1,1))</f>
        <v>310.15624717801779</v>
      </c>
      <c r="AO68" s="62">
        <f t="shared" si="36"/>
        <v>294.28794439094889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23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198.7179487179487</v>
      </c>
      <c r="BB68" s="13">
        <f>VLOOKUP(A68,'Données projet'!$A$87:$I$107,9,0)</f>
        <v>4.4871794871794801</v>
      </c>
      <c r="BC68" s="13">
        <f t="array" ref="BC68">INDEX(BB:BB,MIN(IF(ISNUMBER(BB68:BB264),ROW(BB68:BB264),"")))</f>
        <v>4.4871794871794801</v>
      </c>
      <c r="BD68" s="13">
        <f>IF('Données projet'!$A$88&gt;35,BD67+BC68-BL67,IF(A68&lt;'Données projet'!$A$88,$BA$205^A68,IF(A68='Données projet'!$A$88,'Données projet'!$B$88,BD67+BC68-BL67)))</f>
        <v>198.71794871794867</v>
      </c>
      <c r="BE68" s="14">
        <f>BD68*VLOOKUP('Données projet'!$B$11,Paramètres!$A$1:$I$89,3,0)*VLOOKUP('Données projet'!$B$11,Paramètres!$A$1:$I$89,5,0)</f>
        <v>133.29999999999998</v>
      </c>
      <c r="BF68" s="14">
        <f t="shared" si="37"/>
        <v>34.757776388526544</v>
      </c>
      <c r="BG68" s="22">
        <f t="shared" ref="BG68:BG131" si="61">(BE68+BF68)*0.475*44/12</f>
        <v>292.70062721001705</v>
      </c>
      <c r="BH68" s="62">
        <f t="shared" ref="BH68:BH131" si="62">BG68+(AY68+AZ68)*44/12</f>
        <v>586.0339605433503</v>
      </c>
      <c r="BI68" s="62">
        <f ca="1">AVERAGE(OFFSET($BH$3,0,0,'Données projet'!$E$11+1,1))-AVERAGE(OFFSET($H$3,0,0,'Données projet'!$E$11+1,1))</f>
        <v>261.34571165681393</v>
      </c>
      <c r="BJ68" s="62">
        <f t="shared" si="38"/>
        <v>207.9851454455669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13.857142857142858</v>
      </c>
      <c r="N69" s="14">
        <f>IF('Données projet'!$A$36&gt;35,N68+M69-V68,IF(A69&lt;'Données projet'!$A$36,$K$205^A69,IF(A69='Données projet'!$A$36,'Données projet'!$B$36,N68+M69-V68)))</f>
        <v>495.57142857142821</v>
      </c>
      <c r="O69" s="14">
        <f>N69*VLOOKUP('Données projet'!$B$9,Paramètres!$A$1:$I$89,3,0)*VLOOKUP('Données projet'!$B$9,Paramètres!$A$1:$I$89,5,0)</f>
        <v>277.02442857142842</v>
      </c>
      <c r="P69" s="14">
        <f t="shared" ref="P69:P132" si="87">EXP(-1.0587+0.8836*LN(O69)+0.284)</f>
        <v>66.337794630329327</v>
      </c>
      <c r="Q69" s="22">
        <f t="shared" si="54"/>
        <v>598.02253874306132</v>
      </c>
      <c r="R69" s="62">
        <f t="shared" si="55"/>
        <v>891.35587207639469</v>
      </c>
      <c r="S69" s="62">
        <f ca="1">AVERAGE(OFFSET($R$3,0,0,'Données projet'!$E$9+1,1))-AVERAGE(OFFSET($H$3,0,0,'Données projet'!$E$9+1,1))</f>
        <v>374.79806286316051</v>
      </c>
      <c r="T69" s="62">
        <f t="shared" ref="T69:T132" si="88">$T$3</f>
        <v>350.01856672839466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8.2077809340412156</v>
      </c>
      <c r="AB69" s="23">
        <f>EXP(-LN(2)/2)*AB68+(1-EXP(-LN(2)/2))/(LN(2)/2)*V69*Y69*VLOOKUP('Données projet'!$B$9,Paramètres!$A$1:$I$89,3,0)*0.475*44/12</f>
        <v>4.1991352240315574E-5</v>
      </c>
      <c r="AC69" s="24">
        <f t="shared" si="57"/>
        <v>8.2078229253934563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3.8</v>
      </c>
      <c r="AI69" s="14">
        <f>IF('Données projet'!$A$62&gt;35,AI68+AH69-AQ68,IF(A69&lt;'Données projet'!$A$62,$AF$205^A69,IF(A69='Données projet'!$A$62,'Données projet'!$B$62,AI68+AH69-AQ68)))</f>
        <v>247.7999999999999</v>
      </c>
      <c r="AJ69" s="14">
        <f>AI69*VLOOKUP('Données projet'!$B$10,Paramètres!$A$1:$I$89,3,0)*VLOOKUP('Données projet'!$B$10,Paramètres!$A$1:$I$89,5,0)</f>
        <v>197.1496799999999</v>
      </c>
      <c r="AK69" s="14">
        <f t="shared" ref="AK69:AK132" si="89">EXP(-1.0587+0.8836*LN(AJ69)+0.284)</f>
        <v>49.11723130862363</v>
      </c>
      <c r="AL69" s="22">
        <f t="shared" si="58"/>
        <v>428.91487052918598</v>
      </c>
      <c r="AM69" s="62">
        <f t="shared" si="59"/>
        <v>722.24820386251929</v>
      </c>
      <c r="AN69" s="62">
        <f ca="1">AVERAGE(OFFSET($AM$3,0,0,'Données projet'!$E$10+1,1))-AVERAGE(OFFSET($H$3,0,0,'Données projet'!$E$10+1,1))</f>
        <v>310.15624717801779</v>
      </c>
      <c r="AO69" s="62">
        <f t="shared" ref="AO69:AO132" si="90">$AO$3</f>
        <v>294.28794439094889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4.3589743589743595</v>
      </c>
      <c r="BD69" s="13">
        <f>IF('Données projet'!$A$88&gt;35,BD68+BC69-BL68,IF(A69&lt;'Données projet'!$A$88,$BA$205^A69,IF(A69='Données projet'!$A$88,'Données projet'!$B$88,BD68+BC69-BL68)))</f>
        <v>203.07692307692304</v>
      </c>
      <c r="BE69" s="14">
        <f>BD69*VLOOKUP('Données projet'!$B$11,Paramètres!$A$1:$I$89,3,0)*VLOOKUP('Données projet'!$B$11,Paramètres!$A$1:$I$89,5,0)</f>
        <v>136.22399999999999</v>
      </c>
      <c r="BF69" s="14">
        <f t="shared" ref="BF69:BF132" si="91">EXP(-1.0587+0.8836*LN(BE69)+0.284)</f>
        <v>35.430605225162601</v>
      </c>
      <c r="BG69" s="22">
        <f t="shared" si="61"/>
        <v>298.96510410049149</v>
      </c>
      <c r="BH69" s="62">
        <f t="shared" si="62"/>
        <v>592.2984374338248</v>
      </c>
      <c r="BI69" s="62">
        <f ca="1">AVERAGE(OFFSET($BH$3,0,0,'Données projet'!$E$11+1,1))-AVERAGE(OFFSET($H$3,0,0,'Données projet'!$E$11+1,1))</f>
        <v>261.34571165681393</v>
      </c>
      <c r="BJ69" s="62">
        <f t="shared" ref="BJ69:BJ132" si="92">$BJ$3</f>
        <v>207.9851454455669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13.857142857142858</v>
      </c>
      <c r="N70" s="14">
        <f>IF('Données projet'!$A$36&gt;35,N69+M70-V69,IF(A70&lt;'Données projet'!$A$36,$K$205^A70,IF(A70='Données projet'!$A$36,'Données projet'!$B$36,N69+M70-V69)))</f>
        <v>509.42857142857105</v>
      </c>
      <c r="O70" s="14">
        <f>N70*VLOOKUP('Données projet'!$B$9,Paramètres!$A$1:$I$89,3,0)*VLOOKUP('Données projet'!$B$9,Paramètres!$A$1:$I$89,5,0)</f>
        <v>284.77057142857126</v>
      </c>
      <c r="P70" s="14">
        <f t="shared" si="87"/>
        <v>67.974174355789401</v>
      </c>
      <c r="Q70" s="22">
        <f t="shared" si="54"/>
        <v>614.36376557442816</v>
      </c>
      <c r="R70" s="62">
        <f t="shared" si="55"/>
        <v>907.69709890776153</v>
      </c>
      <c r="S70" s="62">
        <f ca="1">AVERAGE(OFFSET($R$3,0,0,'Données projet'!$E$9+1,1))-AVERAGE(OFFSET($H$3,0,0,'Données projet'!$E$9+1,1))</f>
        <v>374.79806286316051</v>
      </c>
      <c r="T70" s="62">
        <f t="shared" si="88"/>
        <v>350.01856672839466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7.9833387327714185</v>
      </c>
      <c r="AB70" s="23">
        <f>EXP(-LN(2)/2)*AB69+(1-EXP(-LN(2)/2))/(LN(2)/2)*V70*Y70*VLOOKUP('Données projet'!$B$9,Paramètres!$A$1:$I$89,3,0)*0.475*44/12</f>
        <v>2.969236992032007E-5</v>
      </c>
      <c r="AC70" s="24">
        <f t="shared" si="57"/>
        <v>7.9833684251413386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3.8</v>
      </c>
      <c r="AI70" s="14">
        <f>IF('Données projet'!$A$62&gt;35,AI69+AH70-AQ69,IF(A70&lt;'Données projet'!$A$62,$AF$205^A70,IF(A70='Données projet'!$A$62,'Données projet'!$B$62,AI69+AH70-AQ69)))</f>
        <v>251.59999999999991</v>
      </c>
      <c r="AJ70" s="14">
        <f>AI70*VLOOKUP('Données projet'!$B$10,Paramètres!$A$1:$I$89,3,0)*VLOOKUP('Données projet'!$B$10,Paramètres!$A$1:$I$89,5,0)</f>
        <v>200.17295999999993</v>
      </c>
      <c r="AK70" s="14">
        <f t="shared" si="89"/>
        <v>49.782177185856028</v>
      </c>
      <c r="AL70" s="22">
        <f t="shared" si="58"/>
        <v>435.33853059869904</v>
      </c>
      <c r="AM70" s="62">
        <f t="shared" si="59"/>
        <v>728.67186393203235</v>
      </c>
      <c r="AN70" s="62">
        <f ca="1">AVERAGE(OFFSET($AM$3,0,0,'Données projet'!$E$10+1,1))-AVERAGE(OFFSET($H$3,0,0,'Données projet'!$E$10+1,1))</f>
        <v>310.15624717801779</v>
      </c>
      <c r="AO70" s="62">
        <f t="shared" si="90"/>
        <v>294.28794439094889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4.3589743589743595</v>
      </c>
      <c r="BD70" s="13">
        <f>IF('Données projet'!$A$88&gt;35,BD69+BC70-BL69,IF(A70&lt;'Données projet'!$A$88,$BA$205^A70,IF(A70='Données projet'!$A$88,'Données projet'!$B$88,BD69+BC70-BL69)))</f>
        <v>207.4358974358974</v>
      </c>
      <c r="BE70" s="14">
        <f>BD70*VLOOKUP('Données projet'!$B$11,Paramètres!$A$1:$I$89,3,0)*VLOOKUP('Données projet'!$B$11,Paramètres!$A$1:$I$89,5,0)</f>
        <v>139.14799999999997</v>
      </c>
      <c r="BF70" s="14">
        <f t="shared" si="91"/>
        <v>36.101754971155358</v>
      </c>
      <c r="BG70" s="22">
        <f t="shared" si="61"/>
        <v>305.22665657476222</v>
      </c>
      <c r="BH70" s="62">
        <f t="shared" si="62"/>
        <v>598.55998990809553</v>
      </c>
      <c r="BI70" s="62">
        <f ca="1">AVERAGE(OFFSET($BH$3,0,0,'Données projet'!$E$11+1,1))-AVERAGE(OFFSET($H$3,0,0,'Données projet'!$E$11+1,1))</f>
        <v>261.34571165681393</v>
      </c>
      <c r="BJ70" s="62">
        <f t="shared" si="92"/>
        <v>207.9851454455669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13.857142857142858</v>
      </c>
      <c r="N71" s="14">
        <f>IF('Données projet'!$A$36&gt;35,N70+M71-V70,IF(A71&lt;'Données projet'!$A$36,$K$205^A71,IF(A71='Données projet'!$A$36,'Données projet'!$B$36,N70+M71-V70)))</f>
        <v>523.28571428571388</v>
      </c>
      <c r="O71" s="14">
        <f>N71*VLOOKUP('Données projet'!$B$9,Paramètres!$A$1:$I$89,3,0)*VLOOKUP('Données projet'!$B$9,Paramètres!$A$1:$I$89,5,0)</f>
        <v>292.5167142857141</v>
      </c>
      <c r="P71" s="14">
        <f t="shared" si="87"/>
        <v>69.605380435295899</v>
      </c>
      <c r="Q71" s="22">
        <f t="shared" si="54"/>
        <v>630.69598163909245</v>
      </c>
      <c r="R71" s="62">
        <f t="shared" si="55"/>
        <v>924.02931497242571</v>
      </c>
      <c r="S71" s="62">
        <f ca="1">AVERAGE(OFFSET($R$3,0,0,'Données projet'!$E$9+1,1))-AVERAGE(OFFSET($H$3,0,0,'Données projet'!$E$9+1,1))</f>
        <v>374.79806286316051</v>
      </c>
      <c r="T71" s="62">
        <f t="shared" si="88"/>
        <v>350.01856672839466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7.7650339152982459</v>
      </c>
      <c r="AB71" s="23">
        <f>EXP(-LN(2)/2)*AB70+(1-EXP(-LN(2)/2))/(LN(2)/2)*V71*Y71*VLOOKUP('Données projet'!$B$9,Paramètres!$A$1:$I$89,3,0)*0.475*44/12</f>
        <v>2.0995676120157791E-5</v>
      </c>
      <c r="AC71" s="24">
        <f t="shared" si="57"/>
        <v>7.7650549109743663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3.8</v>
      </c>
      <c r="AI71" s="14">
        <f>IF('Données projet'!$A$62&gt;35,AI70+AH71-AQ70,IF(A71&lt;'Données projet'!$A$62,$AF$205^A71,IF(A71='Données projet'!$A$62,'Données projet'!$B$62,AI70+AH71-AQ70)))</f>
        <v>255.39999999999992</v>
      </c>
      <c r="AJ71" s="14">
        <f>AI71*VLOOKUP('Données projet'!$B$10,Paramètres!$A$1:$I$89,3,0)*VLOOKUP('Données projet'!$B$10,Paramètres!$A$1:$I$89,5,0)</f>
        <v>203.19623999999996</v>
      </c>
      <c r="AK71" s="14">
        <f t="shared" si="89"/>
        <v>50.445955049216174</v>
      </c>
      <c r="AL71" s="22">
        <f t="shared" si="58"/>
        <v>441.76015637738482</v>
      </c>
      <c r="AM71" s="62">
        <f t="shared" si="59"/>
        <v>735.09348971071813</v>
      </c>
      <c r="AN71" s="62">
        <f ca="1">AVERAGE(OFFSET($AM$3,0,0,'Données projet'!$E$10+1,1))-AVERAGE(OFFSET($H$3,0,0,'Données projet'!$E$10+1,1))</f>
        <v>310.15624717801779</v>
      </c>
      <c r="AO71" s="62">
        <f t="shared" si="90"/>
        <v>294.28794439094889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4.3589743589743595</v>
      </c>
      <c r="BD71" s="13">
        <f>IF('Données projet'!$A$88&gt;35,BD70+BC71-BL70,IF(A71&lt;'Données projet'!$A$88,$BA$205^A71,IF(A71='Données projet'!$A$88,'Données projet'!$B$88,BD70+BC71-BL70)))</f>
        <v>211.79487179487177</v>
      </c>
      <c r="BE71" s="14">
        <f>BD71*VLOOKUP('Données projet'!$B$11,Paramètres!$A$1:$I$89,3,0)*VLOOKUP('Données projet'!$B$11,Paramètres!$A$1:$I$89,5,0)</f>
        <v>142.072</v>
      </c>
      <c r="BF71" s="14">
        <f t="shared" si="91"/>
        <v>36.771264974977768</v>
      </c>
      <c r="BG71" s="22">
        <f t="shared" si="61"/>
        <v>311.48535316475295</v>
      </c>
      <c r="BH71" s="62">
        <f t="shared" si="62"/>
        <v>604.81868649808621</v>
      </c>
      <c r="BI71" s="62">
        <f ca="1">AVERAGE(OFFSET($BH$3,0,0,'Données projet'!$E$11+1,1))-AVERAGE(OFFSET($H$3,0,0,'Données projet'!$E$11+1,1))</f>
        <v>261.34571165681393</v>
      </c>
      <c r="BJ71" s="62">
        <f t="shared" si="92"/>
        <v>207.9851454455669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13.857142857142858</v>
      </c>
      <c r="N72" s="14">
        <f>IF('Données projet'!$A$36&gt;35,N71+M72-V71,IF(A72&lt;'Données projet'!$A$36,$K$205^A72,IF(A72='Données projet'!$A$36,'Données projet'!$B$36,N71+M72-V71)))</f>
        <v>537.14285714285677</v>
      </c>
      <c r="O72" s="14">
        <f>N72*VLOOKUP('Données projet'!$B$9,Paramètres!$A$1:$I$89,3,0)*VLOOKUP('Données projet'!$B$9,Paramètres!$A$1:$I$89,5,0)</f>
        <v>300.26285714285694</v>
      </c>
      <c r="P72" s="14">
        <f t="shared" si="87"/>
        <v>71.231565620163408</v>
      </c>
      <c r="Q72" s="22">
        <f t="shared" si="54"/>
        <v>647.01945297892712</v>
      </c>
      <c r="R72" s="62">
        <f t="shared" si="55"/>
        <v>940.35278631226038</v>
      </c>
      <c r="S72" s="62">
        <f ca="1">AVERAGE(OFFSET($R$3,0,0,'Données projet'!$E$9+1,1))-AVERAGE(OFFSET($H$3,0,0,'Données projet'!$E$9+1,1))</f>
        <v>374.79806286316051</v>
      </c>
      <c r="T72" s="62">
        <f t="shared" si="88"/>
        <v>350.01856672839466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7.5526986545390287</v>
      </c>
      <c r="AB72" s="23">
        <f>EXP(-LN(2)/2)*AB71+(1-EXP(-LN(2)/2))/(LN(2)/2)*V72*Y72*VLOOKUP('Données projet'!$B$9,Paramètres!$A$1:$I$89,3,0)*0.475*44/12</f>
        <v>1.4846184960160037E-5</v>
      </c>
      <c r="AC72" s="24">
        <f t="shared" si="57"/>
        <v>7.5527135007239892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3.8</v>
      </c>
      <c r="AI72" s="14">
        <f>IF('Données projet'!$A$62&gt;35,AI71+AH72-AQ71,IF(A72&lt;'Données projet'!$A$62,$AF$205^A72,IF(A72='Données projet'!$A$62,'Données projet'!$B$62,AI71+AH72-AQ71)))</f>
        <v>259.19999999999993</v>
      </c>
      <c r="AJ72" s="14">
        <f>AI72*VLOOKUP('Données projet'!$B$10,Paramètres!$A$1:$I$89,3,0)*VLOOKUP('Données projet'!$B$10,Paramètres!$A$1:$I$89,5,0)</f>
        <v>206.21951999999996</v>
      </c>
      <c r="AK72" s="14">
        <f t="shared" si="89"/>
        <v>51.108584284640322</v>
      </c>
      <c r="AL72" s="22">
        <f t="shared" si="58"/>
        <v>448.17978162908184</v>
      </c>
      <c r="AM72" s="62">
        <f t="shared" si="59"/>
        <v>741.5131149624151</v>
      </c>
      <c r="AN72" s="62">
        <f ca="1">AVERAGE(OFFSET($AM$3,0,0,'Données projet'!$E$10+1,1))-AVERAGE(OFFSET($H$3,0,0,'Données projet'!$E$10+1,1))</f>
        <v>310.15624717801779</v>
      </c>
      <c r="AO72" s="62">
        <f t="shared" si="90"/>
        <v>294.28794439094889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4.3589743589743595</v>
      </c>
      <c r="BD72" s="13">
        <f>IF('Données projet'!$A$88&gt;35,BD71+BC72-BL71,IF(A72&lt;'Données projet'!$A$88,$BA$205^A72,IF(A72='Données projet'!$A$88,'Données projet'!$B$88,BD71+BC72-BL71)))</f>
        <v>216.15384615384613</v>
      </c>
      <c r="BE72" s="14">
        <f>BD72*VLOOKUP('Données projet'!$B$11,Paramètres!$A$1:$I$89,3,0)*VLOOKUP('Données projet'!$B$11,Paramètres!$A$1:$I$89,5,0)</f>
        <v>144.99599999999998</v>
      </c>
      <c r="BF72" s="14">
        <f t="shared" si="91"/>
        <v>37.439172872855487</v>
      </c>
      <c r="BG72" s="22">
        <f t="shared" si="61"/>
        <v>317.74125942022329</v>
      </c>
      <c r="BH72" s="62">
        <f t="shared" si="62"/>
        <v>611.07459275355654</v>
      </c>
      <c r="BI72" s="62">
        <f ca="1">AVERAGE(OFFSET($BH$3,0,0,'Données projet'!$E$11+1,1))-AVERAGE(OFFSET($H$3,0,0,'Données projet'!$E$11+1,1))</f>
        <v>261.34571165681393</v>
      </c>
      <c r="BJ72" s="62">
        <f t="shared" si="92"/>
        <v>207.9851454455669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551</v>
      </c>
      <c r="L73" s="13">
        <f>VLOOKUP(A73,'Données projet'!$A$35:$I$55,9,0)</f>
        <v>13.857142857142858</v>
      </c>
      <c r="M73" s="13">
        <f t="array" ref="M73">INDEX(L:L,MIN(IF(ISNUMBER(L73:L269),ROW(L73:L269),"")))</f>
        <v>13.857142857142858</v>
      </c>
      <c r="N73" s="14">
        <f>IF('Données projet'!$A$36&gt;35,N72+M73-V72,IF(A73&lt;'Données projet'!$A$36,$K$205^A73,IF(A73='Données projet'!$A$36,'Données projet'!$B$36,N72+M73-V72)))</f>
        <v>550.99999999999966</v>
      </c>
      <c r="O73" s="14">
        <f>N73*VLOOKUP('Données projet'!$B$9,Paramètres!$A$1:$I$89,3,0)*VLOOKUP('Données projet'!$B$9,Paramètres!$A$1:$I$89,5,0)</f>
        <v>308.00899999999979</v>
      </c>
      <c r="P73" s="14">
        <f t="shared" si="87"/>
        <v>72.852874331417695</v>
      </c>
      <c r="Q73" s="22">
        <f t="shared" si="54"/>
        <v>663.33443112721886</v>
      </c>
      <c r="R73" s="62">
        <f t="shared" si="55"/>
        <v>956.66776446055223</v>
      </c>
      <c r="S73" s="62">
        <f ca="1">AVERAGE(OFFSET($R$3,0,0,'Données projet'!$E$9+1,1))-AVERAGE(OFFSET($H$3,0,0,'Données projet'!$E$9+1,1))</f>
        <v>374.79806286316051</v>
      </c>
      <c r="T73" s="62">
        <f t="shared" si="88"/>
        <v>350.01856672839466</v>
      </c>
      <c r="U73" s="16">
        <f>IF(ISNA(VLOOKUP(A73,'Données projet'!$A$35:$I$55,3,0)),0,VLOOKUP(A73,'Données projet'!$A$35:$I$55,3,0))</f>
        <v>8</v>
      </c>
      <c r="V73" s="16">
        <f>IF(ISNA(VLOOKUP(A73,'Données projet'!$A$35:$I$55,4,0)),0,VLOOKUP(A73,'Données projet'!$A$35:$I$55,4,0))</f>
        <v>551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7.3461697126514984</v>
      </c>
      <c r="AB73" s="23">
        <f>EXP(-LN(2)/2)*AB72+(1-EXP(-LN(2)/2))/(LN(2)/2)*V73*Y73*VLOOKUP('Données projet'!$B$9,Paramètres!$A$1:$I$89,3,0)*0.475*44/12</f>
        <v>1.0497838060078897E-5</v>
      </c>
      <c r="AC73" s="24">
        <f t="shared" si="57"/>
        <v>7.3461802104895586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3.8</v>
      </c>
      <c r="AH73" s="13">
        <f t="array" ref="AH73">INDEX(AG:AG,MIN(IF(ISNUMBER(AG73:AG269),ROW(AG73:AG269),"")))</f>
        <v>3.8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209.24279999999996</v>
      </c>
      <c r="AK73" s="14">
        <f t="shared" si="89"/>
        <v>51.770083677016814</v>
      </c>
      <c r="AL73" s="22">
        <f t="shared" si="58"/>
        <v>454.59743907080411</v>
      </c>
      <c r="AM73" s="62">
        <f t="shared" si="59"/>
        <v>747.93077240413743</v>
      </c>
      <c r="AN73" s="62">
        <f ca="1">AVERAGE(OFFSET($AM$3,0,0,'Données projet'!$E$10+1,1))-AVERAGE(OFFSET($H$3,0,0,'Données projet'!$E$10+1,1))</f>
        <v>310.15624717801779</v>
      </c>
      <c r="AO73" s="62">
        <f t="shared" si="90"/>
        <v>294.28794439094889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220.5128205128205</v>
      </c>
      <c r="BB73" s="13">
        <f>VLOOKUP(A73,'Données projet'!$A$87:$I$107,9,0)</f>
        <v>4.3589743589743595</v>
      </c>
      <c r="BC73" s="13">
        <f t="array" ref="BC73">INDEX(BB:BB,MIN(IF(ISNUMBER(BB73:BB269),ROW(BB73:BB269),"")))</f>
        <v>4.3589743589743595</v>
      </c>
      <c r="BD73" s="13">
        <f>IF('Données projet'!$A$88&gt;35,BD72+BC73-BL72,IF(A73&lt;'Données projet'!$A$88,$BA$205^A73,IF(A73='Données projet'!$A$88,'Données projet'!$B$88,BD72+BC73-BL72)))</f>
        <v>220.5128205128205</v>
      </c>
      <c r="BE73" s="14">
        <f>BD73*VLOOKUP('Données projet'!$B$11,Paramètres!$A$1:$I$89,3,0)*VLOOKUP('Données projet'!$B$11,Paramètres!$A$1:$I$89,5,0)</f>
        <v>147.91999999999999</v>
      </c>
      <c r="BF73" s="14">
        <f t="shared" si="91"/>
        <v>38.105514696277361</v>
      </c>
      <c r="BG73" s="22">
        <f t="shared" si="61"/>
        <v>323.99443809601638</v>
      </c>
      <c r="BH73" s="62">
        <f t="shared" si="62"/>
        <v>617.3277714293497</v>
      </c>
      <c r="BI73" s="62">
        <f ca="1">AVERAGE(OFFSET($BH$3,0,0,'Données projet'!$E$11+1,1))-AVERAGE(OFFSET($H$3,0,0,'Données projet'!$E$11+1,1))</f>
        <v>261.34571165681393</v>
      </c>
      <c r="BJ73" s="62">
        <f t="shared" si="92"/>
        <v>207.9851454455669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25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-3.4106051316484809E-13</v>
      </c>
      <c r="O74" s="14">
        <f>N74*VLOOKUP('Données projet'!$B$9,Paramètres!$A$1:$I$89,3,0)*VLOOKUP('Données projet'!$B$9,Paramètres!$A$1:$I$89,5,0)</f>
        <v>-1.9065282685915009E-13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374.79806286316051</v>
      </c>
      <c r="T74" s="62">
        <f t="shared" si="88"/>
        <v>350.01856672839466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7.1452883155407676</v>
      </c>
      <c r="AB74" s="23">
        <f>EXP(-LN(2)/2)*AB73+(1-EXP(-LN(2)/2))/(LN(2)/2)*V74*Y74*VLOOKUP('Données projet'!$B$9,Paramètres!$A$1:$I$89,3,0)*0.475*44/12</f>
        <v>7.42309248008002E-6</v>
      </c>
      <c r="AC74" s="24">
        <f t="shared" si="57"/>
        <v>7.1452957386332479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3.4</v>
      </c>
      <c r="AI74" s="14">
        <f>IF('Données projet'!$A$62&gt;35,AI73+AH74-AQ73,IF(A74&lt;'Données projet'!$A$62,$AF$205^A74,IF(A74='Données projet'!$A$62,'Données projet'!$B$62,AI73+AH74-AQ73)))</f>
        <v>266.39999999999992</v>
      </c>
      <c r="AJ74" s="14">
        <f>AI74*VLOOKUP('Données projet'!$B$10,Paramètres!$A$1:$I$89,3,0)*VLOOKUP('Données projet'!$B$10,Paramètres!$A$1:$I$89,5,0)</f>
        <v>211.94783999999996</v>
      </c>
      <c r="AK74" s="14">
        <f t="shared" si="89"/>
        <v>52.361008754780862</v>
      </c>
      <c r="AL74" s="22">
        <f t="shared" si="58"/>
        <v>460.33791158124319</v>
      </c>
      <c r="AM74" s="62">
        <f t="shared" si="59"/>
        <v>753.6712449145765</v>
      </c>
      <c r="AN74" s="62">
        <f ca="1">AVERAGE(OFFSET($AM$3,0,0,'Données projet'!$E$10+1,1))-AVERAGE(OFFSET($H$3,0,0,'Données projet'!$E$10+1,1))</f>
        <v>310.15624717801779</v>
      </c>
      <c r="AO74" s="62">
        <f t="shared" si="90"/>
        <v>294.28794439094889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3.974358974358978</v>
      </c>
      <c r="BD74" s="13">
        <f>IF('Données projet'!$A$88&gt;35,BD73+BC74-BL73,IF(A74&lt;'Données projet'!$A$88,$BA$205^A74,IF(A74='Données projet'!$A$88,'Données projet'!$B$88,BD73+BC74-BL73)))</f>
        <v>199.48717948717947</v>
      </c>
      <c r="BE74" s="14">
        <f>BD74*VLOOKUP('Données projet'!$B$11,Paramètres!$A$1:$I$89,3,0)*VLOOKUP('Données projet'!$B$11,Paramètres!$A$1:$I$89,5,0)</f>
        <v>133.816</v>
      </c>
      <c r="BF74" s="14">
        <f t="shared" si="91"/>
        <v>34.876634693250608</v>
      </c>
      <c r="BG74" s="22">
        <f t="shared" si="61"/>
        <v>293.80633875741154</v>
      </c>
      <c r="BH74" s="62">
        <f t="shared" si="62"/>
        <v>587.13967209074485</v>
      </c>
      <c r="BI74" s="62">
        <f ca="1">AVERAGE(OFFSET($BH$3,0,0,'Données projet'!$E$11+1,1))-AVERAGE(OFFSET($H$3,0,0,'Données projet'!$E$11+1,1))</f>
        <v>261.34571165681393</v>
      </c>
      <c r="BJ74" s="62">
        <f t="shared" si="92"/>
        <v>207.9851454455669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-3.4106051316484809E-13</v>
      </c>
      <c r="O75" s="14">
        <f>N75*VLOOKUP('Données projet'!$B$9,Paramètres!$A$1:$I$89,3,0)*VLOOKUP('Données projet'!$B$9,Paramètres!$A$1:$I$89,5,0)</f>
        <v>-1.9065282685915009E-13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374.79806286316051</v>
      </c>
      <c r="T75" s="62">
        <f t="shared" si="88"/>
        <v>350.01856672839466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6.9499000307979237</v>
      </c>
      <c r="AB75" s="23">
        <f>EXP(-LN(2)/2)*AB74+(1-EXP(-LN(2)/2))/(LN(2)/2)*V75*Y75*VLOOKUP('Données projet'!$B$9,Paramètres!$A$1:$I$89,3,0)*0.475*44/12</f>
        <v>5.2489190300394493E-6</v>
      </c>
      <c r="AC75" s="24">
        <f t="shared" si="57"/>
        <v>6.9499052797169538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3.4</v>
      </c>
      <c r="AI75" s="14">
        <f>IF('Données projet'!$A$62&gt;35,AI74+AH75-AQ74,IF(A75&lt;'Données projet'!$A$62,$AF$205^A75,IF(A75='Données projet'!$A$62,'Données projet'!$B$62,AI74+AH75-AQ74)))</f>
        <v>269.7999999999999</v>
      </c>
      <c r="AJ75" s="14">
        <f>AI75*VLOOKUP('Données projet'!$B$10,Paramètres!$A$1:$I$89,3,0)*VLOOKUP('Données projet'!$B$10,Paramètres!$A$1:$I$89,5,0)</f>
        <v>214.65287999999993</v>
      </c>
      <c r="AK75" s="14">
        <f t="shared" si="89"/>
        <v>52.951056589336034</v>
      </c>
      <c r="AL75" s="22">
        <f t="shared" si="58"/>
        <v>466.0768562264268</v>
      </c>
      <c r="AM75" s="62">
        <f t="shared" si="59"/>
        <v>759.41018955976006</v>
      </c>
      <c r="AN75" s="62">
        <f ca="1">AVERAGE(OFFSET($AM$3,0,0,'Données projet'!$E$10+1,1))-AVERAGE(OFFSET($H$3,0,0,'Données projet'!$E$10+1,1))</f>
        <v>310.15624717801779</v>
      </c>
      <c r="AO75" s="62">
        <f t="shared" si="90"/>
        <v>294.28794439094889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3.974358974358978</v>
      </c>
      <c r="BD75" s="13">
        <f>IF('Données projet'!$A$88&gt;35,BD74+BC75-BL74,IF(A75&lt;'Données projet'!$A$88,$BA$205^A75,IF(A75='Données projet'!$A$88,'Données projet'!$B$88,BD74+BC75-BL74)))</f>
        <v>203.46153846153845</v>
      </c>
      <c r="BE75" s="14">
        <f>BD75*VLOOKUP('Données projet'!$B$11,Paramètres!$A$1:$I$89,3,0)*VLOOKUP('Données projet'!$B$11,Paramètres!$A$1:$I$89,5,0)</f>
        <v>136.482</v>
      </c>
      <c r="BF75" s="14">
        <f t="shared" si="91"/>
        <v>35.489891275121778</v>
      </c>
      <c r="BG75" s="22">
        <f t="shared" si="61"/>
        <v>299.51771063750374</v>
      </c>
      <c r="BH75" s="62">
        <f t="shared" si="62"/>
        <v>592.85104397083705</v>
      </c>
      <c r="BI75" s="62">
        <f ca="1">AVERAGE(OFFSET($BH$3,0,0,'Données projet'!$E$11+1,1))-AVERAGE(OFFSET($H$3,0,0,'Données projet'!$E$11+1,1))</f>
        <v>261.34571165681393</v>
      </c>
      <c r="BJ75" s="62">
        <f t="shared" si="92"/>
        <v>207.9851454455669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-3.4106051316484809E-13</v>
      </c>
      <c r="O76" s="14">
        <f>N76*VLOOKUP('Données projet'!$B$9,Paramètres!$A$1:$I$89,3,0)*VLOOKUP('Données projet'!$B$9,Paramètres!$A$1:$I$89,5,0)</f>
        <v>-1.9065282685915009E-13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374.79806286316051</v>
      </c>
      <c r="T76" s="62">
        <f t="shared" si="88"/>
        <v>350.01856672839466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6.759854648976396</v>
      </c>
      <c r="AB76" s="23">
        <f>EXP(-LN(2)/2)*AB75+(1-EXP(-LN(2)/2))/(LN(2)/2)*V76*Y76*VLOOKUP('Données projet'!$B$9,Paramètres!$A$1:$I$89,3,0)*0.475*44/12</f>
        <v>3.7115462400400104E-6</v>
      </c>
      <c r="AC76" s="24">
        <f t="shared" si="57"/>
        <v>6.7598583605226361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3.4</v>
      </c>
      <c r="AI76" s="14">
        <f>IF('Données projet'!$A$62&gt;35,AI75+AH76-AQ75,IF(A76&lt;'Données projet'!$A$62,$AF$205^A76,IF(A76='Données projet'!$A$62,'Données projet'!$B$62,AI75+AH76-AQ75)))</f>
        <v>273.19999999999987</v>
      </c>
      <c r="AJ76" s="14">
        <f>AI76*VLOOKUP('Données projet'!$B$10,Paramètres!$A$1:$I$89,3,0)*VLOOKUP('Données projet'!$B$10,Paramètres!$A$1:$I$89,5,0)</f>
        <v>217.35791999999992</v>
      </c>
      <c r="AK76" s="14">
        <f t="shared" si="89"/>
        <v>53.540239514043478</v>
      </c>
      <c r="AL76" s="22">
        <f t="shared" si="58"/>
        <v>471.81429448695894</v>
      </c>
      <c r="AM76" s="62">
        <f t="shared" si="59"/>
        <v>765.1476278202922</v>
      </c>
      <c r="AN76" s="62">
        <f ca="1">AVERAGE(OFFSET($AM$3,0,0,'Données projet'!$E$10+1,1))-AVERAGE(OFFSET($H$3,0,0,'Données projet'!$E$10+1,1))</f>
        <v>310.15624717801779</v>
      </c>
      <c r="AO76" s="62">
        <f t="shared" si="90"/>
        <v>294.28794439094889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3.974358974358978</v>
      </c>
      <c r="BD76" s="13">
        <f>IF('Données projet'!$A$88&gt;35,BD75+BC76-BL75,IF(A76&lt;'Données projet'!$A$88,$BA$205^A76,IF(A76='Données projet'!$A$88,'Données projet'!$B$88,BD75+BC76-BL75)))</f>
        <v>207.43589743589743</v>
      </c>
      <c r="BE76" s="14">
        <f>BD76*VLOOKUP('Données projet'!$B$11,Paramètres!$A$1:$I$89,3,0)*VLOOKUP('Données projet'!$B$11,Paramètres!$A$1:$I$89,5,0)</f>
        <v>139.148</v>
      </c>
      <c r="BF76" s="14">
        <f t="shared" si="91"/>
        <v>36.101754971155387</v>
      </c>
      <c r="BG76" s="22">
        <f t="shared" si="61"/>
        <v>305.22665657476222</v>
      </c>
      <c r="BH76" s="62">
        <f t="shared" si="62"/>
        <v>598.55998990809553</v>
      </c>
      <c r="BI76" s="62">
        <f ca="1">AVERAGE(OFFSET($BH$3,0,0,'Données projet'!$E$11+1,1))-AVERAGE(OFFSET($H$3,0,0,'Données projet'!$E$11+1,1))</f>
        <v>261.34571165681393</v>
      </c>
      <c r="BJ76" s="62">
        <f t="shared" si="92"/>
        <v>207.9851454455669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-3.4106051316484809E-13</v>
      </c>
      <c r="O77" s="14">
        <f>N77*VLOOKUP('Données projet'!$B$9,Paramètres!$A$1:$I$89,3,0)*VLOOKUP('Données projet'!$B$9,Paramètres!$A$1:$I$89,5,0)</f>
        <v>-1.9065282685915009E-13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374.79806286316051</v>
      </c>
      <c r="T77" s="62">
        <f t="shared" si="88"/>
        <v>350.01856672839466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6.5750060681148303</v>
      </c>
      <c r="AB77" s="23">
        <f>EXP(-LN(2)/2)*AB76+(1-EXP(-LN(2)/2))/(LN(2)/2)*V77*Y77*VLOOKUP('Données projet'!$B$9,Paramètres!$A$1:$I$89,3,0)*0.475*44/12</f>
        <v>2.6244595150197251E-6</v>
      </c>
      <c r="AC77" s="24">
        <f t="shared" si="57"/>
        <v>6.5750086925743449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3.4</v>
      </c>
      <c r="AI77" s="14">
        <f>IF('Données projet'!$A$62&gt;35,AI76+AH77-AQ76,IF(A77&lt;'Données projet'!$A$62,$AF$205^A77,IF(A77='Données projet'!$A$62,'Données projet'!$B$62,AI76+AH77-AQ76)))</f>
        <v>276.59999999999985</v>
      </c>
      <c r="AJ77" s="14">
        <f>AI77*VLOOKUP('Données projet'!$B$10,Paramètres!$A$1:$I$89,3,0)*VLOOKUP('Données projet'!$B$10,Paramètres!$A$1:$I$89,5,0)</f>
        <v>220.06295999999989</v>
      </c>
      <c r="AK77" s="14">
        <f t="shared" si="89"/>
        <v>54.128569537628671</v>
      </c>
      <c r="AL77" s="22">
        <f t="shared" si="58"/>
        <v>477.55024727803635</v>
      </c>
      <c r="AM77" s="62">
        <f t="shared" si="59"/>
        <v>770.88358061136967</v>
      </c>
      <c r="AN77" s="62">
        <f ca="1">AVERAGE(OFFSET($AM$3,0,0,'Données projet'!$E$10+1,1))-AVERAGE(OFFSET($H$3,0,0,'Données projet'!$E$10+1,1))</f>
        <v>310.15624717801779</v>
      </c>
      <c r="AO77" s="62">
        <f t="shared" si="90"/>
        <v>294.28794439094889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3.974358974358978</v>
      </c>
      <c r="BD77" s="13">
        <f>IF('Données projet'!$A$88&gt;35,BD76+BC77-BL76,IF(A77&lt;'Données projet'!$A$88,$BA$205^A77,IF(A77='Données projet'!$A$88,'Données projet'!$B$88,BD76+BC77-BL76)))</f>
        <v>211.41025641025641</v>
      </c>
      <c r="BE77" s="14">
        <f>BD77*VLOOKUP('Données projet'!$B$11,Paramètres!$A$1:$I$89,3,0)*VLOOKUP('Données projet'!$B$11,Paramètres!$A$1:$I$89,5,0)</f>
        <v>141.81399999999999</v>
      </c>
      <c r="BF77" s="14">
        <f t="shared" si="91"/>
        <v>36.712255545122304</v>
      </c>
      <c r="BG77" s="22">
        <f t="shared" si="61"/>
        <v>310.93322840775465</v>
      </c>
      <c r="BH77" s="62">
        <f t="shared" si="62"/>
        <v>604.26656174108803</v>
      </c>
      <c r="BI77" s="62">
        <f ca="1">AVERAGE(OFFSET($BH$3,0,0,'Données projet'!$E$11+1,1))-AVERAGE(OFFSET($H$3,0,0,'Données projet'!$E$11+1,1))</f>
        <v>261.34571165681393</v>
      </c>
      <c r="BJ77" s="62">
        <f t="shared" si="92"/>
        <v>207.9851454455669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-3.4106051316484809E-13</v>
      </c>
      <c r="O78" s="14">
        <f>N78*VLOOKUP('Données projet'!$B$9,Paramètres!$A$1:$I$89,3,0)*VLOOKUP('Données projet'!$B$9,Paramètres!$A$1:$I$89,5,0)</f>
        <v>-1.9065282685915009E-13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374.79806286316051</v>
      </c>
      <c r="T78" s="62">
        <f t="shared" si="88"/>
        <v>350.01856672839466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6.3952121814176888</v>
      </c>
      <c r="AB78" s="23">
        <f>EXP(-LN(2)/2)*AB77+(1-EXP(-LN(2)/2))/(LN(2)/2)*V78*Y78*VLOOKUP('Données projet'!$B$9,Paramètres!$A$1:$I$89,3,0)*0.475*44/12</f>
        <v>1.8557731200200054E-6</v>
      </c>
      <c r="AC78" s="24">
        <f t="shared" si="57"/>
        <v>6.3952140371908088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280</v>
      </c>
      <c r="AG78" s="13">
        <f>VLOOKUP(A78,'Données projet'!$A$61:$I$81,9,0)</f>
        <v>3.4</v>
      </c>
      <c r="AH78" s="13">
        <f t="array" ref="AH78">INDEX(AG:AG,MIN(IF(ISNUMBER(AG78:AG274),ROW(AG78:AG274),"")))</f>
        <v>3.4</v>
      </c>
      <c r="AI78" s="14">
        <f>IF('Données projet'!$A$62&gt;35,AI77+AH78-AQ77,IF(A78&lt;'Données projet'!$A$62,$AF$205^A78,IF(A78='Données projet'!$A$62,'Données projet'!$B$62,AI77+AH78-AQ77)))</f>
        <v>279.99999999999983</v>
      </c>
      <c r="AJ78" s="14">
        <f>AI78*VLOOKUP('Données projet'!$B$10,Paramètres!$A$1:$I$89,3,0)*VLOOKUP('Données projet'!$B$10,Paramètres!$A$1:$I$89,5,0)</f>
        <v>222.76799999999989</v>
      </c>
      <c r="AK78" s="14">
        <f t="shared" si="89"/>
        <v>54.716058356609459</v>
      </c>
      <c r="AL78" s="22">
        <f t="shared" si="58"/>
        <v>483.28473497109462</v>
      </c>
      <c r="AM78" s="62">
        <f t="shared" si="59"/>
        <v>776.61806830442788</v>
      </c>
      <c r="AN78" s="62">
        <f ca="1">AVERAGE(OFFSET($AM$3,0,0,'Données projet'!$E$10+1,1))-AVERAGE(OFFSET($H$3,0,0,'Données projet'!$E$10+1,1))</f>
        <v>310.15624717801779</v>
      </c>
      <c r="AO78" s="62">
        <f t="shared" si="90"/>
        <v>294.28794439094889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215.38461538461539</v>
      </c>
      <c r="BB78" s="13">
        <f>VLOOKUP(A78,'Données projet'!$A$87:$I$107,9,0)</f>
        <v>3.974358974358978</v>
      </c>
      <c r="BC78" s="13">
        <f t="array" ref="BC78">INDEX(BB:BB,MIN(IF(ISNUMBER(BB78:BB274),ROW(BB78:BB274),"")))</f>
        <v>3.974358974358978</v>
      </c>
      <c r="BD78" s="13">
        <f>IF('Données projet'!$A$88&gt;35,BD77+BC78-BL77,IF(A78&lt;'Données projet'!$A$88,$BA$205^A78,IF(A78='Données projet'!$A$88,'Données projet'!$B$88,BD77+BC78-BL77)))</f>
        <v>215.38461538461539</v>
      </c>
      <c r="BE78" s="14">
        <f>BD78*VLOOKUP('Données projet'!$B$11,Paramètres!$A$1:$I$89,3,0)*VLOOKUP('Données projet'!$B$11,Paramètres!$A$1:$I$89,5,0)</f>
        <v>144.47999999999999</v>
      </c>
      <c r="BF78" s="14">
        <f t="shared" si="91"/>
        <v>37.321421577674684</v>
      </c>
      <c r="BG78" s="22">
        <f t="shared" si="61"/>
        <v>316.63747591445002</v>
      </c>
      <c r="BH78" s="62">
        <f t="shared" si="62"/>
        <v>609.97080924778334</v>
      </c>
      <c r="BI78" s="62">
        <f ca="1">AVERAGE(OFFSET($BH$3,0,0,'Données projet'!$E$11+1,1))-AVERAGE(OFFSET($H$3,0,0,'Données projet'!$E$11+1,1))</f>
        <v>261.34571165681393</v>
      </c>
      <c r="BJ78" s="62">
        <f t="shared" si="92"/>
        <v>207.9851454455669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-3.4106051316484809E-13</v>
      </c>
      <c r="O79" s="14">
        <f>N79*VLOOKUP('Données projet'!$B$9,Paramètres!$A$1:$I$89,3,0)*VLOOKUP('Données projet'!$B$9,Paramètres!$A$1:$I$89,5,0)</f>
        <v>-1.9065282685915009E-13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374.79806286316051</v>
      </c>
      <c r="T79" s="62">
        <f t="shared" si="88"/>
        <v>350.01856672839466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6.2203347680072296</v>
      </c>
      <c r="AB79" s="23">
        <f>EXP(-LN(2)/2)*AB78+(1-EXP(-LN(2)/2))/(LN(2)/2)*V79*Y79*VLOOKUP('Données projet'!$B$9,Paramètres!$A$1:$I$89,3,0)*0.475*44/12</f>
        <v>1.3122297575098628E-6</v>
      </c>
      <c r="AC79" s="24">
        <f t="shared" si="57"/>
        <v>6.2203360802369874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</v>
      </c>
      <c r="AI79" s="14">
        <f>IF('Données projet'!$A$62&gt;35,AI78+AH79-AQ78,IF(A79&lt;'Données projet'!$A$62,$AF$205^A79,IF(A79='Données projet'!$A$62,'Données projet'!$B$62,AI78+AH79-AQ78)))</f>
        <v>282.99999999999983</v>
      </c>
      <c r="AJ79" s="14">
        <f>AI79*VLOOKUP('Données projet'!$B$10,Paramètres!$A$1:$I$89,3,0)*VLOOKUP('Données projet'!$B$10,Paramètres!$A$1:$I$89,5,0)</f>
        <v>225.15479999999988</v>
      </c>
      <c r="AK79" s="14">
        <f t="shared" si="89"/>
        <v>55.233741365341096</v>
      </c>
      <c r="AL79" s="22">
        <f t="shared" si="58"/>
        <v>488.3433762113022</v>
      </c>
      <c r="AM79" s="62">
        <f t="shared" si="59"/>
        <v>781.67670954463551</v>
      </c>
      <c r="AN79" s="62">
        <f ca="1">AVERAGE(OFFSET($AM$3,0,0,'Données projet'!$E$10+1,1))-AVERAGE(OFFSET($H$3,0,0,'Données projet'!$E$10+1,1))</f>
        <v>310.15624717801779</v>
      </c>
      <c r="AO79" s="62">
        <f t="shared" si="90"/>
        <v>294.28794439094889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3.7179487179487181</v>
      </c>
      <c r="BD79" s="13">
        <f>IF('Données projet'!$A$88&gt;35,BD78+BC79-BL78,IF(A79&lt;'Données projet'!$A$88,$BA$205^A79,IF(A79='Données projet'!$A$88,'Données projet'!$B$88,BD78+BC79-BL78)))</f>
        <v>219.10256410256412</v>
      </c>
      <c r="BE79" s="14">
        <f>BD79*VLOOKUP('Données projet'!$B$11,Paramètres!$A$1:$I$89,3,0)*VLOOKUP('Données projet'!$B$11,Paramètres!$A$1:$I$89,5,0)</f>
        <v>146.97400000000002</v>
      </c>
      <c r="BF79" s="14">
        <f t="shared" si="91"/>
        <v>37.890102751431449</v>
      </c>
      <c r="BG79" s="22">
        <f t="shared" si="61"/>
        <v>321.97164562540979</v>
      </c>
      <c r="BH79" s="62">
        <f t="shared" si="62"/>
        <v>615.30497895874305</v>
      </c>
      <c r="BI79" s="62">
        <f ca="1">AVERAGE(OFFSET($BH$3,0,0,'Données projet'!$E$11+1,1))-AVERAGE(OFFSET($H$3,0,0,'Données projet'!$E$11+1,1))</f>
        <v>261.34571165681393</v>
      </c>
      <c r="BJ79" s="62">
        <f t="shared" si="92"/>
        <v>207.9851454455669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-3.4106051316484809E-13</v>
      </c>
      <c r="O80" s="14">
        <f>N80*VLOOKUP('Données projet'!$B$9,Paramètres!$A$1:$I$89,3,0)*VLOOKUP('Données projet'!$B$9,Paramètres!$A$1:$I$89,5,0)</f>
        <v>-1.9065282685915009E-13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374.79806286316051</v>
      </c>
      <c r="T80" s="62">
        <f t="shared" si="88"/>
        <v>350.01856672839466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6.0502393866628834</v>
      </c>
      <c r="AB80" s="23">
        <f>EXP(-LN(2)/2)*AB79+(1-EXP(-LN(2)/2))/(LN(2)/2)*V80*Y80*VLOOKUP('Données projet'!$B$9,Paramètres!$A$1:$I$89,3,0)*0.475*44/12</f>
        <v>9.2788656001000292E-7</v>
      </c>
      <c r="AC80" s="24">
        <f t="shared" si="57"/>
        <v>6.050240314549443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</v>
      </c>
      <c r="AI80" s="14">
        <f>IF('Données projet'!$A$62&gt;35,AI79+AH80-AQ79,IF(A80&lt;'Données projet'!$A$62,$AF$205^A80,IF(A80='Données projet'!$A$62,'Données projet'!$B$62,AI79+AH80-AQ79)))</f>
        <v>285.99999999999983</v>
      </c>
      <c r="AJ80" s="14">
        <f>AI80*VLOOKUP('Données projet'!$B$10,Paramètres!$A$1:$I$89,3,0)*VLOOKUP('Données projet'!$B$10,Paramètres!$A$1:$I$89,5,0)</f>
        <v>227.5415999999999</v>
      </c>
      <c r="AK80" s="14">
        <f t="shared" si="89"/>
        <v>55.750785974779468</v>
      </c>
      <c r="AL80" s="22">
        <f t="shared" si="58"/>
        <v>493.40090557274078</v>
      </c>
      <c r="AM80" s="62">
        <f t="shared" si="59"/>
        <v>786.7342389060741</v>
      </c>
      <c r="AN80" s="62">
        <f ca="1">AVERAGE(OFFSET($AM$3,0,0,'Données projet'!$E$10+1,1))-AVERAGE(OFFSET($H$3,0,0,'Données projet'!$E$10+1,1))</f>
        <v>310.15624717801779</v>
      </c>
      <c r="AO80" s="62">
        <f t="shared" si="90"/>
        <v>294.28794439094889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3.7179487179487181</v>
      </c>
      <c r="BD80" s="13">
        <f>IF('Données projet'!$A$88&gt;35,BD79+BC80-BL79,IF(A80&lt;'Données projet'!$A$88,$BA$205^A80,IF(A80='Données projet'!$A$88,'Données projet'!$B$88,BD79+BC80-BL79)))</f>
        <v>222.82051282051285</v>
      </c>
      <c r="BE80" s="14">
        <f>BD80*VLOOKUP('Données projet'!$B$11,Paramètres!$A$1:$I$89,3,0)*VLOOKUP('Données projet'!$B$11,Paramètres!$A$1:$I$89,5,0)</f>
        <v>149.46800000000002</v>
      </c>
      <c r="BF80" s="14">
        <f t="shared" si="91"/>
        <v>38.457661723375892</v>
      </c>
      <c r="BG80" s="22">
        <f t="shared" si="61"/>
        <v>327.30386083487969</v>
      </c>
      <c r="BH80" s="62">
        <f t="shared" si="62"/>
        <v>620.637194168213</v>
      </c>
      <c r="BI80" s="62">
        <f ca="1">AVERAGE(OFFSET($BH$3,0,0,'Données projet'!$E$11+1,1))-AVERAGE(OFFSET($H$3,0,0,'Données projet'!$E$11+1,1))</f>
        <v>261.34571165681393</v>
      </c>
      <c r="BJ80" s="62">
        <f t="shared" si="92"/>
        <v>207.9851454455669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-3.4106051316484809E-13</v>
      </c>
      <c r="O81" s="14">
        <f>N81*VLOOKUP('Données projet'!$B$9,Paramètres!$A$1:$I$89,3,0)*VLOOKUP('Données projet'!$B$9,Paramètres!$A$1:$I$89,5,0)</f>
        <v>-1.9065282685915009E-13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374.79806286316051</v>
      </c>
      <c r="T81" s="62">
        <f t="shared" si="88"/>
        <v>350.01856672839466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5.8847952724663255</v>
      </c>
      <c r="AB81" s="23">
        <f>EXP(-LN(2)/2)*AB80+(1-EXP(-LN(2)/2))/(LN(2)/2)*V81*Y81*VLOOKUP('Données projet'!$B$9,Paramètres!$A$1:$I$89,3,0)*0.475*44/12</f>
        <v>6.5611487875493148E-7</v>
      </c>
      <c r="AC81" s="24">
        <f t="shared" si="57"/>
        <v>5.8847959285812044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</v>
      </c>
      <c r="AI81" s="14">
        <f>IF('Données projet'!$A$62&gt;35,AI80+AH81-AQ80,IF(A81&lt;'Données projet'!$A$62,$AF$205^A81,IF(A81='Données projet'!$A$62,'Données projet'!$B$62,AI80+AH81-AQ80)))</f>
        <v>288.99999999999983</v>
      </c>
      <c r="AJ81" s="14">
        <f>AI81*VLOOKUP('Données projet'!$B$10,Paramètres!$A$1:$I$89,3,0)*VLOOKUP('Données projet'!$B$10,Paramètres!$A$1:$I$89,5,0)</f>
        <v>229.9283999999999</v>
      </c>
      <c r="AK81" s="14">
        <f t="shared" si="89"/>
        <v>56.267199656606046</v>
      </c>
      <c r="AL81" s="22">
        <f t="shared" si="58"/>
        <v>498.45733606858863</v>
      </c>
      <c r="AM81" s="62">
        <f t="shared" si="59"/>
        <v>791.79066940192195</v>
      </c>
      <c r="AN81" s="62">
        <f ca="1">AVERAGE(OFFSET($AM$3,0,0,'Données projet'!$E$10+1,1))-AVERAGE(OFFSET($H$3,0,0,'Données projet'!$E$10+1,1))</f>
        <v>310.15624717801779</v>
      </c>
      <c r="AO81" s="62">
        <f t="shared" si="90"/>
        <v>294.28794439094889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3.7179487179487181</v>
      </c>
      <c r="BD81" s="13">
        <f>IF('Données projet'!$A$88&gt;35,BD80+BC81-BL80,IF(A81&lt;'Données projet'!$A$88,$BA$205^A81,IF(A81='Données projet'!$A$88,'Données projet'!$B$88,BD80+BC81-BL80)))</f>
        <v>226.53846153846158</v>
      </c>
      <c r="BE81" s="14">
        <f>BD81*VLOOKUP('Données projet'!$B$11,Paramètres!$A$1:$I$89,3,0)*VLOOKUP('Données projet'!$B$11,Paramètres!$A$1:$I$89,5,0)</f>
        <v>151.96200000000002</v>
      </c>
      <c r="BF81" s="14">
        <f t="shared" si="91"/>
        <v>39.024119379636694</v>
      </c>
      <c r="BG81" s="22">
        <f t="shared" si="61"/>
        <v>332.63415791953389</v>
      </c>
      <c r="BH81" s="62">
        <f t="shared" si="62"/>
        <v>625.96749125286715</v>
      </c>
      <c r="BI81" s="62">
        <f ca="1">AVERAGE(OFFSET($BH$3,0,0,'Données projet'!$E$11+1,1))-AVERAGE(OFFSET($H$3,0,0,'Données projet'!$E$11+1,1))</f>
        <v>261.34571165681393</v>
      </c>
      <c r="BJ81" s="62">
        <f t="shared" si="92"/>
        <v>207.9851454455669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-3.4106051316484809E-13</v>
      </c>
      <c r="O82" s="14">
        <f>N82*VLOOKUP('Données projet'!$B$9,Paramètres!$A$1:$I$89,3,0)*VLOOKUP('Données projet'!$B$9,Paramètres!$A$1:$I$89,5,0)</f>
        <v>-1.9065282685915009E-13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374.79806286316051</v>
      </c>
      <c r="T82" s="62">
        <f t="shared" si="88"/>
        <v>350.01856672839466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5.7238752362728</v>
      </c>
      <c r="AB82" s="23">
        <f>EXP(-LN(2)/2)*AB81+(1-EXP(-LN(2)/2))/(LN(2)/2)*V82*Y82*VLOOKUP('Données projet'!$B$9,Paramètres!$A$1:$I$89,3,0)*0.475*44/12</f>
        <v>4.6394328000500152E-7</v>
      </c>
      <c r="AC82" s="24">
        <f t="shared" si="57"/>
        <v>5.7238757002160803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</v>
      </c>
      <c r="AI82" s="14">
        <f>IF('Données projet'!$A$62&gt;35,AI81+AH82-AQ81,IF(A82&lt;'Données projet'!$A$62,$AF$205^A82,IF(A82='Données projet'!$A$62,'Données projet'!$B$62,AI81+AH82-AQ81)))</f>
        <v>291.99999999999983</v>
      </c>
      <c r="AJ82" s="14">
        <f>AI82*VLOOKUP('Données projet'!$B$10,Paramètres!$A$1:$I$89,3,0)*VLOOKUP('Données projet'!$B$10,Paramètres!$A$1:$I$89,5,0)</f>
        <v>232.31519999999986</v>
      </c>
      <c r="AK82" s="14">
        <f t="shared" si="89"/>
        <v>56.782989718443105</v>
      </c>
      <c r="AL82" s="22">
        <f t="shared" si="58"/>
        <v>503.51268042628823</v>
      </c>
      <c r="AM82" s="62">
        <f t="shared" si="59"/>
        <v>796.84601375962154</v>
      </c>
      <c r="AN82" s="62">
        <f ca="1">AVERAGE(OFFSET($AM$3,0,0,'Données projet'!$E$10+1,1))-AVERAGE(OFFSET($H$3,0,0,'Données projet'!$E$10+1,1))</f>
        <v>310.15624717801779</v>
      </c>
      <c r="AO82" s="62">
        <f t="shared" si="90"/>
        <v>294.28794439094889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3.7179487179487181</v>
      </c>
      <c r="BD82" s="13">
        <f>IF('Données projet'!$A$88&gt;35,BD81+BC82-BL81,IF(A82&lt;'Données projet'!$A$88,$BA$205^A82,IF(A82='Données projet'!$A$88,'Données projet'!$B$88,BD81+BC82-BL81)))</f>
        <v>230.25641025641031</v>
      </c>
      <c r="BE82" s="14">
        <f>BD82*VLOOKUP('Données projet'!$B$11,Paramètres!$A$1:$I$89,3,0)*VLOOKUP('Données projet'!$B$11,Paramètres!$A$1:$I$89,5,0)</f>
        <v>154.45600000000005</v>
      </c>
      <c r="BF82" s="14">
        <f t="shared" si="91"/>
        <v>39.589495881471649</v>
      </c>
      <c r="BG82" s="22">
        <f t="shared" si="61"/>
        <v>337.96257199356324</v>
      </c>
      <c r="BH82" s="62">
        <f t="shared" si="62"/>
        <v>631.29590532689656</v>
      </c>
      <c r="BI82" s="62">
        <f ca="1">AVERAGE(OFFSET($BH$3,0,0,'Données projet'!$E$11+1,1))-AVERAGE(OFFSET($H$3,0,0,'Données projet'!$E$11+1,1))</f>
        <v>261.34571165681393</v>
      </c>
      <c r="BJ82" s="62">
        <f t="shared" si="92"/>
        <v>207.9851454455669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-3.4106051316484809E-13</v>
      </c>
      <c r="O83" s="14">
        <f>N83*VLOOKUP('Données projet'!$B$9,Paramètres!$A$1:$I$89,3,0)*VLOOKUP('Données projet'!$B$9,Paramètres!$A$1:$I$89,5,0)</f>
        <v>-1.9065282685915009E-13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374.79806286316051</v>
      </c>
      <c r="T83" s="62">
        <f t="shared" si="88"/>
        <v>350.01856672839466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5.5673555669314041</v>
      </c>
      <c r="AB83" s="23">
        <f>EXP(-LN(2)/2)*AB82+(1-EXP(-LN(2)/2))/(LN(2)/2)*V83*Y83*VLOOKUP('Données projet'!$B$9,Paramètres!$A$1:$I$89,3,0)*0.475*44/12</f>
        <v>3.280574393774658E-7</v>
      </c>
      <c r="AC83" s="24">
        <f t="shared" si="57"/>
        <v>5.5673558949888431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295</v>
      </c>
      <c r="AG83" s="13">
        <f>VLOOKUP(A83,'Données projet'!$A$61:$I$81,9,0)</f>
        <v>3</v>
      </c>
      <c r="AH83" s="13">
        <f t="array" ref="AH83">INDEX(AG:AG,MIN(IF(ISNUMBER(AG83:AG279),ROW(AG83:AG279),"")))</f>
        <v>3</v>
      </c>
      <c r="AI83" s="14">
        <f>IF('Données projet'!$A$62&gt;35,AI82+AH83-AQ82,IF(A83&lt;'Données projet'!$A$62,$AF$205^A83,IF(A83='Données projet'!$A$62,'Données projet'!$B$62,AI82+AH83-AQ82)))</f>
        <v>294.99999999999983</v>
      </c>
      <c r="AJ83" s="14">
        <f>AI83*VLOOKUP('Données projet'!$B$10,Paramètres!$A$1:$I$89,3,0)*VLOOKUP('Données projet'!$B$10,Paramètres!$A$1:$I$89,5,0)</f>
        <v>234.70199999999986</v>
      </c>
      <c r="AK83" s="14">
        <f t="shared" si="89"/>
        <v>57.298163309103863</v>
      </c>
      <c r="AL83" s="22">
        <f t="shared" si="58"/>
        <v>508.56695109668885</v>
      </c>
      <c r="AM83" s="62">
        <f t="shared" si="59"/>
        <v>801.90028443002211</v>
      </c>
      <c r="AN83" s="62">
        <f ca="1">AVERAGE(OFFSET($AM$3,0,0,'Données projet'!$E$10+1,1))-AVERAGE(OFFSET($H$3,0,0,'Données projet'!$E$10+1,1))</f>
        <v>310.15624717801779</v>
      </c>
      <c r="AO83" s="62">
        <f t="shared" si="90"/>
        <v>294.28794439094889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295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233.97435897435898</v>
      </c>
      <c r="BB83" s="13">
        <f>VLOOKUP(A83,'Données projet'!$A$87:$I$107,9,0)</f>
        <v>3.7179487179487181</v>
      </c>
      <c r="BC83" s="13">
        <f t="array" ref="BC83">INDEX(BB:BB,MIN(IF(ISNUMBER(BB83:BB279),ROW(BB83:BB279),"")))</f>
        <v>3.7179487179487181</v>
      </c>
      <c r="BD83" s="13">
        <f>IF('Données projet'!$A$88&gt;35,BD82+BC83-BL82,IF(A83&lt;'Données projet'!$A$88,$BA$205^A83,IF(A83='Données projet'!$A$88,'Données projet'!$B$88,BD82+BC83-BL82)))</f>
        <v>233.97435897435903</v>
      </c>
      <c r="BE83" s="14">
        <f>BD83*VLOOKUP('Données projet'!$B$11,Paramètres!$A$1:$I$89,3,0)*VLOOKUP('Données projet'!$B$11,Paramètres!$A$1:$I$89,5,0)</f>
        <v>156.95000000000005</v>
      </c>
      <c r="BF83" s="14">
        <f t="shared" si="91"/>
        <v>40.153810701715507</v>
      </c>
      <c r="BG83" s="22">
        <f t="shared" si="61"/>
        <v>343.28913697215461</v>
      </c>
      <c r="BH83" s="62">
        <f t="shared" si="62"/>
        <v>636.62247030548792</v>
      </c>
      <c r="BI83" s="62">
        <f ca="1">AVERAGE(OFFSET($BH$3,0,0,'Données projet'!$E$11+1,1))-AVERAGE(OFFSET($H$3,0,0,'Données projet'!$E$11+1,1))</f>
        <v>261.34571165681393</v>
      </c>
      <c r="BJ83" s="62">
        <f t="shared" si="92"/>
        <v>207.9851454455669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22.435897435897434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-3.4106051316484809E-13</v>
      </c>
      <c r="O84" s="14">
        <f>N84*VLOOKUP('Données projet'!$B$9,Paramètres!$A$1:$I$89,3,0)*VLOOKUP('Données projet'!$B$9,Paramètres!$A$1:$I$89,5,0)</f>
        <v>-1.9065282685915009E-13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374.79806286316051</v>
      </c>
      <c r="T84" s="62">
        <f t="shared" si="88"/>
        <v>350.01856672839466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5.4151159361791601</v>
      </c>
      <c r="AB84" s="23">
        <f>EXP(-LN(2)/2)*AB83+(1-EXP(-LN(2)/2))/(LN(2)/2)*V84*Y84*VLOOKUP('Données projet'!$B$9,Paramètres!$A$1:$I$89,3,0)*0.475*44/12</f>
        <v>2.3197164000250081E-7</v>
      </c>
      <c r="AC84" s="24">
        <f t="shared" si="57"/>
        <v>5.4151161681508002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-1.7053025658242404E-13</v>
      </c>
      <c r="AJ84" s="14">
        <f>AI84*VLOOKUP('Données projet'!$B$10,Paramètres!$A$1:$I$89,3,0)*VLOOKUP('Données projet'!$B$10,Paramètres!$A$1:$I$89,5,0)</f>
        <v>-1.3567387213697657E-13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310.15624717801779</v>
      </c>
      <c r="AO84" s="62">
        <f t="shared" si="90"/>
        <v>294.28794439094889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3.5897435897435854</v>
      </c>
      <c r="BD84" s="13">
        <f>IF('Données projet'!$A$88&gt;35,BD83+BC84-BL83,IF(A84&lt;'Données projet'!$A$88,$BA$205^A84,IF(A84='Données projet'!$A$88,'Données projet'!$B$88,BD83+BC84-BL83)))</f>
        <v>215.1282051282052</v>
      </c>
      <c r="BE84" s="14">
        <f>BD84*VLOOKUP('Données projet'!$B$11,Paramètres!$A$1:$I$89,3,0)*VLOOKUP('Données projet'!$B$11,Paramètres!$A$1:$I$89,5,0)</f>
        <v>144.30800000000005</v>
      </c>
      <c r="BF84" s="14">
        <f t="shared" si="91"/>
        <v>37.282160275331499</v>
      </c>
      <c r="BG84" s="22">
        <f t="shared" si="61"/>
        <v>316.26952914620239</v>
      </c>
      <c r="BH84" s="62">
        <f t="shared" si="62"/>
        <v>609.6028624795357</v>
      </c>
      <c r="BI84" s="62">
        <f ca="1">AVERAGE(OFFSET($BH$3,0,0,'Données projet'!$E$11+1,1))-AVERAGE(OFFSET($H$3,0,0,'Données projet'!$E$11+1,1))</f>
        <v>261.34571165681393</v>
      </c>
      <c r="BJ84" s="62">
        <f t="shared" si="92"/>
        <v>207.9851454455669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-3.4106051316484809E-13</v>
      </c>
      <c r="O85" s="14">
        <f>N85*VLOOKUP('Données projet'!$B$9,Paramètres!$A$1:$I$89,3,0)*VLOOKUP('Données projet'!$B$9,Paramètres!$A$1:$I$89,5,0)</f>
        <v>-1.9065282685915009E-13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374.79806286316051</v>
      </c>
      <c r="T85" s="62">
        <f t="shared" si="88"/>
        <v>350.01856672839466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5.2670393061357705</v>
      </c>
      <c r="AB85" s="23">
        <f>EXP(-LN(2)/2)*AB84+(1-EXP(-LN(2)/2))/(LN(2)/2)*V85*Y85*VLOOKUP('Données projet'!$B$9,Paramètres!$A$1:$I$89,3,0)*0.475*44/12</f>
        <v>1.6402871968873292E-7</v>
      </c>
      <c r="AC85" s="24">
        <f t="shared" si="57"/>
        <v>5.26703947016449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-1.7053025658242404E-13</v>
      </c>
      <c r="AJ85" s="14">
        <f>AI85*VLOOKUP('Données projet'!$B$10,Paramètres!$A$1:$I$89,3,0)*VLOOKUP('Données projet'!$B$10,Paramètres!$A$1:$I$89,5,0)</f>
        <v>-1.3567387213697657E-13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310.15624717801779</v>
      </c>
      <c r="AO85" s="62">
        <f t="shared" si="90"/>
        <v>294.28794439094889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3.5897435897435854</v>
      </c>
      <c r="BD85" s="13">
        <f>IF('Données projet'!$A$88&gt;35,BD84+BC85-BL84,IF(A85&lt;'Données projet'!$A$88,$BA$205^A85,IF(A85='Données projet'!$A$88,'Données projet'!$B$88,BD84+BC85-BL84)))</f>
        <v>218.71794871794879</v>
      </c>
      <c r="BE85" s="14">
        <f>BD85*VLOOKUP('Données projet'!$B$11,Paramètres!$A$1:$I$89,3,0)*VLOOKUP('Données projet'!$B$11,Paramètres!$A$1:$I$89,5,0)</f>
        <v>146.71600000000007</v>
      </c>
      <c r="BF85" s="14">
        <f t="shared" si="91"/>
        <v>37.831326067731702</v>
      </c>
      <c r="BG85" s="22">
        <f t="shared" si="61"/>
        <v>321.41992623463284</v>
      </c>
      <c r="BH85" s="62">
        <f t="shared" si="62"/>
        <v>614.7532595679661</v>
      </c>
      <c r="BI85" s="62">
        <f ca="1">AVERAGE(OFFSET($BH$3,0,0,'Données projet'!$E$11+1,1))-AVERAGE(OFFSET($H$3,0,0,'Données projet'!$E$11+1,1))</f>
        <v>261.34571165681393</v>
      </c>
      <c r="BJ85" s="62">
        <f t="shared" si="92"/>
        <v>207.9851454455669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-3.4106051316484809E-13</v>
      </c>
      <c r="O86" s="14">
        <f>N86*VLOOKUP('Données projet'!$B$9,Paramètres!$A$1:$I$89,3,0)*VLOOKUP('Données projet'!$B$9,Paramètres!$A$1:$I$89,5,0)</f>
        <v>-1.9065282685915009E-13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374.79806286316051</v>
      </c>
      <c r="T86" s="62">
        <f t="shared" si="88"/>
        <v>350.01856672839466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5.1230118393279289</v>
      </c>
      <c r="AB86" s="23">
        <f>EXP(-LN(2)/2)*AB85+(1-EXP(-LN(2)/2))/(LN(2)/2)*V86*Y86*VLOOKUP('Données projet'!$B$9,Paramètres!$A$1:$I$89,3,0)*0.475*44/12</f>
        <v>1.1598582000125042E-7</v>
      </c>
      <c r="AC86" s="24">
        <f t="shared" si="57"/>
        <v>5.123011955313749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-1.7053025658242404E-13</v>
      </c>
      <c r="AJ86" s="14">
        <f>AI86*VLOOKUP('Données projet'!$B$10,Paramètres!$A$1:$I$89,3,0)*VLOOKUP('Données projet'!$B$10,Paramètres!$A$1:$I$89,5,0)</f>
        <v>-1.3567387213697657E-13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310.15624717801779</v>
      </c>
      <c r="AO86" s="62">
        <f t="shared" si="90"/>
        <v>294.28794439094889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3.5897435897435854</v>
      </c>
      <c r="BD86" s="13">
        <f>IF('Données projet'!$A$88&gt;35,BD85+BC86-BL85,IF(A86&lt;'Données projet'!$A$88,$BA$205^A86,IF(A86='Données projet'!$A$88,'Données projet'!$B$88,BD85+BC86-BL85)))</f>
        <v>222.30769230769238</v>
      </c>
      <c r="BE86" s="14">
        <f>BD86*VLOOKUP('Données projet'!$B$11,Paramètres!$A$1:$I$89,3,0)*VLOOKUP('Données projet'!$B$11,Paramètres!$A$1:$I$89,5,0)</f>
        <v>149.12400000000005</v>
      </c>
      <c r="BF86" s="14">
        <f t="shared" si="91"/>
        <v>38.379443667029406</v>
      </c>
      <c r="BG86" s="22">
        <f t="shared" si="61"/>
        <v>326.56849772007627</v>
      </c>
      <c r="BH86" s="62">
        <f t="shared" si="62"/>
        <v>619.90183105340952</v>
      </c>
      <c r="BI86" s="62">
        <f ca="1">AVERAGE(OFFSET($BH$3,0,0,'Données projet'!$E$11+1,1))-AVERAGE(OFFSET($H$3,0,0,'Données projet'!$E$11+1,1))</f>
        <v>261.34571165681393</v>
      </c>
      <c r="BJ86" s="62">
        <f t="shared" si="92"/>
        <v>207.9851454455669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-3.4106051316484809E-13</v>
      </c>
      <c r="O87" s="14">
        <f>N87*VLOOKUP('Données projet'!$B$9,Paramètres!$A$1:$I$89,3,0)*VLOOKUP('Données projet'!$B$9,Paramètres!$A$1:$I$89,5,0)</f>
        <v>-1.9065282685915009E-13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374.79806286316051</v>
      </c>
      <c r="T87" s="62">
        <f t="shared" si="88"/>
        <v>350.01856672839466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4.9829228111740225</v>
      </c>
      <c r="AB87" s="23">
        <f>EXP(-LN(2)/2)*AB86+(1-EXP(-LN(2)/2))/(LN(2)/2)*V87*Y87*VLOOKUP('Données projet'!$B$9,Paramètres!$A$1:$I$89,3,0)*0.475*44/12</f>
        <v>8.2014359844366475E-8</v>
      </c>
      <c r="AC87" s="24">
        <f t="shared" si="57"/>
        <v>4.9829228931883822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-1.7053025658242404E-13</v>
      </c>
      <c r="AJ87" s="14">
        <f>AI87*VLOOKUP('Données projet'!$B$10,Paramètres!$A$1:$I$89,3,0)*VLOOKUP('Données projet'!$B$10,Paramètres!$A$1:$I$89,5,0)</f>
        <v>-1.3567387213697657E-13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310.15624717801779</v>
      </c>
      <c r="AO87" s="62">
        <f t="shared" si="90"/>
        <v>294.28794439094889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3.5897435897435854</v>
      </c>
      <c r="BD87" s="13">
        <f>IF('Données projet'!$A$88&gt;35,BD86+BC87-BL86,IF(A87&lt;'Données projet'!$A$88,$BA$205^A87,IF(A87='Données projet'!$A$88,'Données projet'!$B$88,BD86+BC87-BL86)))</f>
        <v>225.89743589743597</v>
      </c>
      <c r="BE87" s="14">
        <f>BD87*VLOOKUP('Données projet'!$B$11,Paramètres!$A$1:$I$89,3,0)*VLOOKUP('Données projet'!$B$11,Paramètres!$A$1:$I$89,5,0)</f>
        <v>151.53200000000004</v>
      </c>
      <c r="BF87" s="14">
        <f t="shared" si="91"/>
        <v>38.926531953138308</v>
      </c>
      <c r="BG87" s="22">
        <f t="shared" si="61"/>
        <v>331.71527648504929</v>
      </c>
      <c r="BH87" s="62">
        <f t="shared" si="62"/>
        <v>625.0486098183826</v>
      </c>
      <c r="BI87" s="62">
        <f ca="1">AVERAGE(OFFSET($BH$3,0,0,'Données projet'!$E$11+1,1))-AVERAGE(OFFSET($H$3,0,0,'Données projet'!$E$11+1,1))</f>
        <v>261.34571165681393</v>
      </c>
      <c r="BJ87" s="62">
        <f t="shared" si="92"/>
        <v>207.9851454455669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-3.4106051316484809E-13</v>
      </c>
      <c r="O88" s="14">
        <f>N88*VLOOKUP('Données projet'!$B$9,Paramètres!$A$1:$I$89,3,0)*VLOOKUP('Données projet'!$B$9,Paramètres!$A$1:$I$89,5,0)</f>
        <v>-1.9065282685915009E-13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374.79806286316051</v>
      </c>
      <c r="T88" s="62">
        <f t="shared" si="88"/>
        <v>350.01856672839466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4.8466645248619464</v>
      </c>
      <c r="AB88" s="23">
        <f>EXP(-LN(2)/2)*AB87+(1-EXP(-LN(2)/2))/(LN(2)/2)*V88*Y88*VLOOKUP('Données projet'!$B$9,Paramètres!$A$1:$I$89,3,0)*0.475*44/12</f>
        <v>5.7992910000625216E-8</v>
      </c>
      <c r="AC88" s="24">
        <f t="shared" si="57"/>
        <v>4.8466645828548565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-1.7053025658242404E-13</v>
      </c>
      <c r="AJ88" s="14">
        <f>AI88*VLOOKUP('Données projet'!$B$10,Paramètres!$A$1:$I$89,3,0)*VLOOKUP('Données projet'!$B$10,Paramètres!$A$1:$I$89,5,0)</f>
        <v>-1.3567387213697657E-13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310.15624717801779</v>
      </c>
      <c r="AO88" s="62">
        <f t="shared" si="90"/>
        <v>294.28794439094889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229.48717948717947</v>
      </c>
      <c r="BB88" s="13">
        <f>VLOOKUP(A88,'Données projet'!$A$87:$I$107,9,0)</f>
        <v>3.5897435897435854</v>
      </c>
      <c r="BC88" s="13">
        <f t="array" ref="BC88">INDEX(BB:BB,MIN(IF(ISNUMBER(BB88:BB284),ROW(BB88:BB284),"")))</f>
        <v>3.5897435897435854</v>
      </c>
      <c r="BD88" s="13">
        <f>IF('Données projet'!$A$88&gt;35,BD87+BC88-BL87,IF(A88&lt;'Données projet'!$A$88,$BA$205^A88,IF(A88='Données projet'!$A$88,'Données projet'!$B$88,BD87+BC88-BL87)))</f>
        <v>229.48717948717956</v>
      </c>
      <c r="BE88" s="14">
        <f>BD88*VLOOKUP('Données projet'!$B$11,Paramètres!$A$1:$I$89,3,0)*VLOOKUP('Données projet'!$B$11,Paramètres!$A$1:$I$89,5,0)</f>
        <v>153.94000000000005</v>
      </c>
      <c r="BF88" s="14">
        <f t="shared" si="91"/>
        <v>39.472609171514129</v>
      </c>
      <c r="BG88" s="22">
        <f t="shared" si="61"/>
        <v>336.86029430705389</v>
      </c>
      <c r="BH88" s="62">
        <f t="shared" si="62"/>
        <v>630.19362764038715</v>
      </c>
      <c r="BI88" s="62">
        <f ca="1">AVERAGE(OFFSET($BH$3,0,0,'Données projet'!$E$11+1,1))-AVERAGE(OFFSET($H$3,0,0,'Données projet'!$E$11+1,1))</f>
        <v>261.34571165681393</v>
      </c>
      <c r="BJ88" s="62">
        <f t="shared" si="92"/>
        <v>207.9851454455669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-3.4106051316484809E-13</v>
      </c>
      <c r="O89" s="14">
        <f>N89*VLOOKUP('Données projet'!$B$9,Paramètres!$A$1:$I$89,3,0)*VLOOKUP('Données projet'!$B$9,Paramètres!$A$1:$I$89,5,0)</f>
        <v>-1.9065282685915009E-13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374.79806286316051</v>
      </c>
      <c r="T89" s="62">
        <f t="shared" si="88"/>
        <v>350.01856672839466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4.7141322285545861</v>
      </c>
      <c r="AB89" s="23">
        <f>EXP(-LN(2)/2)*AB88+(1-EXP(-LN(2)/2))/(LN(2)/2)*V89*Y89*VLOOKUP('Données projet'!$B$9,Paramètres!$A$1:$I$89,3,0)*0.475*44/12</f>
        <v>4.1007179922183244E-8</v>
      </c>
      <c r="AC89" s="24">
        <f t="shared" si="57"/>
        <v>4.714132269561766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-1.7053025658242404E-13</v>
      </c>
      <c r="AJ89" s="14">
        <f>AI89*VLOOKUP('Données projet'!$B$10,Paramètres!$A$1:$I$89,3,0)*VLOOKUP('Données projet'!$B$10,Paramètres!$A$1:$I$89,5,0)</f>
        <v>-1.3567387213697657E-13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310.15624717801779</v>
      </c>
      <c r="AO89" s="62">
        <f t="shared" si="90"/>
        <v>294.28794439094889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3.3333333333333313</v>
      </c>
      <c r="BD89" s="13">
        <f>IF('Données projet'!$A$88&gt;35,BD88+BC89-BL88,IF(A89&lt;'Données projet'!$A$88,$BA$205^A89,IF(A89='Données projet'!$A$88,'Données projet'!$B$88,BD88+BC89-BL88)))</f>
        <v>232.8205128205129</v>
      </c>
      <c r="BE89" s="14">
        <f>BD89*VLOOKUP('Données projet'!$B$11,Paramètres!$A$1:$I$89,3,0)*VLOOKUP('Données projet'!$B$11,Paramètres!$A$1:$I$89,5,0)</f>
        <v>156.17600000000007</v>
      </c>
      <c r="BF89" s="14">
        <f t="shared" si="91"/>
        <v>39.978790985643677</v>
      </c>
      <c r="BG89" s="22">
        <f t="shared" si="61"/>
        <v>341.63626096666286</v>
      </c>
      <c r="BH89" s="62">
        <f t="shared" si="62"/>
        <v>634.96959429999617</v>
      </c>
      <c r="BI89" s="62">
        <f ca="1">AVERAGE(OFFSET($BH$3,0,0,'Données projet'!$E$11+1,1))-AVERAGE(OFFSET($H$3,0,0,'Données projet'!$E$11+1,1))</f>
        <v>261.34571165681393</v>
      </c>
      <c r="BJ89" s="62">
        <f t="shared" si="92"/>
        <v>207.9851454455669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-3.4106051316484809E-13</v>
      </c>
      <c r="O90" s="14">
        <f>N90*VLOOKUP('Données projet'!$B$9,Paramètres!$A$1:$I$89,3,0)*VLOOKUP('Données projet'!$B$9,Paramètres!$A$1:$I$89,5,0)</f>
        <v>-1.9065282685915009E-13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374.79806286316051</v>
      </c>
      <c r="T90" s="62">
        <f t="shared" si="88"/>
        <v>350.01856672839466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4.585224034859321</v>
      </c>
      <c r="AB90" s="23">
        <f>EXP(-LN(2)/2)*AB89+(1-EXP(-LN(2)/2))/(LN(2)/2)*V90*Y90*VLOOKUP('Données projet'!$B$9,Paramètres!$A$1:$I$89,3,0)*0.475*44/12</f>
        <v>2.8996455000312615E-8</v>
      </c>
      <c r="AC90" s="24">
        <f t="shared" si="57"/>
        <v>4.585224063855776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-1.7053025658242404E-13</v>
      </c>
      <c r="AJ90" s="14">
        <f>AI90*VLOOKUP('Données projet'!$B$10,Paramètres!$A$1:$I$89,3,0)*VLOOKUP('Données projet'!$B$10,Paramètres!$A$1:$I$89,5,0)</f>
        <v>-1.3567387213697657E-13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310.15624717801779</v>
      </c>
      <c r="AO90" s="62">
        <f t="shared" si="90"/>
        <v>294.28794439094889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3.3333333333333313</v>
      </c>
      <c r="BD90" s="13">
        <f>IF('Données projet'!$A$88&gt;35,BD89+BC90-BL89,IF(A90&lt;'Données projet'!$A$88,$BA$205^A90,IF(A90='Données projet'!$A$88,'Données projet'!$B$88,BD89+BC90-BL89)))</f>
        <v>236.15384615384625</v>
      </c>
      <c r="BE90" s="14">
        <f>BD90*VLOOKUP('Données projet'!$B$11,Paramètres!$A$1:$I$89,3,0)*VLOOKUP('Données projet'!$B$11,Paramètres!$A$1:$I$89,5,0)</f>
        <v>158.41200000000006</v>
      </c>
      <c r="BF90" s="14">
        <f t="shared" si="91"/>
        <v>40.484129909813426</v>
      </c>
      <c r="BG90" s="22">
        <f t="shared" si="61"/>
        <v>346.4107595929251</v>
      </c>
      <c r="BH90" s="62">
        <f t="shared" si="62"/>
        <v>639.74409292625842</v>
      </c>
      <c r="BI90" s="62">
        <f ca="1">AVERAGE(OFFSET($BH$3,0,0,'Données projet'!$E$11+1,1))-AVERAGE(OFFSET($H$3,0,0,'Données projet'!$E$11+1,1))</f>
        <v>261.34571165681393</v>
      </c>
      <c r="BJ90" s="62">
        <f t="shared" si="92"/>
        <v>207.9851454455669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-3.4106051316484809E-13</v>
      </c>
      <c r="O91" s="14">
        <f>N91*VLOOKUP('Données projet'!$B$9,Paramètres!$A$1:$I$89,3,0)*VLOOKUP('Données projet'!$B$9,Paramètres!$A$1:$I$89,5,0)</f>
        <v>-1.9065282685915009E-13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374.79806286316051</v>
      </c>
      <c r="T91" s="62">
        <f t="shared" si="88"/>
        <v>350.01856672839466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4.4598408424996405</v>
      </c>
      <c r="AB91" s="23">
        <f>EXP(-LN(2)/2)*AB90+(1-EXP(-LN(2)/2))/(LN(2)/2)*V91*Y91*VLOOKUP('Données projet'!$B$9,Paramètres!$A$1:$I$89,3,0)*0.475*44/12</f>
        <v>2.0503589961091625E-8</v>
      </c>
      <c r="AC91" s="24">
        <f t="shared" si="57"/>
        <v>4.4598408630032305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-1.7053025658242404E-13</v>
      </c>
      <c r="AJ91" s="14">
        <f>AI91*VLOOKUP('Données projet'!$B$10,Paramètres!$A$1:$I$89,3,0)*VLOOKUP('Données projet'!$B$10,Paramètres!$A$1:$I$89,5,0)</f>
        <v>-1.3567387213697657E-13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310.15624717801779</v>
      </c>
      <c r="AO91" s="62">
        <f t="shared" si="90"/>
        <v>294.28794439094889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3.3333333333333313</v>
      </c>
      <c r="BD91" s="13">
        <f>IF('Données projet'!$A$88&gt;35,BD90+BC91-BL90,IF(A91&lt;'Données projet'!$A$88,$BA$205^A91,IF(A91='Données projet'!$A$88,'Données projet'!$B$88,BD90+BC91-BL90)))</f>
        <v>239.48717948717959</v>
      </c>
      <c r="BE91" s="14">
        <f>BD91*VLOOKUP('Données projet'!$B$11,Paramètres!$A$1:$I$89,3,0)*VLOOKUP('Données projet'!$B$11,Paramètres!$A$1:$I$89,5,0)</f>
        <v>160.64800000000008</v>
      </c>
      <c r="BF91" s="14">
        <f t="shared" si="91"/>
        <v>40.988639216339969</v>
      </c>
      <c r="BG91" s="22">
        <f t="shared" si="61"/>
        <v>351.18381330179227</v>
      </c>
      <c r="BH91" s="62">
        <f t="shared" si="62"/>
        <v>644.51714663512553</v>
      </c>
      <c r="BI91" s="62">
        <f ca="1">AVERAGE(OFFSET($BH$3,0,0,'Données projet'!$E$11+1,1))-AVERAGE(OFFSET($H$3,0,0,'Données projet'!$E$11+1,1))</f>
        <v>261.34571165681393</v>
      </c>
      <c r="BJ91" s="62">
        <f t="shared" si="92"/>
        <v>207.9851454455669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-3.4106051316484809E-13</v>
      </c>
      <c r="O92" s="14">
        <f>N92*VLOOKUP('Données projet'!$B$9,Paramètres!$A$1:$I$89,3,0)*VLOOKUP('Données projet'!$B$9,Paramètres!$A$1:$I$89,5,0)</f>
        <v>-1.9065282685915009E-13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374.79806286316051</v>
      </c>
      <c r="T92" s="62">
        <f t="shared" si="88"/>
        <v>350.01856672839466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4.3378862601286512</v>
      </c>
      <c r="AB92" s="23">
        <f>EXP(-LN(2)/2)*AB91+(1-EXP(-LN(2)/2))/(LN(2)/2)*V92*Y92*VLOOKUP('Données projet'!$B$9,Paramètres!$A$1:$I$89,3,0)*0.475*44/12</f>
        <v>1.4498227500156309E-8</v>
      </c>
      <c r="AC92" s="24">
        <f t="shared" si="57"/>
        <v>4.3378862746268787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-1.7053025658242404E-13</v>
      </c>
      <c r="AJ92" s="14">
        <f>AI92*VLOOKUP('Données projet'!$B$10,Paramètres!$A$1:$I$89,3,0)*VLOOKUP('Données projet'!$B$10,Paramètres!$A$1:$I$89,5,0)</f>
        <v>-1.3567387213697657E-13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310.15624717801779</v>
      </c>
      <c r="AO92" s="62">
        <f t="shared" si="90"/>
        <v>294.28794439094889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3.3333333333333313</v>
      </c>
      <c r="BD92" s="13">
        <f>IF('Données projet'!$A$88&gt;35,BD91+BC92-BL91,IF(A92&lt;'Données projet'!$A$88,$BA$205^A92,IF(A92='Données projet'!$A$88,'Données projet'!$B$88,BD91+BC92-BL91)))</f>
        <v>242.82051282051293</v>
      </c>
      <c r="BE92" s="14">
        <f>BD92*VLOOKUP('Données projet'!$B$11,Paramètres!$A$1:$I$89,3,0)*VLOOKUP('Données projet'!$B$11,Paramètres!$A$1:$I$89,5,0)</f>
        <v>162.88400000000007</v>
      </c>
      <c r="BF92" s="14">
        <f t="shared" si="91"/>
        <v>41.492331786851203</v>
      </c>
      <c r="BG92" s="22">
        <f t="shared" si="61"/>
        <v>355.95544452876601</v>
      </c>
      <c r="BH92" s="62">
        <f t="shared" si="62"/>
        <v>649.28877786209932</v>
      </c>
      <c r="BI92" s="62">
        <f ca="1">AVERAGE(OFFSET($BH$3,0,0,'Données projet'!$E$11+1,1))-AVERAGE(OFFSET($H$3,0,0,'Données projet'!$E$11+1,1))</f>
        <v>261.34571165681393</v>
      </c>
      <c r="BJ92" s="62">
        <f t="shared" si="92"/>
        <v>207.9851454455669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-3.4106051316484809E-13</v>
      </c>
      <c r="O93" s="14">
        <f>N93*VLOOKUP('Données projet'!$B$9,Paramètres!$A$1:$I$89,3,0)*VLOOKUP('Données projet'!$B$9,Paramètres!$A$1:$I$89,5,0)</f>
        <v>-1.9065282685915009E-13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374.79806286316051</v>
      </c>
      <c r="T93" s="62">
        <f t="shared" si="88"/>
        <v>350.01856672839466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4.2192665322259089</v>
      </c>
      <c r="AB93" s="23">
        <f>EXP(-LN(2)/2)*AB92+(1-EXP(-LN(2)/2))/(LN(2)/2)*V93*Y93*VLOOKUP('Données projet'!$B$9,Paramètres!$A$1:$I$89,3,0)*0.475*44/12</f>
        <v>1.0251794980545814E-8</v>
      </c>
      <c r="AC93" s="24">
        <f t="shared" si="57"/>
        <v>4.2192665424777038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-1.7053025658242404E-13</v>
      </c>
      <c r="AJ93" s="14">
        <f>AI93*VLOOKUP('Données projet'!$B$10,Paramètres!$A$1:$I$89,3,0)*VLOOKUP('Données projet'!$B$10,Paramètres!$A$1:$I$89,5,0)</f>
        <v>-1.3567387213697657E-13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310.15624717801779</v>
      </c>
      <c r="AO93" s="62">
        <f t="shared" si="90"/>
        <v>294.28794439094889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246.15384615384613</v>
      </c>
      <c r="BB93" s="13">
        <f>VLOOKUP(A93,'Données projet'!$A$87:$I$107,9,0)</f>
        <v>3.3333333333333313</v>
      </c>
      <c r="BC93" s="13">
        <f t="array" ref="BC93">INDEX(BB:BB,MIN(IF(ISNUMBER(BB93:BB289),ROW(BB93:BB289),"")))</f>
        <v>3.3333333333333313</v>
      </c>
      <c r="BD93" s="13">
        <f>IF('Données projet'!$A$88&gt;35,BD92+BC93-BL92,IF(A93&lt;'Données projet'!$A$88,$BA$205^A93,IF(A93='Données projet'!$A$88,'Données projet'!$B$88,BD92+BC93-BL92)))</f>
        <v>246.15384615384627</v>
      </c>
      <c r="BE93" s="14">
        <f>BD93*VLOOKUP('Données projet'!$B$11,Paramètres!$A$1:$I$89,3,0)*VLOOKUP('Données projet'!$B$11,Paramètres!$A$1:$I$89,5,0)</f>
        <v>165.12000000000009</v>
      </c>
      <c r="BF93" s="14">
        <f t="shared" si="91"/>
        <v>41.995220128988628</v>
      </c>
      <c r="BG93" s="22">
        <f t="shared" si="61"/>
        <v>360.72567505798861</v>
      </c>
      <c r="BH93" s="62">
        <f t="shared" si="62"/>
        <v>654.05900839132187</v>
      </c>
      <c r="BI93" s="62">
        <f ca="1">AVERAGE(OFFSET($BH$3,0,0,'Données projet'!$E$11+1,1))-AVERAGE(OFFSET($H$3,0,0,'Données projet'!$E$11+1,1))</f>
        <v>261.34571165681393</v>
      </c>
      <c r="BJ93" s="62">
        <f t="shared" si="92"/>
        <v>207.9851454455669</v>
      </c>
      <c r="BK93" s="16">
        <f>IF(ISNA(VLOOKUP(A93,'Données projet'!$A$87:$I$107,3,0)),0,VLOOKUP(A93,'Données projet'!$A$87:$I$107,3,0))</f>
        <v>8</v>
      </c>
      <c r="BL93" s="16">
        <f>IF(ISNA(VLOOKUP(A93,'Données projet'!$A$87:$I$107,4,0)),0,VLOOKUP(A93,'Données projet'!$A$87:$I$107,4,0))</f>
        <v>21.153846153846153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-3.4106051316484809E-13</v>
      </c>
      <c r="O94" s="14">
        <f>N94*VLOOKUP('Données projet'!$B$9,Paramètres!$A$1:$I$89,3,0)*VLOOKUP('Données projet'!$B$9,Paramètres!$A$1:$I$89,5,0)</f>
        <v>-1.9065282685915009E-13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374.79806286316051</v>
      </c>
      <c r="T94" s="62">
        <f t="shared" si="88"/>
        <v>350.01856672839466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4.1038904670206078</v>
      </c>
      <c r="AB94" s="23">
        <f>EXP(-LN(2)/2)*AB93+(1-EXP(-LN(2)/2))/(LN(2)/2)*V94*Y94*VLOOKUP('Données projet'!$B$9,Paramètres!$A$1:$I$89,3,0)*0.475*44/12</f>
        <v>7.2491137500781561E-9</v>
      </c>
      <c r="AC94" s="24">
        <f t="shared" si="57"/>
        <v>4.1038904742697211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-1.7053025658242404E-13</v>
      </c>
      <c r="AJ94" s="14">
        <f>AI94*VLOOKUP('Données projet'!$B$10,Paramètres!$A$1:$I$89,3,0)*VLOOKUP('Données projet'!$B$10,Paramètres!$A$1:$I$89,5,0)</f>
        <v>-1.3567387213697657E-13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310.15624717801779</v>
      </c>
      <c r="AO94" s="62">
        <f t="shared" si="90"/>
        <v>294.28794439094889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3.2051282051282102</v>
      </c>
      <c r="BD94" s="13">
        <f>IF('Données projet'!$A$88&gt;35,BD93+BC94-BL93,IF(A94&lt;'Données projet'!$A$88,$BA$205^A94,IF(A94='Données projet'!$A$88,'Données projet'!$B$88,BD93+BC94-BL93)))</f>
        <v>228.20512820512832</v>
      </c>
      <c r="BE94" s="14">
        <f>BD94*VLOOKUP('Données projet'!$B$11,Paramètres!$A$1:$I$89,3,0)*VLOOKUP('Données projet'!$B$11,Paramètres!$A$1:$I$89,5,0)</f>
        <v>153.0800000000001</v>
      </c>
      <c r="BF94" s="14">
        <f t="shared" si="91"/>
        <v>39.277696538385037</v>
      </c>
      <c r="BG94" s="22">
        <f t="shared" si="61"/>
        <v>335.02298813768743</v>
      </c>
      <c r="BH94" s="62">
        <f t="shared" si="62"/>
        <v>628.35632147102069</v>
      </c>
      <c r="BI94" s="62">
        <f ca="1">AVERAGE(OFFSET($BH$3,0,0,'Données projet'!$E$11+1,1))-AVERAGE(OFFSET($H$3,0,0,'Données projet'!$E$11+1,1))</f>
        <v>261.34571165681393</v>
      </c>
      <c r="BJ94" s="62">
        <f t="shared" si="92"/>
        <v>207.9851454455669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-3.4106051316484809E-13</v>
      </c>
      <c r="O95" s="14">
        <f>N95*VLOOKUP('Données projet'!$B$9,Paramètres!$A$1:$I$89,3,0)*VLOOKUP('Données projet'!$B$9,Paramètres!$A$1:$I$89,5,0)</f>
        <v>-1.9065282685915009E-13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374.79806286316051</v>
      </c>
      <c r="T95" s="62">
        <f t="shared" si="88"/>
        <v>350.01856672839466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3.9916693663857092</v>
      </c>
      <c r="AB95" s="23">
        <f>EXP(-LN(2)/2)*AB94+(1-EXP(-LN(2)/2))/(LN(2)/2)*V95*Y95*VLOOKUP('Données projet'!$B$9,Paramètres!$A$1:$I$89,3,0)*0.475*44/12</f>
        <v>5.125897490272908E-9</v>
      </c>
      <c r="AC95" s="24">
        <f t="shared" si="57"/>
        <v>3.9916693715116067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-1.7053025658242404E-13</v>
      </c>
      <c r="AJ95" s="14">
        <f>AI95*VLOOKUP('Données projet'!$B$10,Paramètres!$A$1:$I$89,3,0)*VLOOKUP('Données projet'!$B$10,Paramètres!$A$1:$I$89,5,0)</f>
        <v>-1.3567387213697657E-13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310.15624717801779</v>
      </c>
      <c r="AO95" s="62">
        <f t="shared" si="90"/>
        <v>294.28794439094889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3.2051282051282102</v>
      </c>
      <c r="BD95" s="13">
        <f>IF('Données projet'!$A$88&gt;35,BD94+BC95-BL94,IF(A95&lt;'Données projet'!$A$88,$BA$205^A95,IF(A95='Données projet'!$A$88,'Données projet'!$B$88,BD94+BC95-BL94)))</f>
        <v>231.41025641025652</v>
      </c>
      <c r="BE95" s="14">
        <f>BD95*VLOOKUP('Données projet'!$B$11,Paramètres!$A$1:$I$89,3,0)*VLOOKUP('Données projet'!$B$11,Paramètres!$A$1:$I$89,5,0)</f>
        <v>155.23000000000008</v>
      </c>
      <c r="BF95" s="14">
        <f t="shared" si="91"/>
        <v>39.764740791164932</v>
      </c>
      <c r="BG95" s="22">
        <f t="shared" si="61"/>
        <v>339.61584021127902</v>
      </c>
      <c r="BH95" s="62">
        <f t="shared" si="62"/>
        <v>632.94917354461234</v>
      </c>
      <c r="BI95" s="62">
        <f ca="1">AVERAGE(OFFSET($BH$3,0,0,'Données projet'!$E$11+1,1))-AVERAGE(OFFSET($H$3,0,0,'Données projet'!$E$11+1,1))</f>
        <v>261.34571165681393</v>
      </c>
      <c r="BJ95" s="62">
        <f t="shared" si="92"/>
        <v>207.9851454455669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-3.4106051316484809E-13</v>
      </c>
      <c r="O96" s="14">
        <f>N96*VLOOKUP('Données projet'!$B$9,Paramètres!$A$1:$I$89,3,0)*VLOOKUP('Données projet'!$B$9,Paramètres!$A$1:$I$89,5,0)</f>
        <v>-1.9065282685915009E-13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374.79806286316051</v>
      </c>
      <c r="T96" s="62">
        <f t="shared" si="88"/>
        <v>350.01856672839466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3.882516957649123</v>
      </c>
      <c r="AB96" s="23">
        <f>EXP(-LN(2)/2)*AB95+(1-EXP(-LN(2)/2))/(LN(2)/2)*V96*Y96*VLOOKUP('Données projet'!$B$9,Paramètres!$A$1:$I$89,3,0)*0.475*44/12</f>
        <v>3.6245568750390785E-9</v>
      </c>
      <c r="AC96" s="24">
        <f t="shared" si="57"/>
        <v>3.8825169612736796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-1.7053025658242404E-13</v>
      </c>
      <c r="AJ96" s="14">
        <f>AI96*VLOOKUP('Données projet'!$B$10,Paramètres!$A$1:$I$89,3,0)*VLOOKUP('Données projet'!$B$10,Paramètres!$A$1:$I$89,5,0)</f>
        <v>-1.3567387213697657E-13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310.15624717801779</v>
      </c>
      <c r="AO96" s="62">
        <f t="shared" si="90"/>
        <v>294.28794439094889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3.2051282051282102</v>
      </c>
      <c r="BD96" s="13">
        <f>IF('Données projet'!$A$88&gt;35,BD95+BC96-BL95,IF(A96&lt;'Données projet'!$A$88,$BA$205^A96,IF(A96='Données projet'!$A$88,'Données projet'!$B$88,BD95+BC96-BL95)))</f>
        <v>234.61538461538473</v>
      </c>
      <c r="BE96" s="14">
        <f>BD96*VLOOKUP('Données projet'!$B$11,Paramètres!$A$1:$I$89,3,0)*VLOOKUP('Données projet'!$B$11,Paramètres!$A$1:$I$89,5,0)</f>
        <v>157.38000000000008</v>
      </c>
      <c r="BF96" s="14">
        <f t="shared" si="91"/>
        <v>40.25100044295251</v>
      </c>
      <c r="BG96" s="22">
        <f t="shared" si="61"/>
        <v>344.20732577147572</v>
      </c>
      <c r="BH96" s="62">
        <f t="shared" si="62"/>
        <v>637.54065910480904</v>
      </c>
      <c r="BI96" s="62">
        <f ca="1">AVERAGE(OFFSET($BH$3,0,0,'Données projet'!$E$11+1,1))-AVERAGE(OFFSET($H$3,0,0,'Données projet'!$E$11+1,1))</f>
        <v>261.34571165681393</v>
      </c>
      <c r="BJ96" s="62">
        <f t="shared" si="92"/>
        <v>207.9851454455669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-3.4106051316484809E-13</v>
      </c>
      <c r="O97" s="14">
        <f>N97*VLOOKUP('Données projet'!$B$9,Paramètres!$A$1:$I$89,3,0)*VLOOKUP('Données projet'!$B$9,Paramètres!$A$1:$I$89,5,0)</f>
        <v>-1.9065282685915009E-13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374.79806286316051</v>
      </c>
      <c r="T97" s="62">
        <f t="shared" si="88"/>
        <v>350.01856672839466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3.7763493272695143</v>
      </c>
      <c r="AB97" s="23">
        <f>EXP(-LN(2)/2)*AB96+(1-EXP(-LN(2)/2))/(LN(2)/2)*V97*Y97*VLOOKUP('Données projet'!$B$9,Paramètres!$A$1:$I$89,3,0)*0.475*44/12</f>
        <v>2.5629487451364544E-9</v>
      </c>
      <c r="AC97" s="24">
        <f t="shared" si="57"/>
        <v>3.7763493298324633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-1.7053025658242404E-13</v>
      </c>
      <c r="AJ97" s="14">
        <f>AI97*VLOOKUP('Données projet'!$B$10,Paramètres!$A$1:$I$89,3,0)*VLOOKUP('Données projet'!$B$10,Paramètres!$A$1:$I$89,5,0)</f>
        <v>-1.3567387213697657E-13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310.15624717801779</v>
      </c>
      <c r="AO97" s="62">
        <f t="shared" si="90"/>
        <v>294.28794439094889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3.2051282051282102</v>
      </c>
      <c r="BD97" s="13">
        <f>IF('Données projet'!$A$88&gt;35,BD96+BC97-BL96,IF(A97&lt;'Données projet'!$A$88,$BA$205^A97,IF(A97='Données projet'!$A$88,'Données projet'!$B$88,BD96+BC97-BL96)))</f>
        <v>237.82051282051293</v>
      </c>
      <c r="BE97" s="14">
        <f>BD97*VLOOKUP('Données projet'!$B$11,Paramètres!$A$1:$I$89,3,0)*VLOOKUP('Données projet'!$B$11,Paramètres!$A$1:$I$89,5,0)</f>
        <v>159.53000000000006</v>
      </c>
      <c r="BF97" s="14">
        <f t="shared" si="91"/>
        <v>40.736487451224015</v>
      </c>
      <c r="BG97" s="22">
        <f t="shared" si="61"/>
        <v>348.79746564421521</v>
      </c>
      <c r="BH97" s="62">
        <f t="shared" si="62"/>
        <v>642.13079897754847</v>
      </c>
      <c r="BI97" s="62">
        <f ca="1">AVERAGE(OFFSET($BH$3,0,0,'Données projet'!$E$11+1,1))-AVERAGE(OFFSET($H$3,0,0,'Données projet'!$E$11+1,1))</f>
        <v>261.34571165681393</v>
      </c>
      <c r="BJ97" s="62">
        <f t="shared" si="92"/>
        <v>207.9851454455669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-3.4106051316484809E-13</v>
      </c>
      <c r="O98" s="14">
        <f>N98*VLOOKUP('Données projet'!$B$9,Paramètres!$A$1:$I$89,3,0)*VLOOKUP('Données projet'!$B$9,Paramètres!$A$1:$I$89,5,0)</f>
        <v>-1.9065282685915009E-13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374.79806286316051</v>
      </c>
      <c r="T98" s="62">
        <f t="shared" si="88"/>
        <v>350.01856672839466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3.6730848563257492</v>
      </c>
      <c r="AB98" s="23">
        <f>EXP(-LN(2)/2)*AB97+(1-EXP(-LN(2)/2))/(LN(2)/2)*V98*Y98*VLOOKUP('Données projet'!$B$9,Paramètres!$A$1:$I$89,3,0)*0.475*44/12</f>
        <v>1.8122784375195396E-9</v>
      </c>
      <c r="AC98" s="24">
        <f t="shared" si="57"/>
        <v>3.6730848581380275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-1.7053025658242404E-13</v>
      </c>
      <c r="AJ98" s="14">
        <f>AI98*VLOOKUP('Données projet'!$B$10,Paramètres!$A$1:$I$89,3,0)*VLOOKUP('Données projet'!$B$10,Paramètres!$A$1:$I$89,5,0)</f>
        <v>-1.3567387213697657E-13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310.15624717801779</v>
      </c>
      <c r="AO98" s="62">
        <f t="shared" si="90"/>
        <v>294.28794439094889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241.02564102564102</v>
      </c>
      <c r="BB98" s="13">
        <f>VLOOKUP(A98,'Données projet'!$A$87:$I$107,9,0)</f>
        <v>3.2051282051282102</v>
      </c>
      <c r="BC98" s="13">
        <f t="array" ref="BC98">INDEX(BB:BB,MIN(IF(ISNUMBER(BB98:BB294),ROW(BB98:BB294),"")))</f>
        <v>3.2051282051282102</v>
      </c>
      <c r="BD98" s="13">
        <f>IF('Données projet'!$A$88&gt;35,BD97+BC98-BL97,IF(A98&lt;'Données projet'!$A$88,$BA$205^A98,IF(A98='Données projet'!$A$88,'Données projet'!$B$88,BD97+BC98-BL97)))</f>
        <v>241.02564102564114</v>
      </c>
      <c r="BE98" s="14">
        <f>BD98*VLOOKUP('Données projet'!$B$11,Paramètres!$A$1:$I$89,3,0)*VLOOKUP('Données projet'!$B$11,Paramètres!$A$1:$I$89,5,0)</f>
        <v>161.68000000000009</v>
      </c>
      <c r="BF98" s="14">
        <f t="shared" si="91"/>
        <v>41.221213432630442</v>
      </c>
      <c r="BG98" s="22">
        <f t="shared" si="61"/>
        <v>353.38628006183148</v>
      </c>
      <c r="BH98" s="62">
        <f t="shared" si="62"/>
        <v>646.71961339516474</v>
      </c>
      <c r="BI98" s="62">
        <f ca="1">AVERAGE(OFFSET($BH$3,0,0,'Données projet'!$E$11+1,1))-AVERAGE(OFFSET($H$3,0,0,'Données projet'!$E$11+1,1))</f>
        <v>261.34571165681393</v>
      </c>
      <c r="BJ98" s="62">
        <f t="shared" si="92"/>
        <v>207.9851454455669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-3.4106051316484809E-13</v>
      </c>
      <c r="O99" s="14">
        <f>N99*VLOOKUP('Données projet'!$B$9,Paramètres!$A$1:$I$89,3,0)*VLOOKUP('Données projet'!$B$9,Paramètres!$A$1:$I$89,5,0)</f>
        <v>-1.9065282685915009E-13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374.79806286316051</v>
      </c>
      <c r="T99" s="62">
        <f t="shared" si="88"/>
        <v>350.01856672839466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3.5726441577703838</v>
      </c>
      <c r="AB99" s="23">
        <f>EXP(-LN(2)/2)*AB98+(1-EXP(-LN(2)/2))/(LN(2)/2)*V99*Y99*VLOOKUP('Données projet'!$B$9,Paramètres!$A$1:$I$89,3,0)*0.475*44/12</f>
        <v>1.2814743725682274E-9</v>
      </c>
      <c r="AC99" s="24">
        <f t="shared" si="57"/>
        <v>3.5726441590518583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-1.7053025658242404E-13</v>
      </c>
      <c r="AJ99" s="14">
        <f>AI99*VLOOKUP('Données projet'!$B$10,Paramètres!$A$1:$I$89,3,0)*VLOOKUP('Données projet'!$B$10,Paramètres!$A$1:$I$89,5,0)</f>
        <v>-1.3567387213697657E-13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310.15624717801779</v>
      </c>
      <c r="AO99" s="62">
        <f t="shared" si="90"/>
        <v>294.28794439094889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3.0769230769230775</v>
      </c>
      <c r="BD99" s="13">
        <f>IF('Données projet'!$A$88&gt;35,BD98+BC99-BL98,IF(A99&lt;'Données projet'!$A$88,$BA$205^A99,IF(A99='Données projet'!$A$88,'Données projet'!$B$88,BD98+BC99-BL98)))</f>
        <v>244.1025641025642</v>
      </c>
      <c r="BE99" s="14">
        <f>BD99*VLOOKUP('Données projet'!$B$11,Paramètres!$A$1:$I$89,3,0)*VLOOKUP('Données projet'!$B$11,Paramètres!$A$1:$I$89,5,0)</f>
        <v>163.74400000000006</v>
      </c>
      <c r="BF99" s="14">
        <f t="shared" si="91"/>
        <v>41.685844883594605</v>
      </c>
      <c r="BG99" s="22">
        <f t="shared" si="61"/>
        <v>357.79031317226071</v>
      </c>
      <c r="BH99" s="62">
        <f t="shared" si="62"/>
        <v>651.12364650559402</v>
      </c>
      <c r="BI99" s="62">
        <f ca="1">AVERAGE(OFFSET($BH$3,0,0,'Données projet'!$E$11+1,1))-AVERAGE(OFFSET($H$3,0,0,'Données projet'!$E$11+1,1))</f>
        <v>261.34571165681393</v>
      </c>
      <c r="BJ99" s="62">
        <f t="shared" si="92"/>
        <v>207.9851454455669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-3.4106051316484809E-13</v>
      </c>
      <c r="O100" s="14">
        <f>N100*VLOOKUP('Données projet'!$B$9,Paramètres!$A$1:$I$89,3,0)*VLOOKUP('Données projet'!$B$9,Paramètres!$A$1:$I$89,5,0)</f>
        <v>-1.9065282685915009E-13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374.79806286316051</v>
      </c>
      <c r="T100" s="62">
        <f t="shared" si="88"/>
        <v>350.01856672839466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3.4749500153989619</v>
      </c>
      <c r="AB100" s="23">
        <f>EXP(-LN(2)/2)*AB99+(1-EXP(-LN(2)/2))/(LN(2)/2)*V100*Y100*VLOOKUP('Données projet'!$B$9,Paramètres!$A$1:$I$89,3,0)*0.475*44/12</f>
        <v>9.0613921875976993E-10</v>
      </c>
      <c r="AC100" s="24">
        <f t="shared" si="57"/>
        <v>3.474950016305101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-1.7053025658242404E-13</v>
      </c>
      <c r="AJ100" s="14">
        <f>AI100*VLOOKUP('Données projet'!$B$10,Paramètres!$A$1:$I$89,3,0)*VLOOKUP('Données projet'!$B$10,Paramètres!$A$1:$I$89,5,0)</f>
        <v>-1.3567387213697657E-13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310.15624717801779</v>
      </c>
      <c r="AO100" s="62">
        <f t="shared" si="90"/>
        <v>294.28794439094889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3.0769230769230775</v>
      </c>
      <c r="BD100" s="13">
        <f>IF('Données projet'!$A$88&gt;35,BD99+BC100-BL99,IF(A100&lt;'Données projet'!$A$88,$BA$205^A100,IF(A100='Données projet'!$A$88,'Données projet'!$B$88,BD99+BC100-BL99)))</f>
        <v>247.17948717948727</v>
      </c>
      <c r="BE100" s="14">
        <f>BD100*VLOOKUP('Données projet'!$B$11,Paramètres!$A$1:$I$89,3,0)*VLOOKUP('Données projet'!$B$11,Paramètres!$A$1:$I$89,5,0)</f>
        <v>165.80800000000008</v>
      </c>
      <c r="BF100" s="14">
        <f t="shared" si="91"/>
        <v>42.149795095597277</v>
      </c>
      <c r="BG100" s="22">
        <f t="shared" si="61"/>
        <v>362.19315979149877</v>
      </c>
      <c r="BH100" s="62">
        <f t="shared" si="62"/>
        <v>655.52649312483209</v>
      </c>
      <c r="BI100" s="62">
        <f ca="1">AVERAGE(OFFSET($BH$3,0,0,'Données projet'!$E$11+1,1))-AVERAGE(OFFSET($H$3,0,0,'Données projet'!$E$11+1,1))</f>
        <v>261.34571165681393</v>
      </c>
      <c r="BJ100" s="62">
        <f t="shared" si="92"/>
        <v>207.9851454455669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-3.4106051316484809E-13</v>
      </c>
      <c r="O101" s="14">
        <f>N101*VLOOKUP('Données projet'!$B$9,Paramètres!$A$1:$I$89,3,0)*VLOOKUP('Données projet'!$B$9,Paramètres!$A$1:$I$89,5,0)</f>
        <v>-1.9065282685915009E-13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374.79806286316051</v>
      </c>
      <c r="T101" s="62">
        <f t="shared" si="88"/>
        <v>350.01856672839466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3.379927324488198</v>
      </c>
      <c r="AB101" s="23">
        <f>EXP(-LN(2)/2)*AB100+(1-EXP(-LN(2)/2))/(LN(2)/2)*V101*Y101*VLOOKUP('Données projet'!$B$9,Paramètres!$A$1:$I$89,3,0)*0.475*44/12</f>
        <v>6.4073718628411381E-10</v>
      </c>
      <c r="AC101" s="24">
        <f t="shared" si="57"/>
        <v>3.3799273251289352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-1.7053025658242404E-13</v>
      </c>
      <c r="AJ101" s="14">
        <f>AI101*VLOOKUP('Données projet'!$B$10,Paramètres!$A$1:$I$89,3,0)*VLOOKUP('Données projet'!$B$10,Paramètres!$A$1:$I$89,5,0)</f>
        <v>-1.3567387213697657E-13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310.15624717801779</v>
      </c>
      <c r="AO101" s="62">
        <f t="shared" si="90"/>
        <v>294.28794439094889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3.0769230769230775</v>
      </c>
      <c r="BD101" s="13">
        <f>IF('Données projet'!$A$88&gt;35,BD100+BC101-BL100,IF(A101&lt;'Données projet'!$A$88,$BA$205^A101,IF(A101='Données projet'!$A$88,'Données projet'!$B$88,BD100+BC101-BL100)))</f>
        <v>250.25641025641033</v>
      </c>
      <c r="BE101" s="14">
        <f>BD101*VLOOKUP('Données projet'!$B$11,Paramètres!$A$1:$I$89,3,0)*VLOOKUP('Données projet'!$B$11,Paramètres!$A$1:$I$89,5,0)</f>
        <v>167.87200000000004</v>
      </c>
      <c r="BF101" s="14">
        <f t="shared" si="91"/>
        <v>42.613073529517067</v>
      </c>
      <c r="BG101" s="22">
        <f t="shared" si="61"/>
        <v>366.59483639724226</v>
      </c>
      <c r="BH101" s="62">
        <f t="shared" si="62"/>
        <v>659.92816973057552</v>
      </c>
      <c r="BI101" s="62">
        <f ca="1">AVERAGE(OFFSET($BH$3,0,0,'Données projet'!$E$11+1,1))-AVERAGE(OFFSET($H$3,0,0,'Données projet'!$E$11+1,1))</f>
        <v>261.34571165681393</v>
      </c>
      <c r="BJ101" s="62">
        <f t="shared" si="92"/>
        <v>207.9851454455669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-3.4106051316484809E-13</v>
      </c>
      <c r="O102" s="14">
        <f>N102*VLOOKUP('Données projet'!$B$9,Paramètres!$A$1:$I$89,3,0)*VLOOKUP('Données projet'!$B$9,Paramètres!$A$1:$I$89,5,0)</f>
        <v>-1.9065282685915009E-13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374.79806286316051</v>
      </c>
      <c r="T102" s="62">
        <f t="shared" si="88"/>
        <v>350.01856672839466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3.2875030340574152</v>
      </c>
      <c r="AB102" s="23">
        <f>EXP(-LN(2)/2)*AB101+(1-EXP(-LN(2)/2))/(LN(2)/2)*V102*Y102*VLOOKUP('Données projet'!$B$9,Paramètres!$A$1:$I$89,3,0)*0.475*44/12</f>
        <v>4.5306960937988502E-10</v>
      </c>
      <c r="AC102" s="24">
        <f t="shared" si="57"/>
        <v>3.2875030345104848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-1.7053025658242404E-13</v>
      </c>
      <c r="AJ102" s="14">
        <f>AI102*VLOOKUP('Données projet'!$B$10,Paramètres!$A$1:$I$89,3,0)*VLOOKUP('Données projet'!$B$10,Paramètres!$A$1:$I$89,5,0)</f>
        <v>-1.3567387213697657E-13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310.15624717801779</v>
      </c>
      <c r="AO102" s="62">
        <f t="shared" si="90"/>
        <v>294.28794439094889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3.0769230769230775</v>
      </c>
      <c r="BD102" s="13">
        <f>IF('Données projet'!$A$88&gt;35,BD101+BC102-BL101,IF(A102&lt;'Données projet'!$A$88,$BA$205^A102,IF(A102='Données projet'!$A$88,'Données projet'!$B$88,BD101+BC102-BL101)))</f>
        <v>253.3333333333334</v>
      </c>
      <c r="BE102" s="14">
        <f>BD102*VLOOKUP('Données projet'!$B$11,Paramètres!$A$1:$I$89,3,0)*VLOOKUP('Données projet'!$B$11,Paramètres!$A$1:$I$89,5,0)</f>
        <v>169.93600000000006</v>
      </c>
      <c r="BF102" s="14">
        <f t="shared" si="91"/>
        <v>43.075689400206009</v>
      </c>
      <c r="BG102" s="22">
        <f t="shared" si="61"/>
        <v>370.99535903869224</v>
      </c>
      <c r="BH102" s="62">
        <f t="shared" si="62"/>
        <v>664.32869237202556</v>
      </c>
      <c r="BI102" s="62">
        <f ca="1">AVERAGE(OFFSET($BH$3,0,0,'Données projet'!$E$11+1,1))-AVERAGE(OFFSET($H$3,0,0,'Données projet'!$E$11+1,1))</f>
        <v>261.34571165681393</v>
      </c>
      <c r="BJ102" s="62">
        <f t="shared" si="92"/>
        <v>207.9851454455669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-3.4106051316484809E-13</v>
      </c>
      <c r="O103" s="14">
        <f>N103*VLOOKUP('Données projet'!$B$9,Paramètres!$A$1:$I$89,3,0)*VLOOKUP('Données projet'!$B$9,Paramètres!$A$1:$I$89,5,0)</f>
        <v>-1.9065282685915009E-13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374.79806286316051</v>
      </c>
      <c r="T103" s="62">
        <f t="shared" si="88"/>
        <v>350.01856672839466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3.1976060907088444</v>
      </c>
      <c r="AB103" s="23">
        <f>EXP(-LN(2)/2)*AB102+(1-EXP(-LN(2)/2))/(LN(2)/2)*V103*Y103*VLOOKUP('Données projet'!$B$9,Paramètres!$A$1:$I$89,3,0)*0.475*44/12</f>
        <v>3.2036859314205696E-10</v>
      </c>
      <c r="AC103" s="24">
        <f t="shared" si="57"/>
        <v>3.197606091029213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-1.7053025658242404E-13</v>
      </c>
      <c r="AJ103" s="14">
        <f>AI103*VLOOKUP('Données projet'!$B$10,Paramètres!$A$1:$I$89,3,0)*VLOOKUP('Données projet'!$B$10,Paramètres!$A$1:$I$89,5,0)</f>
        <v>-1.3567387213697657E-13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310.15624717801779</v>
      </c>
      <c r="AO103" s="62">
        <f t="shared" si="90"/>
        <v>294.28794439094889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256.41025641025641</v>
      </c>
      <c r="BB103" s="13">
        <f>VLOOKUP(A103,'Données projet'!$A$87:$I$107,9,0)</f>
        <v>3.0769230769230775</v>
      </c>
      <c r="BC103" s="13">
        <f t="array" ref="BC103">INDEX(BB:BB,MIN(IF(ISNUMBER(BB103:BB299),ROW(BB103:BB299),"")))</f>
        <v>3.0769230769230775</v>
      </c>
      <c r="BD103" s="13">
        <f>IF('Données projet'!$A$88&gt;35,BD102+BC103-BL102,IF(A103&lt;'Données projet'!$A$88,$BA$205^A103,IF(A103='Données projet'!$A$88,'Données projet'!$B$88,BD102+BC103-BL102)))</f>
        <v>256.41025641025647</v>
      </c>
      <c r="BE103" s="14">
        <f>BD103*VLOOKUP('Données projet'!$B$11,Paramètres!$A$1:$I$89,3,0)*VLOOKUP('Données projet'!$B$11,Paramètres!$A$1:$I$89,5,0)</f>
        <v>172.00000000000003</v>
      </c>
      <c r="BF103" s="14">
        <f t="shared" si="91"/>
        <v>43.537651685795808</v>
      </c>
      <c r="BG103" s="22">
        <f t="shared" si="61"/>
        <v>375.394743352761</v>
      </c>
      <c r="BH103" s="62">
        <f t="shared" si="62"/>
        <v>668.72807668609425</v>
      </c>
      <c r="BI103" s="62">
        <f ca="1">AVERAGE(OFFSET($BH$3,0,0,'Données projet'!$E$11+1,1))-AVERAGE(OFFSET($H$3,0,0,'Données projet'!$E$11+1,1))</f>
        <v>261.34571165681393</v>
      </c>
      <c r="BJ103" s="62">
        <f t="shared" si="92"/>
        <v>207.9851454455669</v>
      </c>
      <c r="BK103" s="16">
        <f>IF(ISNA(VLOOKUP(A103,'Données projet'!$A$87:$I$107,3,0)),0,VLOOKUP(A103,'Données projet'!$A$87:$I$107,3,0))</f>
        <v>9</v>
      </c>
      <c r="BL103" s="16">
        <f>IF(ISNA(VLOOKUP(A103,'Données projet'!$A$87:$I$107,4,0)),0,VLOOKUP(A103,'Données projet'!$A$87:$I$107,4,0))</f>
        <v>17.948717948717949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-3.4106051316484809E-13</v>
      </c>
      <c r="O104" s="14">
        <f>N104*VLOOKUP('Données projet'!$B$9,Paramètres!$A$1:$I$89,3,0)*VLOOKUP('Données projet'!$B$9,Paramètres!$A$1:$I$89,5,0)</f>
        <v>-1.9065282685915009E-13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374.79806286316051</v>
      </c>
      <c r="T104" s="62">
        <f t="shared" si="88"/>
        <v>350.01856672839466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3.1101673840036148</v>
      </c>
      <c r="AB104" s="23">
        <f>EXP(-LN(2)/2)*AB103+(1-EXP(-LN(2)/2))/(LN(2)/2)*V104*Y104*VLOOKUP('Données projet'!$B$9,Paramètres!$A$1:$I$89,3,0)*0.475*44/12</f>
        <v>2.2653480468994256E-10</v>
      </c>
      <c r="AC104" s="24">
        <f t="shared" si="57"/>
        <v>3.1101673842301496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-1.7053025658242404E-13</v>
      </c>
      <c r="AJ104" s="14">
        <f>AI104*VLOOKUP('Données projet'!$B$10,Paramètres!$A$1:$I$89,3,0)*VLOOKUP('Données projet'!$B$10,Paramètres!$A$1:$I$89,5,0)</f>
        <v>-1.3567387213697657E-13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310.15624717801779</v>
      </c>
      <c r="AO104" s="62">
        <f t="shared" si="90"/>
        <v>294.28794439094889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2.9487179487179502</v>
      </c>
      <c r="BD104" s="13">
        <f>IF('Données projet'!$A$88&gt;35,BD103+BC104-BL103,IF(A104&lt;'Données projet'!$A$88,$BA$205^A104,IF(A104='Données projet'!$A$88,'Données projet'!$B$88,BD103+BC104-BL103)))</f>
        <v>241.41025641025647</v>
      </c>
      <c r="BE104" s="14">
        <f>BD104*VLOOKUP('Données projet'!$B$11,Paramètres!$A$1:$I$89,3,0)*VLOOKUP('Données projet'!$B$11,Paramètres!$A$1:$I$89,5,0)</f>
        <v>161.93800000000005</v>
      </c>
      <c r="BF104" s="14">
        <f t="shared" si="91"/>
        <v>41.279329948855263</v>
      </c>
      <c r="BG104" s="22">
        <f t="shared" si="61"/>
        <v>353.93684966092297</v>
      </c>
      <c r="BH104" s="62">
        <f t="shared" si="62"/>
        <v>647.27018299425629</v>
      </c>
      <c r="BI104" s="62">
        <f ca="1">AVERAGE(OFFSET($BH$3,0,0,'Données projet'!$E$11+1,1))-AVERAGE(OFFSET($H$3,0,0,'Données projet'!$E$11+1,1))</f>
        <v>261.34571165681393</v>
      </c>
      <c r="BJ104" s="62">
        <f t="shared" si="92"/>
        <v>207.9851454455669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-3.4106051316484809E-13</v>
      </c>
      <c r="O105" s="14">
        <f>N105*VLOOKUP('Données projet'!$B$9,Paramètres!$A$1:$I$89,3,0)*VLOOKUP('Données projet'!$B$9,Paramètres!$A$1:$I$89,5,0)</f>
        <v>-1.9065282685915009E-13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374.79806286316051</v>
      </c>
      <c r="T105" s="62">
        <f t="shared" si="88"/>
        <v>350.01856672839466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3.0251196933314417</v>
      </c>
      <c r="AB105" s="23">
        <f>EXP(-LN(2)/2)*AB104+(1-EXP(-LN(2)/2))/(LN(2)/2)*V105*Y105*VLOOKUP('Données projet'!$B$9,Paramètres!$A$1:$I$89,3,0)*0.475*44/12</f>
        <v>1.601842965710285E-10</v>
      </c>
      <c r="AC105" s="24">
        <f t="shared" si="57"/>
        <v>3.025119693491626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-1.7053025658242404E-13</v>
      </c>
      <c r="AJ105" s="14">
        <f>AI105*VLOOKUP('Données projet'!$B$10,Paramètres!$A$1:$I$89,3,0)*VLOOKUP('Données projet'!$B$10,Paramètres!$A$1:$I$89,5,0)</f>
        <v>-1.3567387213697657E-13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310.15624717801779</v>
      </c>
      <c r="AO105" s="62">
        <f t="shared" si="90"/>
        <v>294.28794439094889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2.9487179487179502</v>
      </c>
      <c r="BD105" s="13">
        <f>IF('Données projet'!$A$88&gt;35,BD104+BC105-BL104,IF(A105&lt;'Données projet'!$A$88,$BA$205^A105,IF(A105='Données projet'!$A$88,'Données projet'!$B$88,BD104+BC105-BL104)))</f>
        <v>244.35897435897442</v>
      </c>
      <c r="BE105" s="14">
        <f>BD105*VLOOKUP('Données projet'!$B$11,Paramètres!$A$1:$I$89,3,0)*VLOOKUP('Données projet'!$B$11,Paramètres!$A$1:$I$89,5,0)</f>
        <v>163.91600000000005</v>
      </c>
      <c r="BF105" s="14">
        <f t="shared" si="91"/>
        <v>41.724533288653539</v>
      </c>
      <c r="BG105" s="22">
        <f t="shared" si="61"/>
        <v>358.15726214440497</v>
      </c>
      <c r="BH105" s="62">
        <f t="shared" si="62"/>
        <v>651.49059547773822</v>
      </c>
      <c r="BI105" s="62">
        <f ca="1">AVERAGE(OFFSET($BH$3,0,0,'Données projet'!$E$11+1,1))-AVERAGE(OFFSET($H$3,0,0,'Données projet'!$E$11+1,1))</f>
        <v>261.34571165681393</v>
      </c>
      <c r="BJ105" s="62">
        <f t="shared" si="92"/>
        <v>207.9851454455669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-3.4106051316484809E-13</v>
      </c>
      <c r="O106" s="14">
        <f>N106*VLOOKUP('Données projet'!$B$9,Paramètres!$A$1:$I$89,3,0)*VLOOKUP('Données projet'!$B$9,Paramètres!$A$1:$I$89,5,0)</f>
        <v>-1.9065282685915009E-13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374.79806286316051</v>
      </c>
      <c r="T106" s="62">
        <f t="shared" si="88"/>
        <v>350.01856672839466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2.9423976362331627</v>
      </c>
      <c r="AB106" s="23">
        <f>EXP(-LN(2)/2)*AB105+(1-EXP(-LN(2)/2))/(LN(2)/2)*V106*Y106*VLOOKUP('Données projet'!$B$9,Paramètres!$A$1:$I$89,3,0)*0.475*44/12</f>
        <v>1.1326740234497129E-10</v>
      </c>
      <c r="AC106" s="24">
        <f t="shared" si="57"/>
        <v>2.9423976363464304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-1.7053025658242404E-13</v>
      </c>
      <c r="AJ106" s="14">
        <f>AI106*VLOOKUP('Données projet'!$B$10,Paramètres!$A$1:$I$89,3,0)*VLOOKUP('Données projet'!$B$10,Paramètres!$A$1:$I$89,5,0)</f>
        <v>-1.3567387213697657E-13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310.15624717801779</v>
      </c>
      <c r="AO106" s="62">
        <f t="shared" si="90"/>
        <v>294.28794439094889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2.9487179487179502</v>
      </c>
      <c r="BD106" s="13">
        <f>IF('Données projet'!$A$88&gt;35,BD105+BC106-BL105,IF(A106&lt;'Données projet'!$A$88,$BA$205^A106,IF(A106='Données projet'!$A$88,'Données projet'!$B$88,BD105+BC106-BL105)))</f>
        <v>247.30769230769238</v>
      </c>
      <c r="BE106" s="14">
        <f>BD106*VLOOKUP('Données projet'!$B$11,Paramètres!$A$1:$I$89,3,0)*VLOOKUP('Données projet'!$B$11,Paramètres!$A$1:$I$89,5,0)</f>
        <v>165.89400000000006</v>
      </c>
      <c r="BF106" s="14">
        <f t="shared" si="91"/>
        <v>42.169111711210569</v>
      </c>
      <c r="BG106" s="22">
        <f t="shared" si="61"/>
        <v>362.3765862303585</v>
      </c>
      <c r="BH106" s="62">
        <f t="shared" si="62"/>
        <v>655.70991956369176</v>
      </c>
      <c r="BI106" s="62">
        <f ca="1">AVERAGE(OFFSET($BH$3,0,0,'Données projet'!$E$11+1,1))-AVERAGE(OFFSET($H$3,0,0,'Données projet'!$E$11+1,1))</f>
        <v>261.34571165681393</v>
      </c>
      <c r="BJ106" s="62">
        <f t="shared" si="92"/>
        <v>207.9851454455669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-3.4106051316484809E-13</v>
      </c>
      <c r="O107" s="14">
        <f>N107*VLOOKUP('Données projet'!$B$9,Paramètres!$A$1:$I$89,3,0)*VLOOKUP('Données projet'!$B$9,Paramètres!$A$1:$I$89,5,0)</f>
        <v>-1.9065282685915009E-13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374.79806286316051</v>
      </c>
      <c r="T107" s="62">
        <f t="shared" si="88"/>
        <v>350.01856672839466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2.8619376181364</v>
      </c>
      <c r="AB107" s="23">
        <f>EXP(-LN(2)/2)*AB106+(1-EXP(-LN(2)/2))/(LN(2)/2)*V107*Y107*VLOOKUP('Données projet'!$B$9,Paramètres!$A$1:$I$89,3,0)*0.475*44/12</f>
        <v>8.0092148285514265E-11</v>
      </c>
      <c r="AC107" s="24">
        <f t="shared" si="57"/>
        <v>2.861937618216492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-1.7053025658242404E-13</v>
      </c>
      <c r="AJ107" s="14">
        <f>AI107*VLOOKUP('Données projet'!$B$10,Paramètres!$A$1:$I$89,3,0)*VLOOKUP('Données projet'!$B$10,Paramètres!$A$1:$I$89,5,0)</f>
        <v>-1.3567387213697657E-13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310.15624717801779</v>
      </c>
      <c r="AO107" s="62">
        <f t="shared" si="90"/>
        <v>294.28794439094889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2.9487179487179502</v>
      </c>
      <c r="BD107" s="13">
        <f>IF('Données projet'!$A$88&gt;35,BD106+BC107-BL106,IF(A107&lt;'Données projet'!$A$88,$BA$205^A107,IF(A107='Données projet'!$A$88,'Données projet'!$B$88,BD106+BC107-BL106)))</f>
        <v>250.25641025641033</v>
      </c>
      <c r="BE107" s="14">
        <f>BD107*VLOOKUP('Données projet'!$B$11,Paramètres!$A$1:$I$89,3,0)*VLOOKUP('Données projet'!$B$11,Paramètres!$A$1:$I$89,5,0)</f>
        <v>167.87200000000004</v>
      </c>
      <c r="BF107" s="14">
        <f t="shared" si="91"/>
        <v>42.613073529517067</v>
      </c>
      <c r="BG107" s="22">
        <f t="shared" si="61"/>
        <v>366.59483639724226</v>
      </c>
      <c r="BH107" s="62">
        <f t="shared" si="62"/>
        <v>659.92816973057552</v>
      </c>
      <c r="BI107" s="62">
        <f ca="1">AVERAGE(OFFSET($BH$3,0,0,'Données projet'!$E$11+1,1))-AVERAGE(OFFSET($H$3,0,0,'Données projet'!$E$11+1,1))</f>
        <v>261.34571165681393</v>
      </c>
      <c r="BJ107" s="62">
        <f t="shared" si="92"/>
        <v>207.9851454455669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-3.4106051316484809E-13</v>
      </c>
      <c r="O108" s="14">
        <f>N108*VLOOKUP('Données projet'!$B$9,Paramètres!$A$1:$I$89,3,0)*VLOOKUP('Données projet'!$B$9,Paramètres!$A$1:$I$89,5,0)</f>
        <v>-1.9065282685915009E-13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374.79806286316051</v>
      </c>
      <c r="T108" s="62">
        <f t="shared" si="88"/>
        <v>350.01856672839466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2.783677783465702</v>
      </c>
      <c r="AB108" s="23">
        <f>EXP(-LN(2)/2)*AB107+(1-EXP(-LN(2)/2))/(LN(2)/2)*V108*Y108*VLOOKUP('Données projet'!$B$9,Paramètres!$A$1:$I$89,3,0)*0.475*44/12</f>
        <v>5.6633701172485659E-11</v>
      </c>
      <c r="AC108" s="24">
        <f t="shared" si="57"/>
        <v>2.7836777835223359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-1.7053025658242404E-13</v>
      </c>
      <c r="AJ108" s="14">
        <f>AI108*VLOOKUP('Données projet'!$B$10,Paramètres!$A$1:$I$89,3,0)*VLOOKUP('Données projet'!$B$10,Paramètres!$A$1:$I$89,5,0)</f>
        <v>-1.3567387213697657E-13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310.15624717801779</v>
      </c>
      <c r="AO108" s="62">
        <f t="shared" si="90"/>
        <v>294.28794439094889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253.2051282051282</v>
      </c>
      <c r="BB108" s="13">
        <f>VLOOKUP(A108,'Données projet'!$A$87:$I$107,9,0)</f>
        <v>2.9487179487179502</v>
      </c>
      <c r="BC108" s="13">
        <f t="array" ref="BC108">INDEX(BB:BB,MIN(IF(ISNUMBER(BB108:BB304),ROW(BB108:BB304),"")))</f>
        <v>2.9487179487179502</v>
      </c>
      <c r="BD108" s="13">
        <f>IF('Données projet'!$A$88&gt;35,BD107+BC108-BL107,IF(A108&lt;'Données projet'!$A$88,$BA$205^A108,IF(A108='Données projet'!$A$88,'Données projet'!$B$88,BD107+BC108-BL107)))</f>
        <v>253.20512820512829</v>
      </c>
      <c r="BE108" s="14">
        <f>BD108*VLOOKUP('Données projet'!$B$11,Paramètres!$A$1:$I$89,3,0)*VLOOKUP('Données projet'!$B$11,Paramètres!$A$1:$I$89,5,0)</f>
        <v>169.85000000000008</v>
      </c>
      <c r="BF108" s="14">
        <f t="shared" si="91"/>
        <v>43.056426849389901</v>
      </c>
      <c r="BG108" s="22">
        <f t="shared" si="61"/>
        <v>370.81202676268754</v>
      </c>
      <c r="BH108" s="62">
        <f t="shared" si="62"/>
        <v>664.1453600960208</v>
      </c>
      <c r="BI108" s="62">
        <f ca="1">AVERAGE(OFFSET($BH$3,0,0,'Données projet'!$E$11+1,1))-AVERAGE(OFFSET($H$3,0,0,'Données projet'!$E$11+1,1))</f>
        <v>261.34571165681393</v>
      </c>
      <c r="BJ108" s="62">
        <f t="shared" si="92"/>
        <v>207.9851454455669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-3.4106051316484809E-13</v>
      </c>
      <c r="O109" s="14">
        <f>N109*VLOOKUP('Données projet'!$B$9,Paramètres!$A$1:$I$89,3,0)*VLOOKUP('Données projet'!$B$9,Paramètres!$A$1:$I$89,5,0)</f>
        <v>-1.9065282685915009E-13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374.79806286316051</v>
      </c>
      <c r="T109" s="62">
        <f t="shared" si="88"/>
        <v>350.01856672839466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2.70755796808958</v>
      </c>
      <c r="AB109" s="23">
        <f>EXP(-LN(2)/2)*AB108+(1-EXP(-LN(2)/2))/(LN(2)/2)*V109*Y109*VLOOKUP('Données projet'!$B$9,Paramètres!$A$1:$I$89,3,0)*0.475*44/12</f>
        <v>4.0046074142757139E-11</v>
      </c>
      <c r="AC109" s="24">
        <f t="shared" si="57"/>
        <v>2.7075579681296262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-1.7053025658242404E-13</v>
      </c>
      <c r="AJ109" s="14">
        <f>AI109*VLOOKUP('Données projet'!$B$10,Paramètres!$A$1:$I$89,3,0)*VLOOKUP('Données projet'!$B$10,Paramètres!$A$1:$I$89,5,0)</f>
        <v>-1.3567387213697657E-13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310.15624717801779</v>
      </c>
      <c r="AO109" s="62">
        <f t="shared" si="90"/>
        <v>294.28794439094889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2.8205128205128234</v>
      </c>
      <c r="BD109" s="13">
        <f>IF('Données projet'!$A$88&gt;35,BD108+BC109-BL108,IF(A109&lt;'Données projet'!$A$88,$BA$205^A109,IF(A109='Données projet'!$A$88,'Données projet'!$B$88,BD108+BC109-BL108)))</f>
        <v>256.02564102564111</v>
      </c>
      <c r="BE109" s="14">
        <f>BD109*VLOOKUP('Données projet'!$B$11,Paramètres!$A$1:$I$89,3,0)*VLOOKUP('Données projet'!$B$11,Paramètres!$A$1:$I$89,5,0)</f>
        <v>171.74200000000008</v>
      </c>
      <c r="BF109" s="14">
        <f t="shared" si="91"/>
        <v>43.479941841807872</v>
      </c>
      <c r="BG109" s="22">
        <f t="shared" si="61"/>
        <v>374.84488204114882</v>
      </c>
      <c r="BH109" s="62">
        <f t="shared" si="62"/>
        <v>668.17821537448208</v>
      </c>
      <c r="BI109" s="62">
        <f ca="1">AVERAGE(OFFSET($BH$3,0,0,'Données projet'!$E$11+1,1))-AVERAGE(OFFSET($H$3,0,0,'Données projet'!$E$11+1,1))</f>
        <v>261.34571165681393</v>
      </c>
      <c r="BJ109" s="62">
        <f t="shared" si="92"/>
        <v>207.9851454455669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-3.4106051316484809E-13</v>
      </c>
      <c r="O110" s="14">
        <f>N110*VLOOKUP('Données projet'!$B$9,Paramètres!$A$1:$I$89,3,0)*VLOOKUP('Données projet'!$B$9,Paramètres!$A$1:$I$89,5,0)</f>
        <v>-1.9065282685915009E-13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374.79806286316051</v>
      </c>
      <c r="T110" s="62">
        <f t="shared" si="88"/>
        <v>350.01856672839466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2.6335196530678853</v>
      </c>
      <c r="AB110" s="23">
        <f>EXP(-LN(2)/2)*AB109+(1-EXP(-LN(2)/2))/(LN(2)/2)*V110*Y110*VLOOKUP('Données projet'!$B$9,Paramètres!$A$1:$I$89,3,0)*0.475*44/12</f>
        <v>2.8316850586242833E-11</v>
      </c>
      <c r="AC110" s="24">
        <f t="shared" si="57"/>
        <v>2.6335196530962022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-1.7053025658242404E-13</v>
      </c>
      <c r="AJ110" s="14">
        <f>AI110*VLOOKUP('Données projet'!$B$10,Paramètres!$A$1:$I$89,3,0)*VLOOKUP('Données projet'!$B$10,Paramètres!$A$1:$I$89,5,0)</f>
        <v>-1.3567387213697657E-13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310.15624717801779</v>
      </c>
      <c r="AO110" s="62">
        <f t="shared" si="90"/>
        <v>294.28794439094889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2.8205128205128234</v>
      </c>
      <c r="BD110" s="13">
        <f>IF('Données projet'!$A$88&gt;35,BD109+BC110-BL109,IF(A110&lt;'Données projet'!$A$88,$BA$205^A110,IF(A110='Données projet'!$A$88,'Données projet'!$B$88,BD109+BC110-BL109)))</f>
        <v>258.84615384615392</v>
      </c>
      <c r="BE110" s="14">
        <f>BD110*VLOOKUP('Données projet'!$B$11,Paramètres!$A$1:$I$89,3,0)*VLOOKUP('Données projet'!$B$11,Paramètres!$A$1:$I$89,5,0)</f>
        <v>173.63400000000004</v>
      </c>
      <c r="BF110" s="14">
        <f t="shared" si="91"/>
        <v>43.902914087449936</v>
      </c>
      <c r="BG110" s="22">
        <f t="shared" si="61"/>
        <v>378.87679203564204</v>
      </c>
      <c r="BH110" s="62">
        <f t="shared" si="62"/>
        <v>672.21012536897535</v>
      </c>
      <c r="BI110" s="62">
        <f ca="1">AVERAGE(OFFSET($BH$3,0,0,'Données projet'!$E$11+1,1))-AVERAGE(OFFSET($H$3,0,0,'Données projet'!$E$11+1,1))</f>
        <v>261.34571165681393</v>
      </c>
      <c r="BJ110" s="62">
        <f t="shared" si="92"/>
        <v>207.9851454455669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-3.4106051316484809E-13</v>
      </c>
      <c r="O111" s="14">
        <f>N111*VLOOKUP('Données projet'!$B$9,Paramètres!$A$1:$I$89,3,0)*VLOOKUP('Données projet'!$B$9,Paramètres!$A$1:$I$89,5,0)</f>
        <v>-1.9065282685915009E-13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374.79806286316051</v>
      </c>
      <c r="T111" s="62">
        <f t="shared" si="88"/>
        <v>350.01856672839466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2.5615059196639645</v>
      </c>
      <c r="AB111" s="23">
        <f>EXP(-LN(2)/2)*AB110+(1-EXP(-LN(2)/2))/(LN(2)/2)*V111*Y111*VLOOKUP('Données projet'!$B$9,Paramètres!$A$1:$I$89,3,0)*0.475*44/12</f>
        <v>2.0023037071378573E-11</v>
      </c>
      <c r="AC111" s="24">
        <f t="shared" si="57"/>
        <v>2.5615059196839876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-1.7053025658242404E-13</v>
      </c>
      <c r="AJ111" s="14">
        <f>AI111*VLOOKUP('Données projet'!$B$10,Paramètres!$A$1:$I$89,3,0)*VLOOKUP('Données projet'!$B$10,Paramètres!$A$1:$I$89,5,0)</f>
        <v>-1.3567387213697657E-13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310.15624717801779</v>
      </c>
      <c r="AO111" s="62">
        <f t="shared" si="90"/>
        <v>294.28794439094889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2.8205128205128234</v>
      </c>
      <c r="BD111" s="13">
        <f>IF('Données projet'!$A$88&gt;35,BD110+BC111-BL110,IF(A111&lt;'Données projet'!$A$88,$BA$205^A111,IF(A111='Données projet'!$A$88,'Données projet'!$B$88,BD110+BC111-BL110)))</f>
        <v>261.66666666666674</v>
      </c>
      <c r="BE111" s="14">
        <f>BD111*VLOOKUP('Données projet'!$B$11,Paramètres!$A$1:$I$89,3,0)*VLOOKUP('Données projet'!$B$11,Paramètres!$A$1:$I$89,5,0)</f>
        <v>175.52600000000004</v>
      </c>
      <c r="BF111" s="14">
        <f t="shared" si="91"/>
        <v>44.325350184817701</v>
      </c>
      <c r="BG111" s="22">
        <f t="shared" si="61"/>
        <v>382.90776823855754</v>
      </c>
      <c r="BH111" s="62">
        <f t="shared" si="62"/>
        <v>676.24110157189079</v>
      </c>
      <c r="BI111" s="62">
        <f ca="1">AVERAGE(OFFSET($BH$3,0,0,'Données projet'!$E$11+1,1))-AVERAGE(OFFSET($H$3,0,0,'Données projet'!$E$11+1,1))</f>
        <v>261.34571165681393</v>
      </c>
      <c r="BJ111" s="62">
        <f t="shared" si="92"/>
        <v>207.9851454455669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-3.4106051316484809E-13</v>
      </c>
      <c r="O112" s="14">
        <f>N112*VLOOKUP('Données projet'!$B$9,Paramètres!$A$1:$I$89,3,0)*VLOOKUP('Données projet'!$B$9,Paramètres!$A$1:$I$89,5,0)</f>
        <v>-1.9065282685915009E-13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374.79806286316051</v>
      </c>
      <c r="T112" s="62">
        <f t="shared" si="88"/>
        <v>350.01856672839466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2.4914614055870112</v>
      </c>
      <c r="AB112" s="23">
        <f>EXP(-LN(2)/2)*AB111+(1-EXP(-LN(2)/2))/(LN(2)/2)*V112*Y112*VLOOKUP('Données projet'!$B$9,Paramètres!$A$1:$I$89,3,0)*0.475*44/12</f>
        <v>1.4158425293121418E-11</v>
      </c>
      <c r="AC112" s="24">
        <f t="shared" si="57"/>
        <v>2.4914614056011697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-1.7053025658242404E-13</v>
      </c>
      <c r="AJ112" s="14">
        <f>AI112*VLOOKUP('Données projet'!$B$10,Paramètres!$A$1:$I$89,3,0)*VLOOKUP('Données projet'!$B$10,Paramètres!$A$1:$I$89,5,0)</f>
        <v>-1.3567387213697657E-13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310.15624717801779</v>
      </c>
      <c r="AO112" s="62">
        <f t="shared" si="90"/>
        <v>294.28794439094889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2.8205128205128234</v>
      </c>
      <c r="BD112" s="13">
        <f>IF('Données projet'!$A$88&gt;35,BD111+BC112-BL111,IF(A112&lt;'Données projet'!$A$88,$BA$205^A112,IF(A112='Données projet'!$A$88,'Données projet'!$B$88,BD111+BC112-BL111)))</f>
        <v>264.48717948717956</v>
      </c>
      <c r="BE112" s="14">
        <f>BD112*VLOOKUP('Données projet'!$B$11,Paramètres!$A$1:$I$89,3,0)*VLOOKUP('Données projet'!$B$11,Paramètres!$A$1:$I$89,5,0)</f>
        <v>177.41800000000006</v>
      </c>
      <c r="BF112" s="14">
        <f t="shared" si="91"/>
        <v>44.747256581968685</v>
      </c>
      <c r="BG112" s="22">
        <f t="shared" si="61"/>
        <v>386.93782188026222</v>
      </c>
      <c r="BH112" s="62">
        <f t="shared" si="62"/>
        <v>680.27115521359553</v>
      </c>
      <c r="BI112" s="62">
        <f ca="1">AVERAGE(OFFSET($BH$3,0,0,'Données projet'!$E$11+1,1))-AVERAGE(OFFSET($H$3,0,0,'Données projet'!$E$11+1,1))</f>
        <v>261.34571165681393</v>
      </c>
      <c r="BJ112" s="62">
        <f t="shared" si="92"/>
        <v>207.9851454455669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-3.4106051316484809E-13</v>
      </c>
      <c r="O113" s="14">
        <f>N113*VLOOKUP('Données projet'!$B$9,Paramètres!$A$1:$I$89,3,0)*VLOOKUP('Données projet'!$B$9,Paramètres!$A$1:$I$89,5,0)</f>
        <v>-1.9065282685915009E-13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374.79806286316051</v>
      </c>
      <c r="T113" s="62">
        <f t="shared" si="88"/>
        <v>350.01856672839466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2.4233322624309732</v>
      </c>
      <c r="AB113" s="23">
        <f>EXP(-LN(2)/2)*AB112+(1-EXP(-LN(2)/2))/(LN(2)/2)*V113*Y113*VLOOKUP('Données projet'!$B$9,Paramètres!$A$1:$I$89,3,0)*0.475*44/12</f>
        <v>1.0011518535689288E-11</v>
      </c>
      <c r="AC113" s="24">
        <f t="shared" si="57"/>
        <v>2.4233322624409848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-1.7053025658242404E-13</v>
      </c>
      <c r="AJ113" s="14">
        <f>AI113*VLOOKUP('Données projet'!$B$10,Paramètres!$A$1:$I$89,3,0)*VLOOKUP('Données projet'!$B$10,Paramètres!$A$1:$I$89,5,0)</f>
        <v>-1.3567387213697657E-13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310.15624717801779</v>
      </c>
      <c r="AO113" s="62">
        <f t="shared" si="90"/>
        <v>294.28794439094889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267.30769230769232</v>
      </c>
      <c r="BB113" s="13">
        <f>VLOOKUP(A113,'Données projet'!$A$87:$I$107,9,0)</f>
        <v>2.8205128205128234</v>
      </c>
      <c r="BC113" s="13">
        <f t="array" ref="BC113">INDEX(BB:BB,MIN(IF(ISNUMBER(BB113:BB309),ROW(BB113:BB309),"")))</f>
        <v>2.8205128205128234</v>
      </c>
      <c r="BD113" s="13">
        <f>IF('Données projet'!$A$88&gt;35,BD112+BC113-BL112,IF(A113&lt;'Données projet'!$A$88,$BA$205^A113,IF(A113='Données projet'!$A$88,'Données projet'!$B$88,BD112+BC113-BL112)))</f>
        <v>267.30769230769238</v>
      </c>
      <c r="BE113" s="14">
        <f>BD113*VLOOKUP('Données projet'!$B$11,Paramètres!$A$1:$I$89,3,0)*VLOOKUP('Données projet'!$B$11,Paramètres!$A$1:$I$89,5,0)</f>
        <v>179.31000000000006</v>
      </c>
      <c r="BF113" s="14">
        <f t="shared" si="91"/>
        <v>45.168639581513062</v>
      </c>
      <c r="BG113" s="22">
        <f t="shared" si="61"/>
        <v>390.96696393780195</v>
      </c>
      <c r="BH113" s="62">
        <f t="shared" si="62"/>
        <v>684.30029727113526</v>
      </c>
      <c r="BI113" s="62">
        <f ca="1">AVERAGE(OFFSET($BH$3,0,0,'Données projet'!$E$11+1,1))-AVERAGE(OFFSET($H$3,0,0,'Données projet'!$E$11+1,1))</f>
        <v>261.34571165681393</v>
      </c>
      <c r="BJ113" s="62">
        <f t="shared" si="92"/>
        <v>207.9851454455669</v>
      </c>
      <c r="BK113" s="16">
        <f>IF(ISNA(VLOOKUP(A113,'Données projet'!$A$87:$I$107,3,0)),0,VLOOKUP(A113,'Données projet'!$A$87:$I$107,3,0))</f>
        <v>10</v>
      </c>
      <c r="BL113" s="16">
        <f>IF(ISNA(VLOOKUP(A113,'Données projet'!$A$87:$I$107,4,0)),0,VLOOKUP(A113,'Données projet'!$A$87:$I$107,4,0))</f>
        <v>267.30769230769232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-3.4106051316484809E-13</v>
      </c>
      <c r="O114" s="14">
        <f>N114*VLOOKUP('Données projet'!$B$9,Paramètres!$A$1:$I$89,3,0)*VLOOKUP('Données projet'!$B$9,Paramètres!$A$1:$I$89,5,0)</f>
        <v>-1.9065282685915009E-13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374.79806286316051</v>
      </c>
      <c r="T114" s="62">
        <f t="shared" si="88"/>
        <v>350.01856672839466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2.3570661142772931</v>
      </c>
      <c r="AB114" s="23">
        <f>EXP(-LN(2)/2)*AB113+(1-EXP(-LN(2)/2))/(LN(2)/2)*V114*Y114*VLOOKUP('Données projet'!$B$9,Paramètres!$A$1:$I$89,3,0)*0.475*44/12</f>
        <v>7.0792126465607106E-12</v>
      </c>
      <c r="AC114" s="24">
        <f t="shared" si="57"/>
        <v>2.3570661142843723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-1.7053025658242404E-13</v>
      </c>
      <c r="AJ114" s="14">
        <f>AI114*VLOOKUP('Données projet'!$B$10,Paramètres!$A$1:$I$89,3,0)*VLOOKUP('Données projet'!$B$10,Paramètres!$A$1:$I$89,5,0)</f>
        <v>-1.3567387213697657E-13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310.15624717801779</v>
      </c>
      <c r="AO114" s="62">
        <f t="shared" si="90"/>
        <v>294.28794439094889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3.813056537183002E-14</v>
      </c>
      <c r="BF114" s="14">
        <f t="shared" si="91"/>
        <v>6.4086286045526829E-13</v>
      </c>
      <c r="BG114" s="22">
        <f t="shared" si="61"/>
        <v>1.1825802166488628E-12</v>
      </c>
      <c r="BH114" s="62">
        <f t="shared" si="62"/>
        <v>293.33333333333451</v>
      </c>
      <c r="BI114" s="62">
        <f ca="1">AVERAGE(OFFSET($BH$3,0,0,'Données projet'!$E$11+1,1))-AVERAGE(OFFSET($H$3,0,0,'Données projet'!$E$11+1,1))</f>
        <v>261.34571165681393</v>
      </c>
      <c r="BJ114" s="62">
        <f t="shared" si="92"/>
        <v>207.9851454455669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-3.4106051316484809E-13</v>
      </c>
      <c r="O115" s="14">
        <f>N115*VLOOKUP('Données projet'!$B$9,Paramètres!$A$1:$I$89,3,0)*VLOOKUP('Données projet'!$B$9,Paramètres!$A$1:$I$89,5,0)</f>
        <v>-1.9065282685915009E-13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374.79806286316051</v>
      </c>
      <c r="T115" s="62">
        <f t="shared" si="88"/>
        <v>350.01856672839466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2.2926120174296605</v>
      </c>
      <c r="AB115" s="23">
        <f>EXP(-LN(2)/2)*AB114+(1-EXP(-LN(2)/2))/(LN(2)/2)*V115*Y115*VLOOKUP('Données projet'!$B$9,Paramètres!$A$1:$I$89,3,0)*0.475*44/12</f>
        <v>5.0057592678446448E-12</v>
      </c>
      <c r="AC115" s="24">
        <f t="shared" si="57"/>
        <v>2.2926120174346662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-1.7053025658242404E-13</v>
      </c>
      <c r="AJ115" s="14">
        <f>AI115*VLOOKUP('Données projet'!$B$10,Paramètres!$A$1:$I$89,3,0)*VLOOKUP('Données projet'!$B$10,Paramètres!$A$1:$I$89,5,0)</f>
        <v>-1.3567387213697657E-13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310.15624717801779</v>
      </c>
      <c r="AO115" s="62">
        <f t="shared" si="90"/>
        <v>294.28794439094889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3.813056537183002E-14</v>
      </c>
      <c r="BF115" s="14">
        <f t="shared" si="91"/>
        <v>6.4086286045526829E-13</v>
      </c>
      <c r="BG115" s="22">
        <f t="shared" si="61"/>
        <v>1.1825802166488628E-12</v>
      </c>
      <c r="BH115" s="62">
        <f t="shared" si="62"/>
        <v>293.33333333333451</v>
      </c>
      <c r="BI115" s="62">
        <f ca="1">AVERAGE(OFFSET($BH$3,0,0,'Données projet'!$E$11+1,1))-AVERAGE(OFFSET($H$3,0,0,'Données projet'!$E$11+1,1))</f>
        <v>261.34571165681393</v>
      </c>
      <c r="BJ115" s="62">
        <f t="shared" si="92"/>
        <v>207.9851454455669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-3.4106051316484809E-13</v>
      </c>
      <c r="O116" s="14">
        <f>N116*VLOOKUP('Données projet'!$B$9,Paramètres!$A$1:$I$89,3,0)*VLOOKUP('Données projet'!$B$9,Paramètres!$A$1:$I$89,5,0)</f>
        <v>-1.9065282685915009E-13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374.79806286316051</v>
      </c>
      <c r="T116" s="62">
        <f t="shared" si="88"/>
        <v>350.01856672839466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2.2299204212498203</v>
      </c>
      <c r="AB116" s="23">
        <f>EXP(-LN(2)/2)*AB115+(1-EXP(-LN(2)/2))/(LN(2)/2)*V116*Y116*VLOOKUP('Données projet'!$B$9,Paramètres!$A$1:$I$89,3,0)*0.475*44/12</f>
        <v>3.5396063232803557E-12</v>
      </c>
      <c r="AC116" s="24">
        <f t="shared" si="57"/>
        <v>2.2299204212533597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-1.7053025658242404E-13</v>
      </c>
      <c r="AJ116" s="14">
        <f>AI116*VLOOKUP('Données projet'!$B$10,Paramètres!$A$1:$I$89,3,0)*VLOOKUP('Données projet'!$B$10,Paramètres!$A$1:$I$89,5,0)</f>
        <v>-1.3567387213697657E-13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310.15624717801779</v>
      </c>
      <c r="AO116" s="62">
        <f t="shared" si="90"/>
        <v>294.28794439094889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3.813056537183002E-14</v>
      </c>
      <c r="BF116" s="14">
        <f t="shared" si="91"/>
        <v>6.4086286045526829E-13</v>
      </c>
      <c r="BG116" s="22">
        <f t="shared" si="61"/>
        <v>1.1825802166488628E-12</v>
      </c>
      <c r="BH116" s="62">
        <f t="shared" si="62"/>
        <v>293.33333333333451</v>
      </c>
      <c r="BI116" s="62">
        <f ca="1">AVERAGE(OFFSET($BH$3,0,0,'Données projet'!$E$11+1,1))-AVERAGE(OFFSET($H$3,0,0,'Données projet'!$E$11+1,1))</f>
        <v>261.34571165681393</v>
      </c>
      <c r="BJ116" s="62">
        <f t="shared" si="92"/>
        <v>207.9851454455669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-3.4106051316484809E-13</v>
      </c>
      <c r="O117" s="14">
        <f>N117*VLOOKUP('Données projet'!$B$9,Paramètres!$A$1:$I$89,3,0)*VLOOKUP('Données projet'!$B$9,Paramètres!$A$1:$I$89,5,0)</f>
        <v>-1.9065282685915009E-13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374.79806286316051</v>
      </c>
      <c r="T117" s="62">
        <f t="shared" si="88"/>
        <v>350.01856672839466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2.1689431300643256</v>
      </c>
      <c r="AB117" s="23">
        <f>EXP(-LN(2)/2)*AB116+(1-EXP(-LN(2)/2))/(LN(2)/2)*V117*Y117*VLOOKUP('Données projet'!$B$9,Paramètres!$A$1:$I$89,3,0)*0.475*44/12</f>
        <v>2.5028796339223228E-12</v>
      </c>
      <c r="AC117" s="24">
        <f t="shared" si="57"/>
        <v>2.1689431300668285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-1.7053025658242404E-13</v>
      </c>
      <c r="AJ117" s="14">
        <f>AI117*VLOOKUP('Données projet'!$B$10,Paramètres!$A$1:$I$89,3,0)*VLOOKUP('Données projet'!$B$10,Paramètres!$A$1:$I$89,5,0)</f>
        <v>-1.3567387213697657E-13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310.15624717801779</v>
      </c>
      <c r="AO117" s="62">
        <f t="shared" si="90"/>
        <v>294.28794439094889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3.813056537183002E-14</v>
      </c>
      <c r="BF117" s="14">
        <f t="shared" si="91"/>
        <v>6.4086286045526829E-13</v>
      </c>
      <c r="BG117" s="22">
        <f t="shared" si="61"/>
        <v>1.1825802166488628E-12</v>
      </c>
      <c r="BH117" s="62">
        <f t="shared" si="62"/>
        <v>293.33333333333451</v>
      </c>
      <c r="BI117" s="62">
        <f ca="1">AVERAGE(OFFSET($BH$3,0,0,'Données projet'!$E$11+1,1))-AVERAGE(OFFSET($H$3,0,0,'Données projet'!$E$11+1,1))</f>
        <v>261.34571165681393</v>
      </c>
      <c r="BJ117" s="62">
        <f t="shared" si="92"/>
        <v>207.9851454455669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-3.4106051316484809E-13</v>
      </c>
      <c r="O118" s="14">
        <f>N118*VLOOKUP('Données projet'!$B$9,Paramètres!$A$1:$I$89,3,0)*VLOOKUP('Données projet'!$B$9,Paramètres!$A$1:$I$89,5,0)</f>
        <v>-1.9065282685915009E-13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374.79806286316051</v>
      </c>
      <c r="T118" s="62">
        <f t="shared" si="88"/>
        <v>350.01856672839466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2.1096332661129544</v>
      </c>
      <c r="AB118" s="23">
        <f>EXP(-LN(2)/2)*AB117+(1-EXP(-LN(2)/2))/(LN(2)/2)*V118*Y118*VLOOKUP('Données projet'!$B$9,Paramètres!$A$1:$I$89,3,0)*0.475*44/12</f>
        <v>1.7698031616401783E-12</v>
      </c>
      <c r="AC118" s="24">
        <f t="shared" si="57"/>
        <v>2.1096332661147241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-1.7053025658242404E-13</v>
      </c>
      <c r="AJ118" s="14">
        <f>AI118*VLOOKUP('Données projet'!$B$10,Paramètres!$A$1:$I$89,3,0)*VLOOKUP('Données projet'!$B$10,Paramètres!$A$1:$I$89,5,0)</f>
        <v>-1.3567387213697657E-13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310.15624717801779</v>
      </c>
      <c r="AO118" s="62">
        <f t="shared" si="90"/>
        <v>294.28794439094889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3.813056537183002E-14</v>
      </c>
      <c r="BF118" s="14">
        <f t="shared" si="91"/>
        <v>6.4086286045526829E-13</v>
      </c>
      <c r="BG118" s="22">
        <f t="shared" si="61"/>
        <v>1.1825802166488628E-12</v>
      </c>
      <c r="BH118" s="62">
        <f t="shared" si="62"/>
        <v>293.33333333333451</v>
      </c>
      <c r="BI118" s="62">
        <f ca="1">AVERAGE(OFFSET($BH$3,0,0,'Données projet'!$E$11+1,1))-AVERAGE(OFFSET($H$3,0,0,'Données projet'!$E$11+1,1))</f>
        <v>261.34571165681393</v>
      </c>
      <c r="BJ118" s="62">
        <f t="shared" si="92"/>
        <v>207.9851454455669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-3.4106051316484809E-13</v>
      </c>
      <c r="O119" s="14">
        <f>N119*VLOOKUP('Données projet'!$B$9,Paramètres!$A$1:$I$89,3,0)*VLOOKUP('Données projet'!$B$9,Paramètres!$A$1:$I$89,5,0)</f>
        <v>-1.9065282685915009E-13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374.79806286316051</v>
      </c>
      <c r="T119" s="62">
        <f t="shared" si="88"/>
        <v>350.01856672839466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2.0519452335103039</v>
      </c>
      <c r="AB119" s="23">
        <f>EXP(-LN(2)/2)*AB118+(1-EXP(-LN(2)/2))/(LN(2)/2)*V119*Y119*VLOOKUP('Données projet'!$B$9,Paramètres!$A$1:$I$89,3,0)*0.475*44/12</f>
        <v>1.2514398169611616E-12</v>
      </c>
      <c r="AC119" s="24">
        <f t="shared" si="57"/>
        <v>2.0519452335115553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-1.7053025658242404E-13</v>
      </c>
      <c r="AJ119" s="14">
        <f>AI119*VLOOKUP('Données projet'!$B$10,Paramètres!$A$1:$I$89,3,0)*VLOOKUP('Données projet'!$B$10,Paramètres!$A$1:$I$89,5,0)</f>
        <v>-1.3567387213697657E-13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310.15624717801779</v>
      </c>
      <c r="AO119" s="62">
        <f t="shared" si="90"/>
        <v>294.28794439094889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3.813056537183002E-14</v>
      </c>
      <c r="BF119" s="14">
        <f t="shared" si="91"/>
        <v>6.4086286045526829E-13</v>
      </c>
      <c r="BG119" s="22">
        <f t="shared" si="61"/>
        <v>1.1825802166488628E-12</v>
      </c>
      <c r="BH119" s="62">
        <f t="shared" si="62"/>
        <v>293.33333333333451</v>
      </c>
      <c r="BI119" s="62">
        <f ca="1">AVERAGE(OFFSET($BH$3,0,0,'Données projet'!$E$11+1,1))-AVERAGE(OFFSET($H$3,0,0,'Données projet'!$E$11+1,1))</f>
        <v>261.34571165681393</v>
      </c>
      <c r="BJ119" s="62">
        <f t="shared" si="92"/>
        <v>207.9851454455669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-3.4106051316484809E-13</v>
      </c>
      <c r="O120" s="14">
        <f>N120*VLOOKUP('Données projet'!$B$9,Paramètres!$A$1:$I$89,3,0)*VLOOKUP('Données projet'!$B$9,Paramètres!$A$1:$I$89,5,0)</f>
        <v>-1.9065282685915009E-13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374.79806286316051</v>
      </c>
      <c r="T120" s="62">
        <f t="shared" si="88"/>
        <v>350.01856672839466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1.9958346831928546</v>
      </c>
      <c r="AB120" s="23">
        <f>EXP(-LN(2)/2)*AB119+(1-EXP(-LN(2)/2))/(LN(2)/2)*V120*Y120*VLOOKUP('Données projet'!$B$9,Paramètres!$A$1:$I$89,3,0)*0.475*44/12</f>
        <v>8.8490158082008923E-13</v>
      </c>
      <c r="AC120" s="24">
        <f t="shared" si="57"/>
        <v>1.9958346831937395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-1.7053025658242404E-13</v>
      </c>
      <c r="AJ120" s="14">
        <f>AI120*VLOOKUP('Données projet'!$B$10,Paramètres!$A$1:$I$89,3,0)*VLOOKUP('Données projet'!$B$10,Paramètres!$A$1:$I$89,5,0)</f>
        <v>-1.3567387213697657E-13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310.15624717801779</v>
      </c>
      <c r="AO120" s="62">
        <f t="shared" si="90"/>
        <v>294.28794439094889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3.813056537183002E-14</v>
      </c>
      <c r="BF120" s="14">
        <f t="shared" si="91"/>
        <v>6.4086286045526829E-13</v>
      </c>
      <c r="BG120" s="22">
        <f t="shared" si="61"/>
        <v>1.1825802166488628E-12</v>
      </c>
      <c r="BH120" s="62">
        <f t="shared" si="62"/>
        <v>293.33333333333451</v>
      </c>
      <c r="BI120" s="62">
        <f ca="1">AVERAGE(OFFSET($BH$3,0,0,'Données projet'!$E$11+1,1))-AVERAGE(OFFSET($H$3,0,0,'Données projet'!$E$11+1,1))</f>
        <v>261.34571165681393</v>
      </c>
      <c r="BJ120" s="62">
        <f t="shared" si="92"/>
        <v>207.9851454455669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-3.4106051316484809E-13</v>
      </c>
      <c r="O121" s="14">
        <f>N121*VLOOKUP('Données projet'!$B$9,Paramètres!$A$1:$I$89,3,0)*VLOOKUP('Données projet'!$B$9,Paramètres!$A$1:$I$89,5,0)</f>
        <v>-1.9065282685915009E-13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374.79806286316051</v>
      </c>
      <c r="T121" s="62">
        <f t="shared" si="88"/>
        <v>350.01856672839466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1.9412584788245615</v>
      </c>
      <c r="AB121" s="23">
        <f>EXP(-LN(2)/2)*AB120+(1-EXP(-LN(2)/2))/(LN(2)/2)*V121*Y121*VLOOKUP('Données projet'!$B$9,Paramètres!$A$1:$I$89,3,0)*0.475*44/12</f>
        <v>6.257199084805809E-13</v>
      </c>
      <c r="AC121" s="24">
        <f t="shared" si="57"/>
        <v>1.9412584788251872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-1.7053025658242404E-13</v>
      </c>
      <c r="AJ121" s="14">
        <f>AI121*VLOOKUP('Données projet'!$B$10,Paramètres!$A$1:$I$89,3,0)*VLOOKUP('Données projet'!$B$10,Paramètres!$A$1:$I$89,5,0)</f>
        <v>-1.3567387213697657E-13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310.15624717801779</v>
      </c>
      <c r="AO121" s="62">
        <f t="shared" si="90"/>
        <v>294.28794439094889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3.813056537183002E-14</v>
      </c>
      <c r="BF121" s="14">
        <f t="shared" si="91"/>
        <v>6.4086286045526829E-13</v>
      </c>
      <c r="BG121" s="22">
        <f t="shared" si="61"/>
        <v>1.1825802166488628E-12</v>
      </c>
      <c r="BH121" s="62">
        <f t="shared" si="62"/>
        <v>293.33333333333451</v>
      </c>
      <c r="BI121" s="62">
        <f ca="1">AVERAGE(OFFSET($BH$3,0,0,'Données projet'!$E$11+1,1))-AVERAGE(OFFSET($H$3,0,0,'Données projet'!$E$11+1,1))</f>
        <v>261.34571165681393</v>
      </c>
      <c r="BJ121" s="62">
        <f t="shared" si="92"/>
        <v>207.9851454455669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-3.4106051316484809E-13</v>
      </c>
      <c r="O122" s="14">
        <f>N122*VLOOKUP('Données projet'!$B$9,Paramètres!$A$1:$I$89,3,0)*VLOOKUP('Données projet'!$B$9,Paramètres!$A$1:$I$89,5,0)</f>
        <v>-1.9065282685915009E-13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374.79806286316051</v>
      </c>
      <c r="T122" s="62">
        <f t="shared" si="88"/>
        <v>350.01856672839466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1.8881746636347572</v>
      </c>
      <c r="AB122" s="23">
        <f>EXP(-LN(2)/2)*AB121+(1-EXP(-LN(2)/2))/(LN(2)/2)*V122*Y122*VLOOKUP('Données projet'!$B$9,Paramètres!$A$1:$I$89,3,0)*0.475*44/12</f>
        <v>4.4245079041004472E-13</v>
      </c>
      <c r="AC122" s="24">
        <f t="shared" si="57"/>
        <v>1.8881746636351997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-1.7053025658242404E-13</v>
      </c>
      <c r="AJ122" s="14">
        <f>AI122*VLOOKUP('Données projet'!$B$10,Paramètres!$A$1:$I$89,3,0)*VLOOKUP('Données projet'!$B$10,Paramètres!$A$1:$I$89,5,0)</f>
        <v>-1.3567387213697657E-13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310.15624717801779</v>
      </c>
      <c r="AO122" s="62">
        <f t="shared" si="90"/>
        <v>294.28794439094889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3.813056537183002E-14</v>
      </c>
      <c r="BF122" s="14">
        <f t="shared" si="91"/>
        <v>6.4086286045526829E-13</v>
      </c>
      <c r="BG122" s="22">
        <f t="shared" si="61"/>
        <v>1.1825802166488628E-12</v>
      </c>
      <c r="BH122" s="62">
        <f t="shared" si="62"/>
        <v>293.33333333333451</v>
      </c>
      <c r="BI122" s="62">
        <f ca="1">AVERAGE(OFFSET($BH$3,0,0,'Données projet'!$E$11+1,1))-AVERAGE(OFFSET($H$3,0,0,'Données projet'!$E$11+1,1))</f>
        <v>261.34571165681393</v>
      </c>
      <c r="BJ122" s="62">
        <f t="shared" si="92"/>
        <v>207.9851454455669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-3.4106051316484809E-13</v>
      </c>
      <c r="O123" s="14">
        <f>N123*VLOOKUP('Données projet'!$B$9,Paramètres!$A$1:$I$89,3,0)*VLOOKUP('Données projet'!$B$9,Paramètres!$A$1:$I$89,5,0)</f>
        <v>-1.9065282685915009E-13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374.79806286316051</v>
      </c>
      <c r="T123" s="62">
        <f t="shared" si="88"/>
        <v>350.01856672839466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1.8365424281628746</v>
      </c>
      <c r="AB123" s="23">
        <f>EXP(-LN(2)/2)*AB122+(1-EXP(-LN(2)/2))/(LN(2)/2)*V123*Y123*VLOOKUP('Données projet'!$B$9,Paramètres!$A$1:$I$89,3,0)*0.475*44/12</f>
        <v>3.128599542402905E-13</v>
      </c>
      <c r="AC123" s="24">
        <f t="shared" si="57"/>
        <v>1.8365424281631875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-1.7053025658242404E-13</v>
      </c>
      <c r="AJ123" s="14">
        <f>AI123*VLOOKUP('Données projet'!$B$10,Paramètres!$A$1:$I$89,3,0)*VLOOKUP('Données projet'!$B$10,Paramètres!$A$1:$I$89,5,0)</f>
        <v>-1.3567387213697657E-13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310.15624717801779</v>
      </c>
      <c r="AO123" s="62">
        <f t="shared" si="90"/>
        <v>294.28794439094889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3.813056537183002E-14</v>
      </c>
      <c r="BF123" s="14">
        <f t="shared" si="91"/>
        <v>6.4086286045526829E-13</v>
      </c>
      <c r="BG123" s="22">
        <f t="shared" si="61"/>
        <v>1.1825802166488628E-12</v>
      </c>
      <c r="BH123" s="62">
        <f t="shared" si="62"/>
        <v>293.33333333333451</v>
      </c>
      <c r="BI123" s="62">
        <f ca="1">AVERAGE(OFFSET($BH$3,0,0,'Données projet'!$E$11+1,1))-AVERAGE(OFFSET($H$3,0,0,'Données projet'!$E$11+1,1))</f>
        <v>261.34571165681393</v>
      </c>
      <c r="BJ123" s="62">
        <f t="shared" si="92"/>
        <v>207.9851454455669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-3.4106051316484809E-13</v>
      </c>
      <c r="O124" s="14">
        <f>N124*VLOOKUP('Données projet'!$B$9,Paramètres!$A$1:$I$89,3,0)*VLOOKUP('Données projet'!$B$9,Paramètres!$A$1:$I$89,5,0)</f>
        <v>-1.9065282685915009E-13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374.79806286316051</v>
      </c>
      <c r="T124" s="62">
        <f t="shared" si="88"/>
        <v>350.01856672839466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1.7863220788851919</v>
      </c>
      <c r="AB124" s="23">
        <f>EXP(-LN(2)/2)*AB123+(1-EXP(-LN(2)/2))/(LN(2)/2)*V124*Y124*VLOOKUP('Données projet'!$B$9,Paramètres!$A$1:$I$89,3,0)*0.475*44/12</f>
        <v>2.2122539520502238E-13</v>
      </c>
      <c r="AC124" s="24">
        <f t="shared" si="57"/>
        <v>1.7863220788854131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-1.7053025658242404E-13</v>
      </c>
      <c r="AJ124" s="14">
        <f>AI124*VLOOKUP('Données projet'!$B$10,Paramètres!$A$1:$I$89,3,0)*VLOOKUP('Données projet'!$B$10,Paramètres!$A$1:$I$89,5,0)</f>
        <v>-1.3567387213697657E-13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310.15624717801779</v>
      </c>
      <c r="AO124" s="62">
        <f t="shared" si="90"/>
        <v>294.28794439094889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3.813056537183002E-14</v>
      </c>
      <c r="BF124" s="14">
        <f t="shared" si="91"/>
        <v>6.4086286045526829E-13</v>
      </c>
      <c r="BG124" s="22">
        <f t="shared" si="61"/>
        <v>1.1825802166488628E-12</v>
      </c>
      <c r="BH124" s="62">
        <f t="shared" si="62"/>
        <v>293.33333333333451</v>
      </c>
      <c r="BI124" s="62">
        <f ca="1">AVERAGE(OFFSET($BH$3,0,0,'Données projet'!$E$11+1,1))-AVERAGE(OFFSET($H$3,0,0,'Données projet'!$E$11+1,1))</f>
        <v>261.34571165681393</v>
      </c>
      <c r="BJ124" s="62">
        <f t="shared" si="92"/>
        <v>207.9851454455669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-3.4106051316484809E-13</v>
      </c>
      <c r="O125" s="14">
        <f>N125*VLOOKUP('Données projet'!$B$9,Paramètres!$A$1:$I$89,3,0)*VLOOKUP('Données projet'!$B$9,Paramètres!$A$1:$I$89,5,0)</f>
        <v>-1.9065282685915009E-13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374.79806286316051</v>
      </c>
      <c r="T125" s="62">
        <f t="shared" si="88"/>
        <v>350.01856672839466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1.7374750076994809</v>
      </c>
      <c r="AB125" s="23">
        <f>EXP(-LN(2)/2)*AB124+(1-EXP(-LN(2)/2))/(LN(2)/2)*V125*Y125*VLOOKUP('Données projet'!$B$9,Paramètres!$A$1:$I$89,3,0)*0.475*44/12</f>
        <v>1.5642997712014528E-13</v>
      </c>
      <c r="AC125" s="24">
        <f t="shared" si="57"/>
        <v>1.7374750076996373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-1.7053025658242404E-13</v>
      </c>
      <c r="AJ125" s="14">
        <f>AI125*VLOOKUP('Données projet'!$B$10,Paramètres!$A$1:$I$89,3,0)*VLOOKUP('Données projet'!$B$10,Paramètres!$A$1:$I$89,5,0)</f>
        <v>-1.3567387213697657E-13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310.15624717801779</v>
      </c>
      <c r="AO125" s="62">
        <f t="shared" si="90"/>
        <v>294.28794439094889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3.813056537183002E-14</v>
      </c>
      <c r="BF125" s="14">
        <f t="shared" si="91"/>
        <v>6.4086286045526829E-13</v>
      </c>
      <c r="BG125" s="22">
        <f t="shared" si="61"/>
        <v>1.1825802166488628E-12</v>
      </c>
      <c r="BH125" s="62">
        <f t="shared" si="62"/>
        <v>293.33333333333451</v>
      </c>
      <c r="BI125" s="62">
        <f ca="1">AVERAGE(OFFSET($BH$3,0,0,'Données projet'!$E$11+1,1))-AVERAGE(OFFSET($H$3,0,0,'Données projet'!$E$11+1,1))</f>
        <v>261.34571165681393</v>
      </c>
      <c r="BJ125" s="62">
        <f t="shared" si="92"/>
        <v>207.9851454455669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-3.4106051316484809E-13</v>
      </c>
      <c r="O126" s="14">
        <f>N126*VLOOKUP('Données projet'!$B$9,Paramètres!$A$1:$I$89,3,0)*VLOOKUP('Données projet'!$B$9,Paramètres!$A$1:$I$89,5,0)</f>
        <v>-1.9065282685915009E-13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374.79806286316051</v>
      </c>
      <c r="T126" s="62">
        <f t="shared" si="88"/>
        <v>350.01856672839466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1.689963662244099</v>
      </c>
      <c r="AB126" s="23">
        <f>EXP(-LN(2)/2)*AB125+(1-EXP(-LN(2)/2))/(LN(2)/2)*V126*Y126*VLOOKUP('Données projet'!$B$9,Paramètres!$A$1:$I$89,3,0)*0.475*44/12</f>
        <v>1.106126976025112E-13</v>
      </c>
      <c r="AC126" s="24">
        <f t="shared" si="57"/>
        <v>1.6899636622442096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-1.7053025658242404E-13</v>
      </c>
      <c r="AJ126" s="14">
        <f>AI126*VLOOKUP('Données projet'!$B$10,Paramètres!$A$1:$I$89,3,0)*VLOOKUP('Données projet'!$B$10,Paramètres!$A$1:$I$89,5,0)</f>
        <v>-1.3567387213697657E-13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310.15624717801779</v>
      </c>
      <c r="AO126" s="62">
        <f t="shared" si="90"/>
        <v>294.28794439094889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3.813056537183002E-14</v>
      </c>
      <c r="BF126" s="14">
        <f t="shared" si="91"/>
        <v>6.4086286045526829E-13</v>
      </c>
      <c r="BG126" s="22">
        <f t="shared" si="61"/>
        <v>1.1825802166488628E-12</v>
      </c>
      <c r="BH126" s="62">
        <f t="shared" si="62"/>
        <v>293.33333333333451</v>
      </c>
      <c r="BI126" s="62">
        <f ca="1">AVERAGE(OFFSET($BH$3,0,0,'Données projet'!$E$11+1,1))-AVERAGE(OFFSET($H$3,0,0,'Données projet'!$E$11+1,1))</f>
        <v>261.34571165681393</v>
      </c>
      <c r="BJ126" s="62">
        <f t="shared" si="92"/>
        <v>207.9851454455669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-3.4106051316484809E-13</v>
      </c>
      <c r="O127" s="14">
        <f>N127*VLOOKUP('Données projet'!$B$9,Paramètres!$A$1:$I$89,3,0)*VLOOKUP('Données projet'!$B$9,Paramètres!$A$1:$I$89,5,0)</f>
        <v>-1.9065282685915009E-13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374.79806286316051</v>
      </c>
      <c r="T127" s="62">
        <f t="shared" si="88"/>
        <v>350.01856672839466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1.6437515170287076</v>
      </c>
      <c r="AB127" s="23">
        <f>EXP(-LN(2)/2)*AB126+(1-EXP(-LN(2)/2))/(LN(2)/2)*V127*Y127*VLOOKUP('Données projet'!$B$9,Paramètres!$A$1:$I$89,3,0)*0.475*44/12</f>
        <v>7.8214988560072651E-14</v>
      </c>
      <c r="AC127" s="24">
        <f t="shared" si="57"/>
        <v>1.6437515170287857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-1.7053025658242404E-13</v>
      </c>
      <c r="AJ127" s="14">
        <f>AI127*VLOOKUP('Données projet'!$B$10,Paramètres!$A$1:$I$89,3,0)*VLOOKUP('Données projet'!$B$10,Paramètres!$A$1:$I$89,5,0)</f>
        <v>-1.3567387213697657E-13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310.15624717801779</v>
      </c>
      <c r="AO127" s="62">
        <f t="shared" si="90"/>
        <v>294.28794439094889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3.813056537183002E-14</v>
      </c>
      <c r="BF127" s="14">
        <f t="shared" si="91"/>
        <v>6.4086286045526829E-13</v>
      </c>
      <c r="BG127" s="22">
        <f t="shared" si="61"/>
        <v>1.1825802166488628E-12</v>
      </c>
      <c r="BH127" s="62">
        <f t="shared" si="62"/>
        <v>293.33333333333451</v>
      </c>
      <c r="BI127" s="62">
        <f ca="1">AVERAGE(OFFSET($BH$3,0,0,'Données projet'!$E$11+1,1))-AVERAGE(OFFSET($H$3,0,0,'Données projet'!$E$11+1,1))</f>
        <v>261.34571165681393</v>
      </c>
      <c r="BJ127" s="62">
        <f t="shared" si="92"/>
        <v>207.9851454455669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-3.4106051316484809E-13</v>
      </c>
      <c r="O128" s="14">
        <f>N128*VLOOKUP('Données projet'!$B$9,Paramètres!$A$1:$I$89,3,0)*VLOOKUP('Données projet'!$B$9,Paramètres!$A$1:$I$89,5,0)</f>
        <v>-1.9065282685915009E-13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374.79806286316051</v>
      </c>
      <c r="T128" s="62">
        <f t="shared" si="88"/>
        <v>350.01856672839466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1.5988030453544222</v>
      </c>
      <c r="AB128" s="23">
        <f>EXP(-LN(2)/2)*AB127+(1-EXP(-LN(2)/2))/(LN(2)/2)*V128*Y128*VLOOKUP('Données projet'!$B$9,Paramètres!$A$1:$I$89,3,0)*0.475*44/12</f>
        <v>5.5306348801255615E-14</v>
      </c>
      <c r="AC128" s="24">
        <f t="shared" si="57"/>
        <v>1.5988030453544775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-1.7053025658242404E-13</v>
      </c>
      <c r="AJ128" s="14">
        <f>AI128*VLOOKUP('Données projet'!$B$10,Paramètres!$A$1:$I$89,3,0)*VLOOKUP('Données projet'!$B$10,Paramètres!$A$1:$I$89,5,0)</f>
        <v>-1.3567387213697657E-13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310.15624717801779</v>
      </c>
      <c r="AO128" s="62">
        <f t="shared" si="90"/>
        <v>294.28794439094889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3.813056537183002E-14</v>
      </c>
      <c r="BF128" s="14">
        <f t="shared" si="91"/>
        <v>6.4086286045526829E-13</v>
      </c>
      <c r="BG128" s="22">
        <f t="shared" si="61"/>
        <v>1.1825802166488628E-12</v>
      </c>
      <c r="BH128" s="62">
        <f t="shared" si="62"/>
        <v>293.33333333333451</v>
      </c>
      <c r="BI128" s="62">
        <f ca="1">AVERAGE(OFFSET($BH$3,0,0,'Données projet'!$E$11+1,1))-AVERAGE(OFFSET($H$3,0,0,'Données projet'!$E$11+1,1))</f>
        <v>261.34571165681393</v>
      </c>
      <c r="BJ128" s="62">
        <f t="shared" si="92"/>
        <v>207.9851454455669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-3.4106051316484809E-13</v>
      </c>
      <c r="O129" s="14">
        <f>N129*VLOOKUP('Données projet'!$B$9,Paramètres!$A$1:$I$89,3,0)*VLOOKUP('Données projet'!$B$9,Paramètres!$A$1:$I$89,5,0)</f>
        <v>-1.9065282685915009E-13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374.79806286316051</v>
      </c>
      <c r="T129" s="62">
        <f t="shared" si="88"/>
        <v>350.01856672839466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1.5550836920018074</v>
      </c>
      <c r="AB129" s="23">
        <f>EXP(-LN(2)/2)*AB128+(1-EXP(-LN(2)/2))/(LN(2)/2)*V129*Y129*VLOOKUP('Données projet'!$B$9,Paramètres!$A$1:$I$89,3,0)*0.475*44/12</f>
        <v>3.9107494280036332E-14</v>
      </c>
      <c r="AC129" s="24">
        <f t="shared" si="57"/>
        <v>1.5550836920018465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-1.7053025658242404E-13</v>
      </c>
      <c r="AJ129" s="14">
        <f>AI129*VLOOKUP('Données projet'!$B$10,Paramètres!$A$1:$I$89,3,0)*VLOOKUP('Données projet'!$B$10,Paramètres!$A$1:$I$89,5,0)</f>
        <v>-1.3567387213697657E-13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310.15624717801779</v>
      </c>
      <c r="AO129" s="62">
        <f t="shared" si="90"/>
        <v>294.28794439094889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3.813056537183002E-14</v>
      </c>
      <c r="BF129" s="14">
        <f t="shared" si="91"/>
        <v>6.4086286045526829E-13</v>
      </c>
      <c r="BG129" s="22">
        <f t="shared" si="61"/>
        <v>1.1825802166488628E-12</v>
      </c>
      <c r="BH129" s="62">
        <f t="shared" si="62"/>
        <v>293.33333333333451</v>
      </c>
      <c r="BI129" s="62">
        <f ca="1">AVERAGE(OFFSET($BH$3,0,0,'Données projet'!$E$11+1,1))-AVERAGE(OFFSET($H$3,0,0,'Données projet'!$E$11+1,1))</f>
        <v>261.34571165681393</v>
      </c>
      <c r="BJ129" s="62">
        <f t="shared" si="92"/>
        <v>207.9851454455669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-3.4106051316484809E-13</v>
      </c>
      <c r="O130" s="14">
        <f>N130*VLOOKUP('Données projet'!$B$9,Paramètres!$A$1:$I$89,3,0)*VLOOKUP('Données projet'!$B$9,Paramètres!$A$1:$I$89,5,0)</f>
        <v>-1.9065282685915009E-13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374.79806286316051</v>
      </c>
      <c r="T130" s="62">
        <f t="shared" si="88"/>
        <v>350.01856672839466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1.5125598466657209</v>
      </c>
      <c r="AB130" s="23">
        <f>EXP(-LN(2)/2)*AB129+(1-EXP(-LN(2)/2))/(LN(2)/2)*V130*Y130*VLOOKUP('Données projet'!$B$9,Paramètres!$A$1:$I$89,3,0)*0.475*44/12</f>
        <v>2.7653174400627811E-14</v>
      </c>
      <c r="AC130" s="24">
        <f t="shared" si="57"/>
        <v>1.5125598466657486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-1.7053025658242404E-13</v>
      </c>
      <c r="AJ130" s="14">
        <f>AI130*VLOOKUP('Données projet'!$B$10,Paramètres!$A$1:$I$89,3,0)*VLOOKUP('Données projet'!$B$10,Paramètres!$A$1:$I$89,5,0)</f>
        <v>-1.3567387213697657E-13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310.15624717801779</v>
      </c>
      <c r="AO130" s="62">
        <f t="shared" si="90"/>
        <v>294.28794439094889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3.813056537183002E-14</v>
      </c>
      <c r="BF130" s="14">
        <f t="shared" si="91"/>
        <v>6.4086286045526829E-13</v>
      </c>
      <c r="BG130" s="22">
        <f t="shared" si="61"/>
        <v>1.1825802166488628E-12</v>
      </c>
      <c r="BH130" s="62">
        <f t="shared" si="62"/>
        <v>293.33333333333451</v>
      </c>
      <c r="BI130" s="62">
        <f ca="1">AVERAGE(OFFSET($BH$3,0,0,'Données projet'!$E$11+1,1))-AVERAGE(OFFSET($H$3,0,0,'Données projet'!$E$11+1,1))</f>
        <v>261.34571165681393</v>
      </c>
      <c r="BJ130" s="62">
        <f t="shared" si="92"/>
        <v>207.9851454455669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-3.4106051316484809E-13</v>
      </c>
      <c r="O131" s="14">
        <f>N131*VLOOKUP('Données projet'!$B$9,Paramètres!$A$1:$I$89,3,0)*VLOOKUP('Données projet'!$B$9,Paramètres!$A$1:$I$89,5,0)</f>
        <v>-1.9065282685915009E-13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374.79806286316051</v>
      </c>
      <c r="T131" s="62">
        <f t="shared" si="88"/>
        <v>350.01856672839466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1.4711988181165814</v>
      </c>
      <c r="AB131" s="23">
        <f>EXP(-LN(2)/2)*AB130+(1-EXP(-LN(2)/2))/(LN(2)/2)*V131*Y131*VLOOKUP('Données projet'!$B$9,Paramètres!$A$1:$I$89,3,0)*0.475*44/12</f>
        <v>1.9553747140018169E-14</v>
      </c>
      <c r="AC131" s="24">
        <f t="shared" si="57"/>
        <v>1.4711988181166009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-1.7053025658242404E-13</v>
      </c>
      <c r="AJ131" s="14">
        <f>AI131*VLOOKUP('Données projet'!$B$10,Paramètres!$A$1:$I$89,3,0)*VLOOKUP('Données projet'!$B$10,Paramètres!$A$1:$I$89,5,0)</f>
        <v>-1.3567387213697657E-13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310.15624717801779</v>
      </c>
      <c r="AO131" s="62">
        <f t="shared" si="90"/>
        <v>294.28794439094889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3.813056537183002E-14</v>
      </c>
      <c r="BF131" s="14">
        <f t="shared" si="91"/>
        <v>6.4086286045526829E-13</v>
      </c>
      <c r="BG131" s="22">
        <f t="shared" si="61"/>
        <v>1.1825802166488628E-12</v>
      </c>
      <c r="BH131" s="62">
        <f t="shared" si="62"/>
        <v>293.33333333333451</v>
      </c>
      <c r="BI131" s="62">
        <f ca="1">AVERAGE(OFFSET($BH$3,0,0,'Données projet'!$E$11+1,1))-AVERAGE(OFFSET($H$3,0,0,'Données projet'!$E$11+1,1))</f>
        <v>261.34571165681393</v>
      </c>
      <c r="BJ131" s="62">
        <f t="shared" si="92"/>
        <v>207.9851454455669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-3.4106051316484809E-13</v>
      </c>
      <c r="O132" s="14">
        <f>N132*VLOOKUP('Données projet'!$B$9,Paramètres!$A$1:$I$89,3,0)*VLOOKUP('Données projet'!$B$9,Paramètres!$A$1:$I$89,5,0)</f>
        <v>-1.9065282685915009E-13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374.79806286316051</v>
      </c>
      <c r="T132" s="62">
        <f t="shared" si="88"/>
        <v>350.01856672839466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1.4309688090682</v>
      </c>
      <c r="AB132" s="23">
        <f>EXP(-LN(2)/2)*AB131+(1-EXP(-LN(2)/2))/(LN(2)/2)*V132*Y132*VLOOKUP('Données projet'!$B$9,Paramètres!$A$1:$I$89,3,0)*0.475*44/12</f>
        <v>1.3826587200313908E-14</v>
      </c>
      <c r="AC132" s="24">
        <f t="shared" ref="AC132:AC153" si="111">SUM(Z132:AB132)</f>
        <v>1.4309688090682138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-1.7053025658242404E-13</v>
      </c>
      <c r="AJ132" s="14">
        <f>AI132*VLOOKUP('Données projet'!$B$10,Paramètres!$A$1:$I$89,3,0)*VLOOKUP('Données projet'!$B$10,Paramètres!$A$1:$I$89,5,0)</f>
        <v>-1.3567387213697657E-13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310.15624717801779</v>
      </c>
      <c r="AO132" s="62">
        <f t="shared" si="90"/>
        <v>294.28794439094889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3.813056537183002E-14</v>
      </c>
      <c r="BF132" s="14">
        <f t="shared" si="91"/>
        <v>6.4086286045526829E-13</v>
      </c>
      <c r="BG132" s="22">
        <f t="shared" ref="BG132:BG153" si="115">(BE132+BF132)*0.475*44/12</f>
        <v>1.1825802166488628E-12</v>
      </c>
      <c r="BH132" s="62">
        <f t="shared" ref="BH132:BH195" si="116">BG132+(AY132+AZ132)*44/12</f>
        <v>293.33333333333451</v>
      </c>
      <c r="BI132" s="62">
        <f ca="1">AVERAGE(OFFSET($BH$3,0,0,'Données projet'!$E$11+1,1))-AVERAGE(OFFSET($H$3,0,0,'Données projet'!$E$11+1,1))</f>
        <v>261.34571165681393</v>
      </c>
      <c r="BJ132" s="62">
        <f t="shared" si="92"/>
        <v>207.9851454455669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-3.4106051316484809E-13</v>
      </c>
      <c r="O133" s="14">
        <f>N133*VLOOKUP('Données projet'!$B$9,Paramètres!$A$1:$I$89,3,0)*VLOOKUP('Données projet'!$B$9,Paramètres!$A$1:$I$89,5,0)</f>
        <v>-1.9065282685915009E-13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374.79806286316051</v>
      </c>
      <c r="T133" s="62">
        <f t="shared" ref="T133:T196" si="142">$T$3</f>
        <v>350.01856672839466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1.391838891732851</v>
      </c>
      <c r="AB133" s="23">
        <f>EXP(-LN(2)/2)*AB132+(1-EXP(-LN(2)/2))/(LN(2)/2)*V133*Y133*VLOOKUP('Données projet'!$B$9,Paramètres!$A$1:$I$89,3,0)*0.475*44/12</f>
        <v>9.7768735700090861E-15</v>
      </c>
      <c r="AC133" s="24">
        <f t="shared" si="111"/>
        <v>1.3918388917328608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-1.7053025658242404E-13</v>
      </c>
      <c r="AJ133" s="14">
        <f>AI133*VLOOKUP('Données projet'!$B$10,Paramètres!$A$1:$I$89,3,0)*VLOOKUP('Données projet'!$B$10,Paramètres!$A$1:$I$89,5,0)</f>
        <v>-1.3567387213697657E-13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310.15624717801779</v>
      </c>
      <c r="AO133" s="62">
        <f t="shared" ref="AO133:AO196" si="144">$AO$3</f>
        <v>294.28794439094889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3.813056537183002E-14</v>
      </c>
      <c r="BF133" s="14">
        <f t="shared" ref="BF133:BF153" si="145">EXP(-1.0587+0.8836*LN(BE133)+0.284)</f>
        <v>6.4086286045526829E-13</v>
      </c>
      <c r="BG133" s="22">
        <f t="shared" si="115"/>
        <v>1.1825802166488628E-12</v>
      </c>
      <c r="BH133" s="62">
        <f t="shared" si="116"/>
        <v>293.33333333333451</v>
      </c>
      <c r="BI133" s="62">
        <f ca="1">AVERAGE(OFFSET($BH$3,0,0,'Données projet'!$E$11+1,1))-AVERAGE(OFFSET($H$3,0,0,'Données projet'!$E$11+1,1))</f>
        <v>261.34571165681393</v>
      </c>
      <c r="BJ133" s="62">
        <f t="shared" ref="BJ133:BJ196" si="146">$BJ$3</f>
        <v>207.9851454455669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-3.4106051316484809E-13</v>
      </c>
      <c r="O134" s="14">
        <f>N134*VLOOKUP('Données projet'!$B$9,Paramètres!$A$1:$I$89,3,0)*VLOOKUP('Données projet'!$B$9,Paramètres!$A$1:$I$89,5,0)</f>
        <v>-1.9065282685915009E-13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374.79806286316051</v>
      </c>
      <c r="T134" s="62">
        <f t="shared" si="142"/>
        <v>350.01856672839466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1.35377898404479</v>
      </c>
      <c r="AB134" s="23">
        <f>EXP(-LN(2)/2)*AB133+(1-EXP(-LN(2)/2))/(LN(2)/2)*V134*Y134*VLOOKUP('Données projet'!$B$9,Paramètres!$A$1:$I$89,3,0)*0.475*44/12</f>
        <v>6.913293600156955E-15</v>
      </c>
      <c r="AC134" s="24">
        <f t="shared" si="111"/>
        <v>1.3537789840447969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-1.7053025658242404E-13</v>
      </c>
      <c r="AJ134" s="14">
        <f>AI134*VLOOKUP('Données projet'!$B$10,Paramètres!$A$1:$I$89,3,0)*VLOOKUP('Données projet'!$B$10,Paramètres!$A$1:$I$89,5,0)</f>
        <v>-1.3567387213697657E-13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310.15624717801779</v>
      </c>
      <c r="AO134" s="62">
        <f t="shared" si="144"/>
        <v>294.28794439094889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3.813056537183002E-14</v>
      </c>
      <c r="BF134" s="14">
        <f t="shared" si="145"/>
        <v>6.4086286045526829E-13</v>
      </c>
      <c r="BG134" s="22">
        <f t="shared" si="115"/>
        <v>1.1825802166488628E-12</v>
      </c>
      <c r="BH134" s="62">
        <f t="shared" si="116"/>
        <v>293.33333333333451</v>
      </c>
      <c r="BI134" s="62">
        <f ca="1">AVERAGE(OFFSET($BH$3,0,0,'Données projet'!$E$11+1,1))-AVERAGE(OFFSET($H$3,0,0,'Données projet'!$E$11+1,1))</f>
        <v>261.34571165681393</v>
      </c>
      <c r="BJ134" s="62">
        <f t="shared" si="146"/>
        <v>207.9851454455669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-3.4106051316484809E-13</v>
      </c>
      <c r="O135" s="14">
        <f>N135*VLOOKUP('Données projet'!$B$9,Paramètres!$A$1:$I$89,3,0)*VLOOKUP('Données projet'!$B$9,Paramètres!$A$1:$I$89,5,0)</f>
        <v>-1.9065282685915009E-13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374.79806286316051</v>
      </c>
      <c r="T135" s="62">
        <f t="shared" si="142"/>
        <v>350.01856672839466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1.3167598265339426</v>
      </c>
      <c r="AB135" s="23">
        <f>EXP(-LN(2)/2)*AB134+(1-EXP(-LN(2)/2))/(LN(2)/2)*V135*Y135*VLOOKUP('Données projet'!$B$9,Paramètres!$A$1:$I$89,3,0)*0.475*44/12</f>
        <v>4.8884367850045438E-15</v>
      </c>
      <c r="AC135" s="24">
        <f t="shared" si="111"/>
        <v>1.3167598265339475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-1.7053025658242404E-13</v>
      </c>
      <c r="AJ135" s="14">
        <f>AI135*VLOOKUP('Données projet'!$B$10,Paramètres!$A$1:$I$89,3,0)*VLOOKUP('Données projet'!$B$10,Paramètres!$A$1:$I$89,5,0)</f>
        <v>-1.3567387213697657E-13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310.15624717801779</v>
      </c>
      <c r="AO135" s="62">
        <f t="shared" si="144"/>
        <v>294.28794439094889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3.813056537183002E-14</v>
      </c>
      <c r="BF135" s="14">
        <f t="shared" si="145"/>
        <v>6.4086286045526829E-13</v>
      </c>
      <c r="BG135" s="22">
        <f t="shared" si="115"/>
        <v>1.1825802166488628E-12</v>
      </c>
      <c r="BH135" s="62">
        <f t="shared" si="116"/>
        <v>293.33333333333451</v>
      </c>
      <c r="BI135" s="62">
        <f ca="1">AVERAGE(OFFSET($BH$3,0,0,'Données projet'!$E$11+1,1))-AVERAGE(OFFSET($H$3,0,0,'Données projet'!$E$11+1,1))</f>
        <v>261.34571165681393</v>
      </c>
      <c r="BJ135" s="62">
        <f t="shared" si="146"/>
        <v>207.9851454455669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-3.4106051316484809E-13</v>
      </c>
      <c r="O136" s="14">
        <f>N136*VLOOKUP('Données projet'!$B$9,Paramètres!$A$1:$I$89,3,0)*VLOOKUP('Données projet'!$B$9,Paramètres!$A$1:$I$89,5,0)</f>
        <v>-1.9065282685915009E-13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374.79806286316051</v>
      </c>
      <c r="T136" s="62">
        <f t="shared" si="142"/>
        <v>350.01856672839466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1.2807529598319822</v>
      </c>
      <c r="AB136" s="23">
        <f>EXP(-LN(2)/2)*AB135+(1-EXP(-LN(2)/2))/(LN(2)/2)*V136*Y136*VLOOKUP('Données projet'!$B$9,Paramètres!$A$1:$I$89,3,0)*0.475*44/12</f>
        <v>3.4566468000784779E-15</v>
      </c>
      <c r="AC136" s="24">
        <f t="shared" si="111"/>
        <v>1.2807529598319858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-1.7053025658242404E-13</v>
      </c>
      <c r="AJ136" s="14">
        <f>AI136*VLOOKUP('Données projet'!$B$10,Paramètres!$A$1:$I$89,3,0)*VLOOKUP('Données projet'!$B$10,Paramètres!$A$1:$I$89,5,0)</f>
        <v>-1.3567387213697657E-13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310.15624717801779</v>
      </c>
      <c r="AO136" s="62">
        <f t="shared" si="144"/>
        <v>294.28794439094889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3.813056537183002E-14</v>
      </c>
      <c r="BF136" s="14">
        <f t="shared" si="145"/>
        <v>6.4086286045526829E-13</v>
      </c>
      <c r="BG136" s="22">
        <f t="shared" si="115"/>
        <v>1.1825802166488628E-12</v>
      </c>
      <c r="BH136" s="62">
        <f t="shared" si="116"/>
        <v>293.33333333333451</v>
      </c>
      <c r="BI136" s="62">
        <f ca="1">AVERAGE(OFFSET($BH$3,0,0,'Données projet'!$E$11+1,1))-AVERAGE(OFFSET($H$3,0,0,'Données projet'!$E$11+1,1))</f>
        <v>261.34571165681393</v>
      </c>
      <c r="BJ136" s="62">
        <f t="shared" si="146"/>
        <v>207.9851454455669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-3.4106051316484809E-13</v>
      </c>
      <c r="O137" s="14">
        <f>N137*VLOOKUP('Données projet'!$B$9,Paramètres!$A$1:$I$89,3,0)*VLOOKUP('Données projet'!$B$9,Paramètres!$A$1:$I$89,5,0)</f>
        <v>-1.9065282685915009E-13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374.79806286316051</v>
      </c>
      <c r="T137" s="62">
        <f t="shared" si="142"/>
        <v>350.01856672839466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1.2457307027935056</v>
      </c>
      <c r="AB137" s="23">
        <f>EXP(-LN(2)/2)*AB136+(1-EXP(-LN(2)/2))/(LN(2)/2)*V137*Y137*VLOOKUP('Données projet'!$B$9,Paramètres!$A$1:$I$89,3,0)*0.475*44/12</f>
        <v>2.4442183925022723E-15</v>
      </c>
      <c r="AC137" s="24">
        <f t="shared" si="111"/>
        <v>1.2457307027935081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-1.7053025658242404E-13</v>
      </c>
      <c r="AJ137" s="14">
        <f>AI137*VLOOKUP('Données projet'!$B$10,Paramètres!$A$1:$I$89,3,0)*VLOOKUP('Données projet'!$B$10,Paramètres!$A$1:$I$89,5,0)</f>
        <v>-1.3567387213697657E-13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310.15624717801779</v>
      </c>
      <c r="AO137" s="62">
        <f t="shared" si="144"/>
        <v>294.28794439094889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3.813056537183002E-14</v>
      </c>
      <c r="BF137" s="14">
        <f t="shared" si="145"/>
        <v>6.4086286045526829E-13</v>
      </c>
      <c r="BG137" s="22">
        <f t="shared" si="115"/>
        <v>1.1825802166488628E-12</v>
      </c>
      <c r="BH137" s="62">
        <f t="shared" si="116"/>
        <v>293.33333333333451</v>
      </c>
      <c r="BI137" s="62">
        <f ca="1">AVERAGE(OFFSET($BH$3,0,0,'Données projet'!$E$11+1,1))-AVERAGE(OFFSET($H$3,0,0,'Données projet'!$E$11+1,1))</f>
        <v>261.34571165681393</v>
      </c>
      <c r="BJ137" s="62">
        <f t="shared" si="146"/>
        <v>207.9851454455669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-3.4106051316484809E-13</v>
      </c>
      <c r="O138" s="14">
        <f>N138*VLOOKUP('Données projet'!$B$9,Paramètres!$A$1:$I$89,3,0)*VLOOKUP('Données projet'!$B$9,Paramètres!$A$1:$I$89,5,0)</f>
        <v>-1.9065282685915009E-13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374.79806286316051</v>
      </c>
      <c r="T138" s="62">
        <f t="shared" si="142"/>
        <v>350.01856672839466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1.2116661312154866</v>
      </c>
      <c r="AB138" s="23">
        <f>EXP(-LN(2)/2)*AB137+(1-EXP(-LN(2)/2))/(LN(2)/2)*V138*Y138*VLOOKUP('Données projet'!$B$9,Paramètres!$A$1:$I$89,3,0)*0.475*44/12</f>
        <v>1.7283234000392393E-15</v>
      </c>
      <c r="AC138" s="24">
        <f t="shared" si="111"/>
        <v>1.2116661312154884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-1.7053025658242404E-13</v>
      </c>
      <c r="AJ138" s="14">
        <f>AI138*VLOOKUP('Données projet'!$B$10,Paramètres!$A$1:$I$89,3,0)*VLOOKUP('Données projet'!$B$10,Paramètres!$A$1:$I$89,5,0)</f>
        <v>-1.3567387213697657E-13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310.15624717801779</v>
      </c>
      <c r="AO138" s="62">
        <f t="shared" si="144"/>
        <v>294.28794439094889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3.813056537183002E-14</v>
      </c>
      <c r="BF138" s="14">
        <f t="shared" si="145"/>
        <v>6.4086286045526829E-13</v>
      </c>
      <c r="BG138" s="22">
        <f t="shared" si="115"/>
        <v>1.1825802166488628E-12</v>
      </c>
      <c r="BH138" s="62">
        <f t="shared" si="116"/>
        <v>293.33333333333451</v>
      </c>
      <c r="BI138" s="62">
        <f ca="1">AVERAGE(OFFSET($BH$3,0,0,'Données projet'!$E$11+1,1))-AVERAGE(OFFSET($H$3,0,0,'Données projet'!$E$11+1,1))</f>
        <v>261.34571165681393</v>
      </c>
      <c r="BJ138" s="62">
        <f t="shared" si="146"/>
        <v>207.9851454455669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-3.4106051316484809E-13</v>
      </c>
      <c r="O139" s="14">
        <f>N139*VLOOKUP('Données projet'!$B$9,Paramètres!$A$1:$I$89,3,0)*VLOOKUP('Données projet'!$B$9,Paramètres!$A$1:$I$89,5,0)</f>
        <v>-1.9065282685915009E-13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374.79806286316051</v>
      </c>
      <c r="T139" s="62">
        <f t="shared" si="142"/>
        <v>350.01856672839466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1.1785330571386465</v>
      </c>
      <c r="AB139" s="23">
        <f>EXP(-LN(2)/2)*AB138+(1-EXP(-LN(2)/2))/(LN(2)/2)*V139*Y139*VLOOKUP('Données projet'!$B$9,Paramètres!$A$1:$I$89,3,0)*0.475*44/12</f>
        <v>1.2221091962511364E-15</v>
      </c>
      <c r="AC139" s="24">
        <f t="shared" si="111"/>
        <v>1.1785330571386479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-1.7053025658242404E-13</v>
      </c>
      <c r="AJ139" s="14">
        <f>AI139*VLOOKUP('Données projet'!$B$10,Paramètres!$A$1:$I$89,3,0)*VLOOKUP('Données projet'!$B$10,Paramètres!$A$1:$I$89,5,0)</f>
        <v>-1.3567387213697657E-13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310.15624717801779</v>
      </c>
      <c r="AO139" s="62">
        <f t="shared" si="144"/>
        <v>294.28794439094889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3.813056537183002E-14</v>
      </c>
      <c r="BF139" s="14">
        <f t="shared" si="145"/>
        <v>6.4086286045526829E-13</v>
      </c>
      <c r="BG139" s="22">
        <f t="shared" si="115"/>
        <v>1.1825802166488628E-12</v>
      </c>
      <c r="BH139" s="62">
        <f t="shared" si="116"/>
        <v>293.33333333333451</v>
      </c>
      <c r="BI139" s="62">
        <f ca="1">AVERAGE(OFFSET($BH$3,0,0,'Données projet'!$E$11+1,1))-AVERAGE(OFFSET($H$3,0,0,'Données projet'!$E$11+1,1))</f>
        <v>261.34571165681393</v>
      </c>
      <c r="BJ139" s="62">
        <f t="shared" si="146"/>
        <v>207.9851454455669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-3.4106051316484809E-13</v>
      </c>
      <c r="O140" s="14">
        <f>N140*VLOOKUP('Données projet'!$B$9,Paramètres!$A$1:$I$89,3,0)*VLOOKUP('Données projet'!$B$9,Paramètres!$A$1:$I$89,5,0)</f>
        <v>-1.9065282685915009E-13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374.79806286316051</v>
      </c>
      <c r="T140" s="62">
        <f t="shared" si="142"/>
        <v>350.01856672839466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1.1463060087148302</v>
      </c>
      <c r="AB140" s="23">
        <f>EXP(-LN(2)/2)*AB139+(1-EXP(-LN(2)/2))/(LN(2)/2)*V140*Y140*VLOOKUP('Données projet'!$B$9,Paramètres!$A$1:$I$89,3,0)*0.475*44/12</f>
        <v>8.6416170001961977E-16</v>
      </c>
      <c r="AC140" s="24">
        <f t="shared" si="111"/>
        <v>1.1463060087148311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-1.7053025658242404E-13</v>
      </c>
      <c r="AJ140" s="14">
        <f>AI140*VLOOKUP('Données projet'!$B$10,Paramètres!$A$1:$I$89,3,0)*VLOOKUP('Données projet'!$B$10,Paramètres!$A$1:$I$89,5,0)</f>
        <v>-1.3567387213697657E-13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310.15624717801779</v>
      </c>
      <c r="AO140" s="62">
        <f t="shared" si="144"/>
        <v>294.28794439094889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3.813056537183002E-14</v>
      </c>
      <c r="BF140" s="14">
        <f t="shared" si="145"/>
        <v>6.4086286045526829E-13</v>
      </c>
      <c r="BG140" s="22">
        <f t="shared" si="115"/>
        <v>1.1825802166488628E-12</v>
      </c>
      <c r="BH140" s="62">
        <f t="shared" si="116"/>
        <v>293.33333333333451</v>
      </c>
      <c r="BI140" s="62">
        <f ca="1">AVERAGE(OFFSET($BH$3,0,0,'Données projet'!$E$11+1,1))-AVERAGE(OFFSET($H$3,0,0,'Données projet'!$E$11+1,1))</f>
        <v>261.34571165681393</v>
      </c>
      <c r="BJ140" s="62">
        <f t="shared" si="146"/>
        <v>207.9851454455669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-3.4106051316484809E-13</v>
      </c>
      <c r="O141" s="14">
        <f>N141*VLOOKUP('Données projet'!$B$9,Paramètres!$A$1:$I$89,3,0)*VLOOKUP('Données projet'!$B$9,Paramètres!$A$1:$I$89,5,0)</f>
        <v>-1.9065282685915009E-13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374.79806286316051</v>
      </c>
      <c r="T141" s="62">
        <f t="shared" si="142"/>
        <v>350.01856672839466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1.1149602106249101</v>
      </c>
      <c r="AB141" s="23">
        <f>EXP(-LN(2)/2)*AB140+(1-EXP(-LN(2)/2))/(LN(2)/2)*V141*Y141*VLOOKUP('Données projet'!$B$9,Paramètres!$A$1:$I$89,3,0)*0.475*44/12</f>
        <v>6.1105459812556828E-16</v>
      </c>
      <c r="AC141" s="24">
        <f t="shared" si="111"/>
        <v>1.1149602106249108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-1.7053025658242404E-13</v>
      </c>
      <c r="AJ141" s="14">
        <f>AI141*VLOOKUP('Données projet'!$B$10,Paramètres!$A$1:$I$89,3,0)*VLOOKUP('Données projet'!$B$10,Paramètres!$A$1:$I$89,5,0)</f>
        <v>-1.3567387213697657E-13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310.15624717801779</v>
      </c>
      <c r="AO141" s="62">
        <f t="shared" si="144"/>
        <v>294.28794439094889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3.813056537183002E-14</v>
      </c>
      <c r="BF141" s="14">
        <f t="shared" si="145"/>
        <v>6.4086286045526829E-13</v>
      </c>
      <c r="BG141" s="22">
        <f t="shared" si="115"/>
        <v>1.1825802166488628E-12</v>
      </c>
      <c r="BH141" s="62">
        <f t="shared" si="116"/>
        <v>293.33333333333451</v>
      </c>
      <c r="BI141" s="62">
        <f ca="1">AVERAGE(OFFSET($BH$3,0,0,'Données projet'!$E$11+1,1))-AVERAGE(OFFSET($H$3,0,0,'Données projet'!$E$11+1,1))</f>
        <v>261.34571165681393</v>
      </c>
      <c r="BJ141" s="62">
        <f t="shared" si="146"/>
        <v>207.9851454455669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-3.4106051316484809E-13</v>
      </c>
      <c r="O142" s="14">
        <f>N142*VLOOKUP('Données projet'!$B$9,Paramètres!$A$1:$I$89,3,0)*VLOOKUP('Données projet'!$B$9,Paramètres!$A$1:$I$89,5,0)</f>
        <v>-1.9065282685915009E-13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374.79806286316051</v>
      </c>
      <c r="T142" s="62">
        <f t="shared" si="142"/>
        <v>350.01856672839466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1.0844715650321628</v>
      </c>
      <c r="AB142" s="23">
        <f>EXP(-LN(2)/2)*AB141+(1-EXP(-LN(2)/2))/(LN(2)/2)*V142*Y142*VLOOKUP('Données projet'!$B$9,Paramètres!$A$1:$I$89,3,0)*0.475*44/12</f>
        <v>4.3208085000980999E-16</v>
      </c>
      <c r="AC142" s="24">
        <f t="shared" si="111"/>
        <v>1.0844715650321632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-1.7053025658242404E-13</v>
      </c>
      <c r="AJ142" s="14">
        <f>AI142*VLOOKUP('Données projet'!$B$10,Paramètres!$A$1:$I$89,3,0)*VLOOKUP('Données projet'!$B$10,Paramètres!$A$1:$I$89,5,0)</f>
        <v>-1.3567387213697657E-13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310.15624717801779</v>
      </c>
      <c r="AO142" s="62">
        <f t="shared" si="144"/>
        <v>294.28794439094889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3.813056537183002E-14</v>
      </c>
      <c r="BF142" s="14">
        <f t="shared" si="145"/>
        <v>6.4086286045526829E-13</v>
      </c>
      <c r="BG142" s="22">
        <f t="shared" si="115"/>
        <v>1.1825802166488628E-12</v>
      </c>
      <c r="BH142" s="62">
        <f t="shared" si="116"/>
        <v>293.33333333333451</v>
      </c>
      <c r="BI142" s="62">
        <f ca="1">AVERAGE(OFFSET($BH$3,0,0,'Données projet'!$E$11+1,1))-AVERAGE(OFFSET($H$3,0,0,'Données projet'!$E$11+1,1))</f>
        <v>261.34571165681393</v>
      </c>
      <c r="BJ142" s="62">
        <f t="shared" si="146"/>
        <v>207.9851454455669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-3.4106051316484809E-13</v>
      </c>
      <c r="O143" s="14">
        <f>N143*VLOOKUP('Données projet'!$B$9,Paramètres!$A$1:$I$89,3,0)*VLOOKUP('Données projet'!$B$9,Paramètres!$A$1:$I$89,5,0)</f>
        <v>-1.9065282685915009E-13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374.79806286316051</v>
      </c>
      <c r="T143" s="62">
        <f t="shared" si="142"/>
        <v>350.01856672839466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1.0548166330564772</v>
      </c>
      <c r="AB143" s="23">
        <f>EXP(-LN(2)/2)*AB142+(1-EXP(-LN(2)/2))/(LN(2)/2)*V143*Y143*VLOOKUP('Données projet'!$B$9,Paramètres!$A$1:$I$89,3,0)*0.475*44/12</f>
        <v>3.0552729906278419E-16</v>
      </c>
      <c r="AC143" s="24">
        <f t="shared" si="111"/>
        <v>1.0548166330564774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-1.7053025658242404E-13</v>
      </c>
      <c r="AJ143" s="14">
        <f>AI143*VLOOKUP('Données projet'!$B$10,Paramètres!$A$1:$I$89,3,0)*VLOOKUP('Données projet'!$B$10,Paramètres!$A$1:$I$89,5,0)</f>
        <v>-1.3567387213697657E-13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310.15624717801779</v>
      </c>
      <c r="AO143" s="62">
        <f t="shared" si="144"/>
        <v>294.28794439094889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3.813056537183002E-14</v>
      </c>
      <c r="BF143" s="14">
        <f t="shared" si="145"/>
        <v>6.4086286045526829E-13</v>
      </c>
      <c r="BG143" s="22">
        <f t="shared" si="115"/>
        <v>1.1825802166488628E-12</v>
      </c>
      <c r="BH143" s="62">
        <f t="shared" si="116"/>
        <v>293.33333333333451</v>
      </c>
      <c r="BI143" s="62">
        <f ca="1">AVERAGE(OFFSET($BH$3,0,0,'Données projet'!$E$11+1,1))-AVERAGE(OFFSET($H$3,0,0,'Données projet'!$E$11+1,1))</f>
        <v>261.34571165681393</v>
      </c>
      <c r="BJ143" s="62">
        <f t="shared" si="146"/>
        <v>207.9851454455669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-3.4106051316484809E-13</v>
      </c>
      <c r="O144" s="14">
        <f>N144*VLOOKUP('Données projet'!$B$9,Paramètres!$A$1:$I$89,3,0)*VLOOKUP('Données projet'!$B$9,Paramètres!$A$1:$I$89,5,0)</f>
        <v>-1.9065282685915009E-13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374.79806286316051</v>
      </c>
      <c r="T144" s="62">
        <f t="shared" si="142"/>
        <v>350.01856672839466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1.0259726167551519</v>
      </c>
      <c r="AB144" s="23">
        <f>EXP(-LN(2)/2)*AB143+(1-EXP(-LN(2)/2))/(LN(2)/2)*V144*Y144*VLOOKUP('Données projet'!$B$9,Paramètres!$A$1:$I$89,3,0)*0.475*44/12</f>
        <v>2.1604042500490502E-16</v>
      </c>
      <c r="AC144" s="24">
        <f t="shared" si="111"/>
        <v>1.0259726167551522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-1.7053025658242404E-13</v>
      </c>
      <c r="AJ144" s="14">
        <f>AI144*VLOOKUP('Données projet'!$B$10,Paramètres!$A$1:$I$89,3,0)*VLOOKUP('Données projet'!$B$10,Paramètres!$A$1:$I$89,5,0)</f>
        <v>-1.3567387213697657E-13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310.15624717801779</v>
      </c>
      <c r="AO144" s="62">
        <f t="shared" si="144"/>
        <v>294.28794439094889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3.813056537183002E-14</v>
      </c>
      <c r="BF144" s="14">
        <f t="shared" si="145"/>
        <v>6.4086286045526829E-13</v>
      </c>
      <c r="BG144" s="22">
        <f t="shared" si="115"/>
        <v>1.1825802166488628E-12</v>
      </c>
      <c r="BH144" s="62">
        <f t="shared" si="116"/>
        <v>293.33333333333451</v>
      </c>
      <c r="BI144" s="62">
        <f ca="1">AVERAGE(OFFSET($BH$3,0,0,'Données projet'!$E$11+1,1))-AVERAGE(OFFSET($H$3,0,0,'Données projet'!$E$11+1,1))</f>
        <v>261.34571165681393</v>
      </c>
      <c r="BJ144" s="62">
        <f t="shared" si="146"/>
        <v>207.9851454455669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-3.4106051316484809E-13</v>
      </c>
      <c r="O145" s="14">
        <f>N145*VLOOKUP('Données projet'!$B$9,Paramètres!$A$1:$I$89,3,0)*VLOOKUP('Données projet'!$B$9,Paramètres!$A$1:$I$89,5,0)</f>
        <v>-1.9065282685915009E-13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374.79806286316051</v>
      </c>
      <c r="T145" s="62">
        <f t="shared" si="142"/>
        <v>350.01856672839466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0.99791734159642731</v>
      </c>
      <c r="AB145" s="23">
        <f>EXP(-LN(2)/2)*AB144+(1-EXP(-LN(2)/2))/(LN(2)/2)*V145*Y145*VLOOKUP('Données projet'!$B$9,Paramètres!$A$1:$I$89,3,0)*0.475*44/12</f>
        <v>1.5276364953139212E-16</v>
      </c>
      <c r="AC145" s="24">
        <f t="shared" si="111"/>
        <v>0.99791734159642742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-1.7053025658242404E-13</v>
      </c>
      <c r="AJ145" s="14">
        <f>AI145*VLOOKUP('Données projet'!$B$10,Paramètres!$A$1:$I$89,3,0)*VLOOKUP('Données projet'!$B$10,Paramètres!$A$1:$I$89,5,0)</f>
        <v>-1.3567387213697657E-13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310.15624717801779</v>
      </c>
      <c r="AO145" s="62">
        <f t="shared" si="144"/>
        <v>294.28794439094889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3.813056537183002E-14</v>
      </c>
      <c r="BF145" s="14">
        <f t="shared" si="145"/>
        <v>6.4086286045526829E-13</v>
      </c>
      <c r="BG145" s="22">
        <f t="shared" si="115"/>
        <v>1.1825802166488628E-12</v>
      </c>
      <c r="BH145" s="62">
        <f t="shared" si="116"/>
        <v>293.33333333333451</v>
      </c>
      <c r="BI145" s="62">
        <f ca="1">AVERAGE(OFFSET($BH$3,0,0,'Données projet'!$E$11+1,1))-AVERAGE(OFFSET($H$3,0,0,'Données projet'!$E$11+1,1))</f>
        <v>261.34571165681393</v>
      </c>
      <c r="BJ145" s="62">
        <f t="shared" si="146"/>
        <v>207.9851454455669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-3.4106051316484809E-13</v>
      </c>
      <c r="O146" s="14">
        <f>N146*VLOOKUP('Données projet'!$B$9,Paramètres!$A$1:$I$89,3,0)*VLOOKUP('Données projet'!$B$9,Paramètres!$A$1:$I$89,5,0)</f>
        <v>-1.9065282685915009E-13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374.79806286316051</v>
      </c>
      <c r="T146" s="62">
        <f t="shared" si="142"/>
        <v>350.01856672839466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0.97062923941228074</v>
      </c>
      <c r="AB146" s="23">
        <f>EXP(-LN(2)/2)*AB145+(1-EXP(-LN(2)/2))/(LN(2)/2)*V146*Y146*VLOOKUP('Données projet'!$B$9,Paramètres!$A$1:$I$89,3,0)*0.475*44/12</f>
        <v>1.0802021250245253E-16</v>
      </c>
      <c r="AC146" s="24">
        <f t="shared" si="111"/>
        <v>0.97062923941228085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-1.7053025658242404E-13</v>
      </c>
      <c r="AJ146" s="14">
        <f>AI146*VLOOKUP('Données projet'!$B$10,Paramètres!$A$1:$I$89,3,0)*VLOOKUP('Données projet'!$B$10,Paramètres!$A$1:$I$89,5,0)</f>
        <v>-1.3567387213697657E-13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310.15624717801779</v>
      </c>
      <c r="AO146" s="62">
        <f t="shared" si="144"/>
        <v>294.28794439094889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3.813056537183002E-14</v>
      </c>
      <c r="BF146" s="14">
        <f t="shared" si="145"/>
        <v>6.4086286045526829E-13</v>
      </c>
      <c r="BG146" s="22">
        <f t="shared" si="115"/>
        <v>1.1825802166488628E-12</v>
      </c>
      <c r="BH146" s="62">
        <f t="shared" si="116"/>
        <v>293.33333333333451</v>
      </c>
      <c r="BI146" s="62">
        <f ca="1">AVERAGE(OFFSET($BH$3,0,0,'Données projet'!$E$11+1,1))-AVERAGE(OFFSET($H$3,0,0,'Données projet'!$E$11+1,1))</f>
        <v>261.34571165681393</v>
      </c>
      <c r="BJ146" s="62">
        <f t="shared" si="146"/>
        <v>207.9851454455669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-3.4106051316484809E-13</v>
      </c>
      <c r="O147" s="14">
        <f>N147*VLOOKUP('Données projet'!$B$9,Paramètres!$A$1:$I$89,3,0)*VLOOKUP('Données projet'!$B$9,Paramètres!$A$1:$I$89,5,0)</f>
        <v>-1.9065282685915009E-13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374.79806286316051</v>
      </c>
      <c r="T147" s="62">
        <f t="shared" si="142"/>
        <v>350.01856672839466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0.94408733181737858</v>
      </c>
      <c r="AB147" s="23">
        <f>EXP(-LN(2)/2)*AB146+(1-EXP(-LN(2)/2))/(LN(2)/2)*V147*Y147*VLOOKUP('Données projet'!$B$9,Paramètres!$A$1:$I$89,3,0)*0.475*44/12</f>
        <v>7.6381824765696071E-17</v>
      </c>
      <c r="AC147" s="24">
        <f t="shared" si="111"/>
        <v>0.94408733181737869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-1.7053025658242404E-13</v>
      </c>
      <c r="AJ147" s="14">
        <f>AI147*VLOOKUP('Données projet'!$B$10,Paramètres!$A$1:$I$89,3,0)*VLOOKUP('Données projet'!$B$10,Paramètres!$A$1:$I$89,5,0)</f>
        <v>-1.3567387213697657E-13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310.15624717801779</v>
      </c>
      <c r="AO147" s="62">
        <f t="shared" si="144"/>
        <v>294.28794439094889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3.813056537183002E-14</v>
      </c>
      <c r="BF147" s="14">
        <f t="shared" si="145"/>
        <v>6.4086286045526829E-13</v>
      </c>
      <c r="BG147" s="22">
        <f t="shared" si="115"/>
        <v>1.1825802166488628E-12</v>
      </c>
      <c r="BH147" s="62">
        <f t="shared" si="116"/>
        <v>293.33333333333451</v>
      </c>
      <c r="BI147" s="62">
        <f ca="1">AVERAGE(OFFSET($BH$3,0,0,'Données projet'!$E$11+1,1))-AVERAGE(OFFSET($H$3,0,0,'Données projet'!$E$11+1,1))</f>
        <v>261.34571165681393</v>
      </c>
      <c r="BJ147" s="62">
        <f t="shared" si="146"/>
        <v>207.9851454455669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-3.4106051316484809E-13</v>
      </c>
      <c r="O148" s="14">
        <f>N148*VLOOKUP('Données projet'!$B$9,Paramètres!$A$1:$I$89,3,0)*VLOOKUP('Données projet'!$B$9,Paramètres!$A$1:$I$89,5,0)</f>
        <v>-1.9065282685915009E-13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374.79806286316051</v>
      </c>
      <c r="T148" s="62">
        <f t="shared" si="142"/>
        <v>350.01856672839466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0.9182712140814373</v>
      </c>
      <c r="AB148" s="23">
        <f>EXP(-LN(2)/2)*AB147+(1-EXP(-LN(2)/2))/(LN(2)/2)*V148*Y148*VLOOKUP('Données projet'!$B$9,Paramètres!$A$1:$I$89,3,0)*0.475*44/12</f>
        <v>5.4010106251226273E-17</v>
      </c>
      <c r="AC148" s="24">
        <f t="shared" si="111"/>
        <v>0.9182712140814373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-1.7053025658242404E-13</v>
      </c>
      <c r="AJ148" s="14">
        <f>AI148*VLOOKUP('Données projet'!$B$10,Paramètres!$A$1:$I$89,3,0)*VLOOKUP('Données projet'!$B$10,Paramètres!$A$1:$I$89,5,0)</f>
        <v>-1.3567387213697657E-13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310.15624717801779</v>
      </c>
      <c r="AO148" s="62">
        <f t="shared" si="144"/>
        <v>294.28794439094889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3.813056537183002E-14</v>
      </c>
      <c r="BF148" s="14">
        <f t="shared" si="145"/>
        <v>6.4086286045526829E-13</v>
      </c>
      <c r="BG148" s="22">
        <f t="shared" si="115"/>
        <v>1.1825802166488628E-12</v>
      </c>
      <c r="BH148" s="62">
        <f t="shared" si="116"/>
        <v>293.33333333333451</v>
      </c>
      <c r="BI148" s="62">
        <f ca="1">AVERAGE(OFFSET($BH$3,0,0,'Données projet'!$E$11+1,1))-AVERAGE(OFFSET($H$3,0,0,'Données projet'!$E$11+1,1))</f>
        <v>261.34571165681393</v>
      </c>
      <c r="BJ148" s="62">
        <f t="shared" si="146"/>
        <v>207.9851454455669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-3.4106051316484809E-13</v>
      </c>
      <c r="O149" s="14">
        <f>N149*VLOOKUP('Données projet'!$B$9,Paramètres!$A$1:$I$89,3,0)*VLOOKUP('Données projet'!$B$9,Paramètres!$A$1:$I$89,5,0)</f>
        <v>-1.9065282685915009E-13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374.79806286316051</v>
      </c>
      <c r="T149" s="62">
        <f t="shared" si="142"/>
        <v>350.01856672839466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0.89316103944259595</v>
      </c>
      <c r="AB149" s="23">
        <f>EXP(-LN(2)/2)*AB148+(1-EXP(-LN(2)/2))/(LN(2)/2)*V149*Y149*VLOOKUP('Données projet'!$B$9,Paramètres!$A$1:$I$89,3,0)*0.475*44/12</f>
        <v>3.8190912382848042E-17</v>
      </c>
      <c r="AC149" s="24">
        <f t="shared" si="111"/>
        <v>0.89316103944259595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-1.7053025658242404E-13</v>
      </c>
      <c r="AJ149" s="14">
        <f>AI149*VLOOKUP('Données projet'!$B$10,Paramètres!$A$1:$I$89,3,0)*VLOOKUP('Données projet'!$B$10,Paramètres!$A$1:$I$89,5,0)</f>
        <v>-1.3567387213697657E-13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310.15624717801779</v>
      </c>
      <c r="AO149" s="62">
        <f t="shared" si="144"/>
        <v>294.28794439094889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3.813056537183002E-14</v>
      </c>
      <c r="BF149" s="14">
        <f t="shared" si="145"/>
        <v>6.4086286045526829E-13</v>
      </c>
      <c r="BG149" s="22">
        <f t="shared" si="115"/>
        <v>1.1825802166488628E-12</v>
      </c>
      <c r="BH149" s="62">
        <f t="shared" si="116"/>
        <v>293.33333333333451</v>
      </c>
      <c r="BI149" s="62">
        <f ca="1">AVERAGE(OFFSET($BH$3,0,0,'Données projet'!$E$11+1,1))-AVERAGE(OFFSET($H$3,0,0,'Données projet'!$E$11+1,1))</f>
        <v>261.34571165681393</v>
      </c>
      <c r="BJ149" s="62">
        <f t="shared" si="146"/>
        <v>207.9851454455669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-3.4106051316484809E-13</v>
      </c>
      <c r="O150" s="14">
        <f>N150*VLOOKUP('Données projet'!$B$9,Paramètres!$A$1:$I$89,3,0)*VLOOKUP('Données projet'!$B$9,Paramètres!$A$1:$I$89,5,0)</f>
        <v>-1.9065282685915009E-13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374.79806286316051</v>
      </c>
      <c r="T150" s="62">
        <f t="shared" si="142"/>
        <v>350.01856672839466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0.86873750384974047</v>
      </c>
      <c r="AB150" s="23">
        <f>EXP(-LN(2)/2)*AB149+(1-EXP(-LN(2)/2))/(LN(2)/2)*V150*Y150*VLOOKUP('Données projet'!$B$9,Paramètres!$A$1:$I$89,3,0)*0.475*44/12</f>
        <v>2.7005053125613139E-17</v>
      </c>
      <c r="AC150" s="24">
        <f t="shared" si="111"/>
        <v>0.86873750384974047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-1.7053025658242404E-13</v>
      </c>
      <c r="AJ150" s="14">
        <f>AI150*VLOOKUP('Données projet'!$B$10,Paramètres!$A$1:$I$89,3,0)*VLOOKUP('Données projet'!$B$10,Paramètres!$A$1:$I$89,5,0)</f>
        <v>-1.3567387213697657E-13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310.15624717801779</v>
      </c>
      <c r="AO150" s="62">
        <f t="shared" si="144"/>
        <v>294.28794439094889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3.813056537183002E-14</v>
      </c>
      <c r="BF150" s="14">
        <f t="shared" si="145"/>
        <v>6.4086286045526829E-13</v>
      </c>
      <c r="BG150" s="22">
        <f t="shared" si="115"/>
        <v>1.1825802166488628E-12</v>
      </c>
      <c r="BH150" s="62">
        <f t="shared" si="116"/>
        <v>293.33333333333451</v>
      </c>
      <c r="BI150" s="62">
        <f ca="1">AVERAGE(OFFSET($BH$3,0,0,'Données projet'!$E$11+1,1))-AVERAGE(OFFSET($H$3,0,0,'Données projet'!$E$11+1,1))</f>
        <v>261.34571165681393</v>
      </c>
      <c r="BJ150" s="62">
        <f t="shared" si="146"/>
        <v>207.9851454455669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-3.4106051316484809E-13</v>
      </c>
      <c r="O151" s="14">
        <f>N151*VLOOKUP('Données projet'!$B$9,Paramètres!$A$1:$I$89,3,0)*VLOOKUP('Données projet'!$B$9,Paramètres!$A$1:$I$89,5,0)</f>
        <v>-1.9065282685915009E-13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374.79806286316051</v>
      </c>
      <c r="T151" s="62">
        <f t="shared" si="142"/>
        <v>350.01856672839466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0.8449818311220495</v>
      </c>
      <c r="AB151" s="23">
        <f>EXP(-LN(2)/2)*AB150+(1-EXP(-LN(2)/2))/(LN(2)/2)*V151*Y151*VLOOKUP('Données projet'!$B$9,Paramètres!$A$1:$I$89,3,0)*0.475*44/12</f>
        <v>1.9095456191424024E-17</v>
      </c>
      <c r="AC151" s="24">
        <f t="shared" si="111"/>
        <v>0.8449818311220495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-1.7053025658242404E-13</v>
      </c>
      <c r="AJ151" s="14">
        <f>AI151*VLOOKUP('Données projet'!$B$10,Paramètres!$A$1:$I$89,3,0)*VLOOKUP('Données projet'!$B$10,Paramètres!$A$1:$I$89,5,0)</f>
        <v>-1.3567387213697657E-13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310.15624717801779</v>
      </c>
      <c r="AO151" s="62">
        <f t="shared" si="144"/>
        <v>294.28794439094889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3.813056537183002E-14</v>
      </c>
      <c r="BF151" s="14">
        <f t="shared" si="145"/>
        <v>6.4086286045526829E-13</v>
      </c>
      <c r="BG151" s="22">
        <f t="shared" si="115"/>
        <v>1.1825802166488628E-12</v>
      </c>
      <c r="BH151" s="62">
        <f t="shared" si="116"/>
        <v>293.33333333333451</v>
      </c>
      <c r="BI151" s="62">
        <f ca="1">AVERAGE(OFFSET($BH$3,0,0,'Données projet'!$E$11+1,1))-AVERAGE(OFFSET($H$3,0,0,'Données projet'!$E$11+1,1))</f>
        <v>261.34571165681393</v>
      </c>
      <c r="BJ151" s="62">
        <f t="shared" si="146"/>
        <v>207.9851454455669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-3.4106051316484809E-13</v>
      </c>
      <c r="O152" s="14">
        <f>N152*VLOOKUP('Données projet'!$B$9,Paramètres!$A$1:$I$89,3,0)*VLOOKUP('Données projet'!$B$9,Paramètres!$A$1:$I$89,5,0)</f>
        <v>-1.9065282685915009E-13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374.79806286316051</v>
      </c>
      <c r="T152" s="62">
        <f t="shared" si="142"/>
        <v>350.01856672839466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0.82187575851435379</v>
      </c>
      <c r="AB152" s="23">
        <f>EXP(-LN(2)/2)*AB151+(1-EXP(-LN(2)/2))/(LN(2)/2)*V152*Y152*VLOOKUP('Données projet'!$B$9,Paramètres!$A$1:$I$89,3,0)*0.475*44/12</f>
        <v>1.3502526562806573E-17</v>
      </c>
      <c r="AC152" s="24">
        <f t="shared" si="111"/>
        <v>0.82187575851435379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-1.7053025658242404E-13</v>
      </c>
      <c r="AJ152" s="14">
        <f>AI152*VLOOKUP('Données projet'!$B$10,Paramètres!$A$1:$I$89,3,0)*VLOOKUP('Données projet'!$B$10,Paramètres!$A$1:$I$89,5,0)</f>
        <v>-1.3567387213697657E-13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310.15624717801779</v>
      </c>
      <c r="AO152" s="62">
        <f t="shared" si="144"/>
        <v>294.28794439094889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3.813056537183002E-14</v>
      </c>
      <c r="BF152" s="14">
        <f t="shared" si="145"/>
        <v>6.4086286045526829E-13</v>
      </c>
      <c r="BG152" s="22">
        <f t="shared" si="115"/>
        <v>1.1825802166488628E-12</v>
      </c>
      <c r="BH152" s="62">
        <f t="shared" si="116"/>
        <v>293.33333333333451</v>
      </c>
      <c r="BI152" s="62">
        <f ca="1">AVERAGE(OFFSET($BH$3,0,0,'Données projet'!$E$11+1,1))-AVERAGE(OFFSET($H$3,0,0,'Données projet'!$E$11+1,1))</f>
        <v>261.34571165681393</v>
      </c>
      <c r="BJ152" s="62">
        <f t="shared" si="146"/>
        <v>207.9851454455669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-3.4106051316484809E-13</v>
      </c>
      <c r="O153" s="14">
        <f>N153*VLOOKUP('Données projet'!$B$9,Paramètres!$A$1:$I$89,3,0)*VLOOKUP('Données projet'!$B$9,Paramètres!$A$1:$I$89,5,0)</f>
        <v>-1.9065282685915009E-13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374.79806286316051</v>
      </c>
      <c r="T153" s="62">
        <f t="shared" si="142"/>
        <v>350.01856672839466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0.7994015226772111</v>
      </c>
      <c r="AB153" s="23">
        <f>EXP(-LN(2)/2)*AB152+(1-EXP(-LN(2)/2))/(LN(2)/2)*V153*Y153*VLOOKUP('Données projet'!$B$9,Paramètres!$A$1:$I$89,3,0)*0.475*44/12</f>
        <v>9.5477280957120135E-18</v>
      </c>
      <c r="AC153" s="24">
        <f t="shared" si="111"/>
        <v>0.7994015226772111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-1.7053025658242404E-13</v>
      </c>
      <c r="AJ153" s="14">
        <f>AI153*VLOOKUP('Données projet'!$B$10,Paramètres!$A$1:$I$89,3,0)*VLOOKUP('Données projet'!$B$10,Paramètres!$A$1:$I$89,5,0)</f>
        <v>-1.3567387213697657E-13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310.15624717801779</v>
      </c>
      <c r="AO153" s="62">
        <f t="shared" si="144"/>
        <v>294.28794439094889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3.813056537183002E-14</v>
      </c>
      <c r="BF153" s="14">
        <f t="shared" si="145"/>
        <v>6.4086286045526829E-13</v>
      </c>
      <c r="BG153" s="22">
        <f t="shared" si="115"/>
        <v>1.1825802166488628E-12</v>
      </c>
      <c r="BH153" s="62">
        <f t="shared" si="116"/>
        <v>293.33333333333451</v>
      </c>
      <c r="BI153" s="62">
        <f ca="1">AVERAGE(OFFSET($BH$3,0,0,'Données projet'!$E$11+1,1))-AVERAGE(OFFSET($H$3,0,0,'Données projet'!$E$11+1,1))</f>
        <v>261.34571165681393</v>
      </c>
      <c r="BJ153" s="62">
        <f t="shared" si="146"/>
        <v>207.9851454455669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-3.4106051316484809E-13</v>
      </c>
      <c r="O154" s="14">
        <f>N154*VLOOKUP('Données projet'!$B$9,Paramètres!$A$1:$I$89,3,0)*VLOOKUP('Données projet'!$B$9,Paramètres!$A$1:$I$89,5,0)</f>
        <v>-1.9065282685915009E-13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374.79806286316051</v>
      </c>
      <c r="T154" s="62">
        <f t="shared" si="142"/>
        <v>350.01856672839466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0.7775418460009037</v>
      </c>
      <c r="AB154" s="23">
        <f>EXP(-LN(2)/2)*AB153+(1-EXP(-LN(2)/2))/(LN(2)/2)*V154*Y154*VLOOKUP('Données projet'!$B$9,Paramètres!$A$1:$I$89,3,0)*0.475*44/12</f>
        <v>6.7512632814032872E-18</v>
      </c>
      <c r="AC154" s="24">
        <f t="shared" ref="AC154:AC203" si="163">SUM(Z154:AB154)</f>
        <v>0.7775418460009037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-1.7053025658242404E-13</v>
      </c>
      <c r="AJ154" s="14">
        <f>AI154*VLOOKUP('Données projet'!$B$10,Paramètres!$A$1:$I$89,3,0)*VLOOKUP('Données projet'!$B$10,Paramètres!$A$1:$I$89,5,0)</f>
        <v>-1.3567387213697657E-13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310.15624717801779</v>
      </c>
      <c r="AO154" s="62">
        <f t="shared" si="144"/>
        <v>294.28794439094889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3.813056537183002E-14</v>
      </c>
      <c r="BF154" s="14">
        <f t="shared" ref="BF154:BF203" si="167">EXP(-1.0587+0.8836*LN(BE154)+0.284)</f>
        <v>6.4086286045526829E-13</v>
      </c>
      <c r="BG154" s="22">
        <f t="shared" ref="BG154:BG203" si="168">(BE154+BF154)*0.475*44/12</f>
        <v>1.1825802166488628E-12</v>
      </c>
      <c r="BH154" s="62">
        <f t="shared" si="116"/>
        <v>293.33333333333451</v>
      </c>
      <c r="BI154" s="62">
        <f ca="1">AVERAGE(OFFSET($BH$3,0,0,'Données projet'!$E$11+1,1))-AVERAGE(OFFSET($H$3,0,0,'Données projet'!$E$11+1,1))</f>
        <v>261.34571165681393</v>
      </c>
      <c r="BJ154" s="62">
        <f t="shared" si="146"/>
        <v>207.9851454455669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-3.4106051316484809E-13</v>
      </c>
      <c r="O155" s="14">
        <f>N155*VLOOKUP('Données projet'!$B$9,Paramètres!$A$1:$I$89,3,0)*VLOOKUP('Données projet'!$B$9,Paramètres!$A$1:$I$89,5,0)</f>
        <v>-1.9065282685915009E-13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374.79806286316051</v>
      </c>
      <c r="T155" s="62">
        <f t="shared" si="142"/>
        <v>350.01856672839466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0.75627992333286043</v>
      </c>
      <c r="AB155" s="23">
        <f>EXP(-LN(2)/2)*AB154+(1-EXP(-LN(2)/2))/(LN(2)/2)*V155*Y155*VLOOKUP('Données projet'!$B$9,Paramètres!$A$1:$I$89,3,0)*0.475*44/12</f>
        <v>4.7738640478560075E-18</v>
      </c>
      <c r="AC155" s="24">
        <f t="shared" si="163"/>
        <v>0.75627992333286043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-1.7053025658242404E-13</v>
      </c>
      <c r="AJ155" s="14">
        <f>AI155*VLOOKUP('Données projet'!$B$10,Paramètres!$A$1:$I$89,3,0)*VLOOKUP('Données projet'!$B$10,Paramètres!$A$1:$I$89,5,0)</f>
        <v>-1.3567387213697657E-13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310.15624717801779</v>
      </c>
      <c r="AO155" s="62">
        <f t="shared" si="144"/>
        <v>294.28794439094889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3.813056537183002E-14</v>
      </c>
      <c r="BF155" s="14">
        <f t="shared" si="167"/>
        <v>6.4086286045526829E-13</v>
      </c>
      <c r="BG155" s="22">
        <f t="shared" si="168"/>
        <v>1.1825802166488628E-12</v>
      </c>
      <c r="BH155" s="62">
        <f t="shared" si="116"/>
        <v>293.33333333333451</v>
      </c>
      <c r="BI155" s="62">
        <f ca="1">AVERAGE(OFFSET($BH$3,0,0,'Données projet'!$E$11+1,1))-AVERAGE(OFFSET($H$3,0,0,'Données projet'!$E$11+1,1))</f>
        <v>261.34571165681393</v>
      </c>
      <c r="BJ155" s="62">
        <f t="shared" si="146"/>
        <v>207.9851454455669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-3.4106051316484809E-13</v>
      </c>
      <c r="O156" s="14">
        <f>N156*VLOOKUP('Données projet'!$B$9,Paramètres!$A$1:$I$89,3,0)*VLOOKUP('Données projet'!$B$9,Paramètres!$A$1:$I$89,5,0)</f>
        <v>-1.9065282685915009E-13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374.79806286316051</v>
      </c>
      <c r="T156" s="62">
        <f t="shared" si="142"/>
        <v>350.01856672839466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0.73559940905829069</v>
      </c>
      <c r="AB156" s="23">
        <f>EXP(-LN(2)/2)*AB155+(1-EXP(-LN(2)/2))/(LN(2)/2)*V156*Y156*VLOOKUP('Données projet'!$B$9,Paramètres!$A$1:$I$89,3,0)*0.475*44/12</f>
        <v>3.3756316407016444E-18</v>
      </c>
      <c r="AC156" s="24">
        <f t="shared" si="163"/>
        <v>0.73559940905829069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-1.7053025658242404E-13</v>
      </c>
      <c r="AJ156" s="14">
        <f>AI156*VLOOKUP('Données projet'!$B$10,Paramètres!$A$1:$I$89,3,0)*VLOOKUP('Données projet'!$B$10,Paramètres!$A$1:$I$89,5,0)</f>
        <v>-1.3567387213697657E-13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310.15624717801779</v>
      </c>
      <c r="AO156" s="62">
        <f t="shared" si="144"/>
        <v>294.28794439094889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3.813056537183002E-14</v>
      </c>
      <c r="BF156" s="14">
        <f t="shared" si="167"/>
        <v>6.4086286045526829E-13</v>
      </c>
      <c r="BG156" s="22">
        <f t="shared" si="168"/>
        <v>1.1825802166488628E-12</v>
      </c>
      <c r="BH156" s="62">
        <f t="shared" si="116"/>
        <v>293.33333333333451</v>
      </c>
      <c r="BI156" s="62">
        <f ca="1">AVERAGE(OFFSET($BH$3,0,0,'Données projet'!$E$11+1,1))-AVERAGE(OFFSET($H$3,0,0,'Données projet'!$E$11+1,1))</f>
        <v>261.34571165681393</v>
      </c>
      <c r="BJ156" s="62">
        <f t="shared" si="146"/>
        <v>207.9851454455669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-3.4106051316484809E-13</v>
      </c>
      <c r="O157" s="14">
        <f>N157*VLOOKUP('Données projet'!$B$9,Paramètres!$A$1:$I$89,3,0)*VLOOKUP('Données projet'!$B$9,Paramètres!$A$1:$I$89,5,0)</f>
        <v>-1.9065282685915009E-13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374.79806286316051</v>
      </c>
      <c r="T157" s="62">
        <f t="shared" si="142"/>
        <v>350.01856672839466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0.7154844045341</v>
      </c>
      <c r="AB157" s="23">
        <f>EXP(-LN(2)/2)*AB156+(1-EXP(-LN(2)/2))/(LN(2)/2)*V157*Y157*VLOOKUP('Données projet'!$B$9,Paramètres!$A$1:$I$89,3,0)*0.475*44/12</f>
        <v>2.3869320239280042E-18</v>
      </c>
      <c r="AC157" s="24">
        <f t="shared" si="163"/>
        <v>0.7154844045341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-1.7053025658242404E-13</v>
      </c>
      <c r="AJ157" s="14">
        <f>AI157*VLOOKUP('Données projet'!$B$10,Paramètres!$A$1:$I$89,3,0)*VLOOKUP('Données projet'!$B$10,Paramètres!$A$1:$I$89,5,0)</f>
        <v>-1.3567387213697657E-13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310.15624717801779</v>
      </c>
      <c r="AO157" s="62">
        <f t="shared" si="144"/>
        <v>294.28794439094889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3.813056537183002E-14</v>
      </c>
      <c r="BF157" s="14">
        <f t="shared" si="167"/>
        <v>6.4086286045526829E-13</v>
      </c>
      <c r="BG157" s="22">
        <f t="shared" si="168"/>
        <v>1.1825802166488628E-12</v>
      </c>
      <c r="BH157" s="62">
        <f t="shared" si="116"/>
        <v>293.33333333333451</v>
      </c>
      <c r="BI157" s="62">
        <f ca="1">AVERAGE(OFFSET($BH$3,0,0,'Données projet'!$E$11+1,1))-AVERAGE(OFFSET($H$3,0,0,'Données projet'!$E$11+1,1))</f>
        <v>261.34571165681393</v>
      </c>
      <c r="BJ157" s="62">
        <f t="shared" si="146"/>
        <v>207.9851454455669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-3.4106051316484809E-13</v>
      </c>
      <c r="O158" s="14">
        <f>N158*VLOOKUP('Données projet'!$B$9,Paramètres!$A$1:$I$89,3,0)*VLOOKUP('Données projet'!$B$9,Paramètres!$A$1:$I$89,5,0)</f>
        <v>-1.9065282685915009E-13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374.79806286316051</v>
      </c>
      <c r="T158" s="62">
        <f t="shared" si="142"/>
        <v>350.01856672839466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0.69591944586642551</v>
      </c>
      <c r="AB158" s="23">
        <f>EXP(-LN(2)/2)*AB157+(1-EXP(-LN(2)/2))/(LN(2)/2)*V158*Y158*VLOOKUP('Données projet'!$B$9,Paramètres!$A$1:$I$89,3,0)*0.475*44/12</f>
        <v>1.6878158203508224E-18</v>
      </c>
      <c r="AC158" s="24">
        <f t="shared" si="163"/>
        <v>0.69591944586642551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-1.7053025658242404E-13</v>
      </c>
      <c r="AJ158" s="14">
        <f>AI158*VLOOKUP('Données projet'!$B$10,Paramètres!$A$1:$I$89,3,0)*VLOOKUP('Données projet'!$B$10,Paramètres!$A$1:$I$89,5,0)</f>
        <v>-1.3567387213697657E-13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310.15624717801779</v>
      </c>
      <c r="AO158" s="62">
        <f t="shared" si="144"/>
        <v>294.28794439094889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3.813056537183002E-14</v>
      </c>
      <c r="BF158" s="14">
        <f t="shared" si="167"/>
        <v>6.4086286045526829E-13</v>
      </c>
      <c r="BG158" s="22">
        <f t="shared" si="168"/>
        <v>1.1825802166488628E-12</v>
      </c>
      <c r="BH158" s="62">
        <f t="shared" si="116"/>
        <v>293.33333333333451</v>
      </c>
      <c r="BI158" s="62">
        <f ca="1">AVERAGE(OFFSET($BH$3,0,0,'Données projet'!$E$11+1,1))-AVERAGE(OFFSET($H$3,0,0,'Données projet'!$E$11+1,1))</f>
        <v>261.34571165681393</v>
      </c>
      <c r="BJ158" s="62">
        <f t="shared" si="146"/>
        <v>207.9851454455669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-3.4106051316484809E-13</v>
      </c>
      <c r="O159" s="14">
        <f>N159*VLOOKUP('Données projet'!$B$9,Paramètres!$A$1:$I$89,3,0)*VLOOKUP('Données projet'!$B$9,Paramètres!$A$1:$I$89,5,0)</f>
        <v>-1.9065282685915009E-13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374.79806286316051</v>
      </c>
      <c r="T159" s="62">
        <f t="shared" si="142"/>
        <v>350.01856672839466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0.67688949202239501</v>
      </c>
      <c r="AB159" s="23">
        <f>EXP(-LN(2)/2)*AB158+(1-EXP(-LN(2)/2))/(LN(2)/2)*V159*Y159*VLOOKUP('Données projet'!$B$9,Paramètres!$A$1:$I$89,3,0)*0.475*44/12</f>
        <v>1.1934660119640023E-18</v>
      </c>
      <c r="AC159" s="24">
        <f t="shared" si="163"/>
        <v>0.67688949202239501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-1.7053025658242404E-13</v>
      </c>
      <c r="AJ159" s="14">
        <f>AI159*VLOOKUP('Données projet'!$B$10,Paramètres!$A$1:$I$89,3,0)*VLOOKUP('Données projet'!$B$10,Paramètres!$A$1:$I$89,5,0)</f>
        <v>-1.3567387213697657E-13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310.15624717801779</v>
      </c>
      <c r="AO159" s="62">
        <f t="shared" si="144"/>
        <v>294.28794439094889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3.813056537183002E-14</v>
      </c>
      <c r="BF159" s="14">
        <f t="shared" si="167"/>
        <v>6.4086286045526829E-13</v>
      </c>
      <c r="BG159" s="22">
        <f t="shared" si="168"/>
        <v>1.1825802166488628E-12</v>
      </c>
      <c r="BH159" s="62">
        <f t="shared" si="116"/>
        <v>293.33333333333451</v>
      </c>
      <c r="BI159" s="62">
        <f ca="1">AVERAGE(OFFSET($BH$3,0,0,'Données projet'!$E$11+1,1))-AVERAGE(OFFSET($H$3,0,0,'Données projet'!$E$11+1,1))</f>
        <v>261.34571165681393</v>
      </c>
      <c r="BJ159" s="62">
        <f t="shared" si="146"/>
        <v>207.9851454455669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-3.4106051316484809E-13</v>
      </c>
      <c r="O160" s="14">
        <f>N160*VLOOKUP('Données projet'!$B$9,Paramètres!$A$1:$I$89,3,0)*VLOOKUP('Données projet'!$B$9,Paramètres!$A$1:$I$89,5,0)</f>
        <v>-1.9065282685915009E-13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374.79806286316051</v>
      </c>
      <c r="T160" s="62">
        <f t="shared" si="142"/>
        <v>350.01856672839466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0.65837991326697132</v>
      </c>
      <c r="AB160" s="23">
        <f>EXP(-LN(2)/2)*AB159+(1-EXP(-LN(2)/2))/(LN(2)/2)*V160*Y160*VLOOKUP('Données projet'!$B$9,Paramètres!$A$1:$I$89,3,0)*0.475*44/12</f>
        <v>8.4390791017541128E-19</v>
      </c>
      <c r="AC160" s="24">
        <f t="shared" si="163"/>
        <v>0.65837991326697132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-1.7053025658242404E-13</v>
      </c>
      <c r="AJ160" s="14">
        <f>AI160*VLOOKUP('Données projet'!$B$10,Paramètres!$A$1:$I$89,3,0)*VLOOKUP('Données projet'!$B$10,Paramètres!$A$1:$I$89,5,0)</f>
        <v>-1.3567387213697657E-13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310.15624717801779</v>
      </c>
      <c r="AO160" s="62">
        <f t="shared" si="144"/>
        <v>294.28794439094889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3.813056537183002E-14</v>
      </c>
      <c r="BF160" s="14">
        <f t="shared" si="167"/>
        <v>6.4086286045526829E-13</v>
      </c>
      <c r="BG160" s="22">
        <f t="shared" si="168"/>
        <v>1.1825802166488628E-12</v>
      </c>
      <c r="BH160" s="62">
        <f t="shared" si="116"/>
        <v>293.33333333333451</v>
      </c>
      <c r="BI160" s="62">
        <f ca="1">AVERAGE(OFFSET($BH$3,0,0,'Données projet'!$E$11+1,1))-AVERAGE(OFFSET($H$3,0,0,'Données projet'!$E$11+1,1))</f>
        <v>261.34571165681393</v>
      </c>
      <c r="BJ160" s="62">
        <f t="shared" si="146"/>
        <v>207.9851454455669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-3.4106051316484809E-13</v>
      </c>
      <c r="O161" s="14">
        <f>N161*VLOOKUP('Données projet'!$B$9,Paramètres!$A$1:$I$89,3,0)*VLOOKUP('Données projet'!$B$9,Paramètres!$A$1:$I$89,5,0)</f>
        <v>-1.9065282685915009E-13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374.79806286316051</v>
      </c>
      <c r="T161" s="62">
        <f t="shared" si="142"/>
        <v>350.01856672839466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0.64037647991599111</v>
      </c>
      <c r="AB161" s="23">
        <f>EXP(-LN(2)/2)*AB160+(1-EXP(-LN(2)/2))/(LN(2)/2)*V161*Y161*VLOOKUP('Données projet'!$B$9,Paramètres!$A$1:$I$89,3,0)*0.475*44/12</f>
        <v>5.9673300598200123E-19</v>
      </c>
      <c r="AC161" s="24">
        <f t="shared" si="163"/>
        <v>0.64037647991599111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-1.7053025658242404E-13</v>
      </c>
      <c r="AJ161" s="14">
        <f>AI161*VLOOKUP('Données projet'!$B$10,Paramètres!$A$1:$I$89,3,0)*VLOOKUP('Données projet'!$B$10,Paramètres!$A$1:$I$89,5,0)</f>
        <v>-1.3567387213697657E-13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310.15624717801779</v>
      </c>
      <c r="AO161" s="62">
        <f t="shared" si="144"/>
        <v>294.28794439094889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3.813056537183002E-14</v>
      </c>
      <c r="BF161" s="14">
        <f t="shared" si="167"/>
        <v>6.4086286045526829E-13</v>
      </c>
      <c r="BG161" s="22">
        <f t="shared" si="168"/>
        <v>1.1825802166488628E-12</v>
      </c>
      <c r="BH161" s="62">
        <f t="shared" si="116"/>
        <v>293.33333333333451</v>
      </c>
      <c r="BI161" s="62">
        <f ca="1">AVERAGE(OFFSET($BH$3,0,0,'Données projet'!$E$11+1,1))-AVERAGE(OFFSET($H$3,0,0,'Données projet'!$E$11+1,1))</f>
        <v>261.34571165681393</v>
      </c>
      <c r="BJ161" s="62">
        <f t="shared" si="146"/>
        <v>207.9851454455669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-3.4106051316484809E-13</v>
      </c>
      <c r="O162" s="14">
        <f>N162*VLOOKUP('Données projet'!$B$9,Paramètres!$A$1:$I$89,3,0)*VLOOKUP('Données projet'!$B$9,Paramètres!$A$1:$I$89,5,0)</f>
        <v>-1.9065282685915009E-13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374.79806286316051</v>
      </c>
      <c r="T162" s="62">
        <f t="shared" si="142"/>
        <v>350.01856672839466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0.62286535139675281</v>
      </c>
      <c r="AB162" s="23">
        <f>EXP(-LN(2)/2)*AB161+(1-EXP(-LN(2)/2))/(LN(2)/2)*V162*Y162*VLOOKUP('Données projet'!$B$9,Paramètres!$A$1:$I$89,3,0)*0.475*44/12</f>
        <v>4.2195395508770574E-19</v>
      </c>
      <c r="AC162" s="24">
        <f t="shared" si="163"/>
        <v>0.62286535139675281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-1.7053025658242404E-13</v>
      </c>
      <c r="AJ162" s="14">
        <f>AI162*VLOOKUP('Données projet'!$B$10,Paramètres!$A$1:$I$89,3,0)*VLOOKUP('Données projet'!$B$10,Paramètres!$A$1:$I$89,5,0)</f>
        <v>-1.3567387213697657E-13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310.15624717801779</v>
      </c>
      <c r="AO162" s="62">
        <f t="shared" si="144"/>
        <v>294.28794439094889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3.813056537183002E-14</v>
      </c>
      <c r="BF162" s="14">
        <f t="shared" si="167"/>
        <v>6.4086286045526829E-13</v>
      </c>
      <c r="BG162" s="22">
        <f t="shared" si="168"/>
        <v>1.1825802166488628E-12</v>
      </c>
      <c r="BH162" s="62">
        <f t="shared" si="116"/>
        <v>293.33333333333451</v>
      </c>
      <c r="BI162" s="62">
        <f ca="1">AVERAGE(OFFSET($BH$3,0,0,'Données projet'!$E$11+1,1))-AVERAGE(OFFSET($H$3,0,0,'Données projet'!$E$11+1,1))</f>
        <v>261.34571165681393</v>
      </c>
      <c r="BJ162" s="62">
        <f t="shared" si="146"/>
        <v>207.9851454455669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-3.4106051316484809E-13</v>
      </c>
      <c r="O163" s="14">
        <f>N163*VLOOKUP('Données projet'!$B$9,Paramètres!$A$1:$I$89,3,0)*VLOOKUP('Données projet'!$B$9,Paramètres!$A$1:$I$89,5,0)</f>
        <v>-1.9065282685915009E-13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374.79806286316051</v>
      </c>
      <c r="T163" s="62">
        <f t="shared" si="142"/>
        <v>350.01856672839466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0.6058330656077433</v>
      </c>
      <c r="AB163" s="23">
        <f>EXP(-LN(2)/2)*AB162+(1-EXP(-LN(2)/2))/(LN(2)/2)*V163*Y163*VLOOKUP('Données projet'!$B$9,Paramètres!$A$1:$I$89,3,0)*0.475*44/12</f>
        <v>2.9836650299100066E-19</v>
      </c>
      <c r="AC163" s="24">
        <f t="shared" si="163"/>
        <v>0.6058330656077433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-1.7053025658242404E-13</v>
      </c>
      <c r="AJ163" s="14">
        <f>AI163*VLOOKUP('Données projet'!$B$10,Paramètres!$A$1:$I$89,3,0)*VLOOKUP('Données projet'!$B$10,Paramètres!$A$1:$I$89,5,0)</f>
        <v>-1.3567387213697657E-13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310.15624717801779</v>
      </c>
      <c r="AO163" s="62">
        <f t="shared" si="144"/>
        <v>294.28794439094889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3.813056537183002E-14</v>
      </c>
      <c r="BF163" s="14">
        <f t="shared" si="167"/>
        <v>6.4086286045526829E-13</v>
      </c>
      <c r="BG163" s="22">
        <f t="shared" si="168"/>
        <v>1.1825802166488628E-12</v>
      </c>
      <c r="BH163" s="62">
        <f t="shared" si="116"/>
        <v>293.33333333333451</v>
      </c>
      <c r="BI163" s="62">
        <f ca="1">AVERAGE(OFFSET($BH$3,0,0,'Données projet'!$E$11+1,1))-AVERAGE(OFFSET($H$3,0,0,'Données projet'!$E$11+1,1))</f>
        <v>261.34571165681393</v>
      </c>
      <c r="BJ163" s="62">
        <f t="shared" si="146"/>
        <v>207.9851454455669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-3.4106051316484809E-13</v>
      </c>
      <c r="O164" s="14">
        <f>N164*VLOOKUP('Données projet'!$B$9,Paramètres!$A$1:$I$89,3,0)*VLOOKUP('Données projet'!$B$9,Paramètres!$A$1:$I$89,5,0)</f>
        <v>-1.9065282685915009E-13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374.79806286316051</v>
      </c>
      <c r="T164" s="62">
        <f t="shared" si="142"/>
        <v>350.01856672839466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0.58926652856932327</v>
      </c>
      <c r="AB164" s="23">
        <f>EXP(-LN(2)/2)*AB163+(1-EXP(-LN(2)/2))/(LN(2)/2)*V164*Y164*VLOOKUP('Données projet'!$B$9,Paramètres!$A$1:$I$89,3,0)*0.475*44/12</f>
        <v>2.1097697754385289E-19</v>
      </c>
      <c r="AC164" s="24">
        <f t="shared" si="163"/>
        <v>0.58926652856932327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-1.7053025658242404E-13</v>
      </c>
      <c r="AJ164" s="14">
        <f>AI164*VLOOKUP('Données projet'!$B$10,Paramètres!$A$1:$I$89,3,0)*VLOOKUP('Données projet'!$B$10,Paramètres!$A$1:$I$89,5,0)</f>
        <v>-1.3567387213697657E-13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310.15624717801779</v>
      </c>
      <c r="AO164" s="62">
        <f t="shared" si="144"/>
        <v>294.28794439094889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3.813056537183002E-14</v>
      </c>
      <c r="BF164" s="14">
        <f t="shared" si="167"/>
        <v>6.4086286045526829E-13</v>
      </c>
      <c r="BG164" s="22">
        <f t="shared" si="168"/>
        <v>1.1825802166488628E-12</v>
      </c>
      <c r="BH164" s="62">
        <f t="shared" si="116"/>
        <v>293.33333333333451</v>
      </c>
      <c r="BI164" s="62">
        <f ca="1">AVERAGE(OFFSET($BH$3,0,0,'Données projet'!$E$11+1,1))-AVERAGE(OFFSET($H$3,0,0,'Données projet'!$E$11+1,1))</f>
        <v>261.34571165681393</v>
      </c>
      <c r="BJ164" s="62">
        <f t="shared" si="146"/>
        <v>207.9851454455669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-3.4106051316484809E-13</v>
      </c>
      <c r="O165" s="14">
        <f>N165*VLOOKUP('Données projet'!$B$9,Paramètres!$A$1:$I$89,3,0)*VLOOKUP('Données projet'!$B$9,Paramètres!$A$1:$I$89,5,0)</f>
        <v>-1.9065282685915009E-13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374.79806286316051</v>
      </c>
      <c r="T165" s="62">
        <f t="shared" si="142"/>
        <v>350.01856672839466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0.57315300435741512</v>
      </c>
      <c r="AB165" s="23">
        <f>EXP(-LN(2)/2)*AB164+(1-EXP(-LN(2)/2))/(LN(2)/2)*V165*Y165*VLOOKUP('Données projet'!$B$9,Paramètres!$A$1:$I$89,3,0)*0.475*44/12</f>
        <v>1.4918325149550036E-19</v>
      </c>
      <c r="AC165" s="24">
        <f t="shared" si="163"/>
        <v>0.57315300435741512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-1.7053025658242404E-13</v>
      </c>
      <c r="AJ165" s="14">
        <f>AI165*VLOOKUP('Données projet'!$B$10,Paramètres!$A$1:$I$89,3,0)*VLOOKUP('Données projet'!$B$10,Paramètres!$A$1:$I$89,5,0)</f>
        <v>-1.3567387213697657E-13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310.15624717801779</v>
      </c>
      <c r="AO165" s="62">
        <f t="shared" si="144"/>
        <v>294.28794439094889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3.813056537183002E-14</v>
      </c>
      <c r="BF165" s="14">
        <f t="shared" si="167"/>
        <v>6.4086286045526829E-13</v>
      </c>
      <c r="BG165" s="22">
        <f t="shared" si="168"/>
        <v>1.1825802166488628E-12</v>
      </c>
      <c r="BH165" s="62">
        <f t="shared" si="116"/>
        <v>293.33333333333451</v>
      </c>
      <c r="BI165" s="62">
        <f ca="1">AVERAGE(OFFSET($BH$3,0,0,'Données projet'!$E$11+1,1))-AVERAGE(OFFSET($H$3,0,0,'Données projet'!$E$11+1,1))</f>
        <v>261.34571165681393</v>
      </c>
      <c r="BJ165" s="62">
        <f t="shared" si="146"/>
        <v>207.9851454455669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-3.4106051316484809E-13</v>
      </c>
      <c r="O166" s="14">
        <f>N166*VLOOKUP('Données projet'!$B$9,Paramètres!$A$1:$I$89,3,0)*VLOOKUP('Données projet'!$B$9,Paramètres!$A$1:$I$89,5,0)</f>
        <v>-1.9065282685915009E-13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374.79806286316051</v>
      </c>
      <c r="T166" s="62">
        <f t="shared" si="142"/>
        <v>350.01856672839466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0.55748010531245507</v>
      </c>
      <c r="AB166" s="23">
        <f>EXP(-LN(2)/2)*AB165+(1-EXP(-LN(2)/2))/(LN(2)/2)*V166*Y166*VLOOKUP('Données projet'!$B$9,Paramètres!$A$1:$I$89,3,0)*0.475*44/12</f>
        <v>1.0548848877192647E-19</v>
      </c>
      <c r="AC166" s="24">
        <f t="shared" si="163"/>
        <v>0.55748010531245507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-1.7053025658242404E-13</v>
      </c>
      <c r="AJ166" s="14">
        <f>AI166*VLOOKUP('Données projet'!$B$10,Paramètres!$A$1:$I$89,3,0)*VLOOKUP('Données projet'!$B$10,Paramètres!$A$1:$I$89,5,0)</f>
        <v>-1.3567387213697657E-13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310.15624717801779</v>
      </c>
      <c r="AO166" s="62">
        <f t="shared" si="144"/>
        <v>294.28794439094889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3.813056537183002E-14</v>
      </c>
      <c r="BF166" s="14">
        <f t="shared" si="167"/>
        <v>6.4086286045526829E-13</v>
      </c>
      <c r="BG166" s="22">
        <f t="shared" si="168"/>
        <v>1.1825802166488628E-12</v>
      </c>
      <c r="BH166" s="62">
        <f t="shared" si="116"/>
        <v>293.33333333333451</v>
      </c>
      <c r="BI166" s="62">
        <f ca="1">AVERAGE(OFFSET($BH$3,0,0,'Données projet'!$E$11+1,1))-AVERAGE(OFFSET($H$3,0,0,'Données projet'!$E$11+1,1))</f>
        <v>261.34571165681393</v>
      </c>
      <c r="BJ166" s="62">
        <f t="shared" si="146"/>
        <v>207.9851454455669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-3.4106051316484809E-13</v>
      </c>
      <c r="O167" s="14">
        <f>N167*VLOOKUP('Données projet'!$B$9,Paramètres!$A$1:$I$89,3,0)*VLOOKUP('Données projet'!$B$9,Paramètres!$A$1:$I$89,5,0)</f>
        <v>-1.9065282685915009E-13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374.79806286316051</v>
      </c>
      <c r="T167" s="62">
        <f t="shared" si="142"/>
        <v>350.01856672839466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0.5422357825160814</v>
      </c>
      <c r="AB167" s="23">
        <f>EXP(-LN(2)/2)*AB166+(1-EXP(-LN(2)/2))/(LN(2)/2)*V167*Y167*VLOOKUP('Données projet'!$B$9,Paramètres!$A$1:$I$89,3,0)*0.475*44/12</f>
        <v>7.459162574775019E-20</v>
      </c>
      <c r="AC167" s="24">
        <f t="shared" si="163"/>
        <v>0.5422357825160814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-1.7053025658242404E-13</v>
      </c>
      <c r="AJ167" s="14">
        <f>AI167*VLOOKUP('Données projet'!$B$10,Paramètres!$A$1:$I$89,3,0)*VLOOKUP('Données projet'!$B$10,Paramètres!$A$1:$I$89,5,0)</f>
        <v>-1.3567387213697657E-13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310.15624717801779</v>
      </c>
      <c r="AO167" s="62">
        <f t="shared" si="144"/>
        <v>294.28794439094889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3.813056537183002E-14</v>
      </c>
      <c r="BF167" s="14">
        <f t="shared" si="167"/>
        <v>6.4086286045526829E-13</v>
      </c>
      <c r="BG167" s="22">
        <f t="shared" si="168"/>
        <v>1.1825802166488628E-12</v>
      </c>
      <c r="BH167" s="62">
        <f t="shared" si="116"/>
        <v>293.33333333333451</v>
      </c>
      <c r="BI167" s="62">
        <f ca="1">AVERAGE(OFFSET($BH$3,0,0,'Données projet'!$E$11+1,1))-AVERAGE(OFFSET($H$3,0,0,'Données projet'!$E$11+1,1))</f>
        <v>261.34571165681393</v>
      </c>
      <c r="BJ167" s="62">
        <f t="shared" si="146"/>
        <v>207.9851454455669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-3.4106051316484809E-13</v>
      </c>
      <c r="O168" s="14">
        <f>N168*VLOOKUP('Données projet'!$B$9,Paramètres!$A$1:$I$89,3,0)*VLOOKUP('Données projet'!$B$9,Paramètres!$A$1:$I$89,5,0)</f>
        <v>-1.9065282685915009E-13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374.79806286316051</v>
      </c>
      <c r="T168" s="62">
        <f t="shared" si="142"/>
        <v>350.01856672839466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0.52740831652823861</v>
      </c>
      <c r="AB168" s="23">
        <f>EXP(-LN(2)/2)*AB167+(1-EXP(-LN(2)/2))/(LN(2)/2)*V168*Y168*VLOOKUP('Données projet'!$B$9,Paramètres!$A$1:$I$89,3,0)*0.475*44/12</f>
        <v>5.2744244385963241E-20</v>
      </c>
      <c r="AC168" s="24">
        <f t="shared" si="163"/>
        <v>0.52740831652823861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-1.7053025658242404E-13</v>
      </c>
      <c r="AJ168" s="14">
        <f>AI168*VLOOKUP('Données projet'!$B$10,Paramètres!$A$1:$I$89,3,0)*VLOOKUP('Données projet'!$B$10,Paramètres!$A$1:$I$89,5,0)</f>
        <v>-1.3567387213697657E-13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310.15624717801779</v>
      </c>
      <c r="AO168" s="62">
        <f t="shared" si="144"/>
        <v>294.28794439094889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3.813056537183002E-14</v>
      </c>
      <c r="BF168" s="14">
        <f t="shared" si="167"/>
        <v>6.4086286045526829E-13</v>
      </c>
      <c r="BG168" s="22">
        <f t="shared" si="168"/>
        <v>1.1825802166488628E-12</v>
      </c>
      <c r="BH168" s="62">
        <f t="shared" si="116"/>
        <v>293.33333333333451</v>
      </c>
      <c r="BI168" s="62">
        <f ca="1">AVERAGE(OFFSET($BH$3,0,0,'Données projet'!$E$11+1,1))-AVERAGE(OFFSET($H$3,0,0,'Données projet'!$E$11+1,1))</f>
        <v>261.34571165681393</v>
      </c>
      <c r="BJ168" s="62">
        <f t="shared" si="146"/>
        <v>207.9851454455669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-3.4106051316484809E-13</v>
      </c>
      <c r="O169" s="14">
        <f>N169*VLOOKUP('Données projet'!$B$9,Paramètres!$A$1:$I$89,3,0)*VLOOKUP('Données projet'!$B$9,Paramètres!$A$1:$I$89,5,0)</f>
        <v>-1.9065282685915009E-13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374.79806286316051</v>
      </c>
      <c r="T169" s="62">
        <f t="shared" si="142"/>
        <v>350.01856672839466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0.51298630837757597</v>
      </c>
      <c r="AB169" s="23">
        <f>EXP(-LN(2)/2)*AB168+(1-EXP(-LN(2)/2))/(LN(2)/2)*V169*Y169*VLOOKUP('Données projet'!$B$9,Paramètres!$A$1:$I$89,3,0)*0.475*44/12</f>
        <v>3.7295812873875101E-20</v>
      </c>
      <c r="AC169" s="24">
        <f t="shared" si="163"/>
        <v>0.51298630837757597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-1.7053025658242404E-13</v>
      </c>
      <c r="AJ169" s="14">
        <f>AI169*VLOOKUP('Données projet'!$B$10,Paramètres!$A$1:$I$89,3,0)*VLOOKUP('Données projet'!$B$10,Paramètres!$A$1:$I$89,5,0)</f>
        <v>-1.3567387213697657E-13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310.15624717801779</v>
      </c>
      <c r="AO169" s="62">
        <f t="shared" si="144"/>
        <v>294.28794439094889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3.813056537183002E-14</v>
      </c>
      <c r="BF169" s="14">
        <f t="shared" si="167"/>
        <v>6.4086286045526829E-13</v>
      </c>
      <c r="BG169" s="22">
        <f t="shared" si="168"/>
        <v>1.1825802166488628E-12</v>
      </c>
      <c r="BH169" s="62">
        <f t="shared" si="116"/>
        <v>293.33333333333451</v>
      </c>
      <c r="BI169" s="62">
        <f ca="1">AVERAGE(OFFSET($BH$3,0,0,'Données projet'!$E$11+1,1))-AVERAGE(OFFSET($H$3,0,0,'Données projet'!$E$11+1,1))</f>
        <v>261.34571165681393</v>
      </c>
      <c r="BJ169" s="62">
        <f t="shared" si="146"/>
        <v>207.9851454455669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-3.4106051316484809E-13</v>
      </c>
      <c r="O170" s="14">
        <f>N170*VLOOKUP('Données projet'!$B$9,Paramètres!$A$1:$I$89,3,0)*VLOOKUP('Données projet'!$B$9,Paramètres!$A$1:$I$89,5,0)</f>
        <v>-1.9065282685915009E-13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374.79806286316051</v>
      </c>
      <c r="T170" s="62">
        <f t="shared" si="142"/>
        <v>350.01856672839466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0.49895867079821365</v>
      </c>
      <c r="AB170" s="23">
        <f>EXP(-LN(2)/2)*AB169+(1-EXP(-LN(2)/2))/(LN(2)/2)*V170*Y170*VLOOKUP('Données projet'!$B$9,Paramètres!$A$1:$I$89,3,0)*0.475*44/12</f>
        <v>2.6372122192981624E-20</v>
      </c>
      <c r="AC170" s="24">
        <f t="shared" si="163"/>
        <v>0.49895867079821365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-1.7053025658242404E-13</v>
      </c>
      <c r="AJ170" s="14">
        <f>AI170*VLOOKUP('Données projet'!$B$10,Paramètres!$A$1:$I$89,3,0)*VLOOKUP('Données projet'!$B$10,Paramètres!$A$1:$I$89,5,0)</f>
        <v>-1.3567387213697657E-13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310.15624717801779</v>
      </c>
      <c r="AO170" s="62">
        <f t="shared" si="144"/>
        <v>294.28794439094889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3.813056537183002E-14</v>
      </c>
      <c r="BF170" s="14">
        <f t="shared" si="167"/>
        <v>6.4086286045526829E-13</v>
      </c>
      <c r="BG170" s="22">
        <f t="shared" si="168"/>
        <v>1.1825802166488628E-12</v>
      </c>
      <c r="BH170" s="62">
        <f t="shared" si="116"/>
        <v>293.33333333333451</v>
      </c>
      <c r="BI170" s="62">
        <f ca="1">AVERAGE(OFFSET($BH$3,0,0,'Données projet'!$E$11+1,1))-AVERAGE(OFFSET($H$3,0,0,'Données projet'!$E$11+1,1))</f>
        <v>261.34571165681393</v>
      </c>
      <c r="BJ170" s="62">
        <f t="shared" si="146"/>
        <v>207.9851454455669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-3.4106051316484809E-13</v>
      </c>
      <c r="O171" s="14">
        <f>N171*VLOOKUP('Données projet'!$B$9,Paramètres!$A$1:$I$89,3,0)*VLOOKUP('Données projet'!$B$9,Paramètres!$A$1:$I$89,5,0)</f>
        <v>-1.9065282685915009E-13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374.79806286316051</v>
      </c>
      <c r="T171" s="62">
        <f t="shared" si="142"/>
        <v>350.01856672839466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0.48531461970614037</v>
      </c>
      <c r="AB171" s="23">
        <f>EXP(-LN(2)/2)*AB170+(1-EXP(-LN(2)/2))/(LN(2)/2)*V171*Y171*VLOOKUP('Données projet'!$B$9,Paramètres!$A$1:$I$89,3,0)*0.475*44/12</f>
        <v>1.8647906436937554E-20</v>
      </c>
      <c r="AC171" s="24">
        <f t="shared" si="163"/>
        <v>0.48531461970614037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-1.7053025658242404E-13</v>
      </c>
      <c r="AJ171" s="14">
        <f>AI171*VLOOKUP('Données projet'!$B$10,Paramètres!$A$1:$I$89,3,0)*VLOOKUP('Données projet'!$B$10,Paramètres!$A$1:$I$89,5,0)</f>
        <v>-1.3567387213697657E-13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310.15624717801779</v>
      </c>
      <c r="AO171" s="62">
        <f t="shared" si="144"/>
        <v>294.28794439094889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3.813056537183002E-14</v>
      </c>
      <c r="BF171" s="14">
        <f t="shared" si="167"/>
        <v>6.4086286045526829E-13</v>
      </c>
      <c r="BG171" s="22">
        <f t="shared" si="168"/>
        <v>1.1825802166488628E-12</v>
      </c>
      <c r="BH171" s="62">
        <f t="shared" si="116"/>
        <v>293.33333333333451</v>
      </c>
      <c r="BI171" s="62">
        <f ca="1">AVERAGE(OFFSET($BH$3,0,0,'Données projet'!$E$11+1,1))-AVERAGE(OFFSET($H$3,0,0,'Données projet'!$E$11+1,1))</f>
        <v>261.34571165681393</v>
      </c>
      <c r="BJ171" s="62">
        <f t="shared" si="146"/>
        <v>207.9851454455669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-3.4106051316484809E-13</v>
      </c>
      <c r="O172" s="14">
        <f>N172*VLOOKUP('Données projet'!$B$9,Paramètres!$A$1:$I$89,3,0)*VLOOKUP('Données projet'!$B$9,Paramètres!$A$1:$I$89,5,0)</f>
        <v>-1.9065282685915009E-13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374.79806286316051</v>
      </c>
      <c r="T172" s="62">
        <f t="shared" si="142"/>
        <v>350.01856672839466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0.47204366590868929</v>
      </c>
      <c r="AB172" s="23">
        <f>EXP(-LN(2)/2)*AB171+(1-EXP(-LN(2)/2))/(LN(2)/2)*V172*Y172*VLOOKUP('Données projet'!$B$9,Paramètres!$A$1:$I$89,3,0)*0.475*44/12</f>
        <v>1.3186061096490815E-20</v>
      </c>
      <c r="AC172" s="24">
        <f t="shared" si="163"/>
        <v>0.47204366590868929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-1.7053025658242404E-13</v>
      </c>
      <c r="AJ172" s="14">
        <f>AI172*VLOOKUP('Données projet'!$B$10,Paramètres!$A$1:$I$89,3,0)*VLOOKUP('Données projet'!$B$10,Paramètres!$A$1:$I$89,5,0)</f>
        <v>-1.3567387213697657E-13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310.15624717801779</v>
      </c>
      <c r="AO172" s="62">
        <f t="shared" si="144"/>
        <v>294.28794439094889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3.813056537183002E-14</v>
      </c>
      <c r="BF172" s="14">
        <f t="shared" si="167"/>
        <v>6.4086286045526829E-13</v>
      </c>
      <c r="BG172" s="22">
        <f t="shared" si="168"/>
        <v>1.1825802166488628E-12</v>
      </c>
      <c r="BH172" s="62">
        <f t="shared" si="116"/>
        <v>293.33333333333451</v>
      </c>
      <c r="BI172" s="62">
        <f ca="1">AVERAGE(OFFSET($BH$3,0,0,'Données projet'!$E$11+1,1))-AVERAGE(OFFSET($H$3,0,0,'Données projet'!$E$11+1,1))</f>
        <v>261.34571165681393</v>
      </c>
      <c r="BJ172" s="62">
        <f t="shared" si="146"/>
        <v>207.9851454455669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-3.4106051316484809E-13</v>
      </c>
      <c r="O173" s="14">
        <f>N173*VLOOKUP('Données projet'!$B$9,Paramètres!$A$1:$I$89,3,0)*VLOOKUP('Données projet'!$B$9,Paramètres!$A$1:$I$89,5,0)</f>
        <v>-1.9065282685915009E-13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374.79806286316051</v>
      </c>
      <c r="T173" s="62">
        <f t="shared" si="142"/>
        <v>350.01856672839466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0.45913560704071865</v>
      </c>
      <c r="AB173" s="23">
        <f>EXP(-LN(2)/2)*AB172+(1-EXP(-LN(2)/2))/(LN(2)/2)*V173*Y173*VLOOKUP('Données projet'!$B$9,Paramètres!$A$1:$I$89,3,0)*0.475*44/12</f>
        <v>9.3239532184687783E-21</v>
      </c>
      <c r="AC173" s="24">
        <f t="shared" si="163"/>
        <v>0.45913560704071865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-1.7053025658242404E-13</v>
      </c>
      <c r="AJ173" s="14">
        <f>AI173*VLOOKUP('Données projet'!$B$10,Paramètres!$A$1:$I$89,3,0)*VLOOKUP('Données projet'!$B$10,Paramètres!$A$1:$I$89,5,0)</f>
        <v>-1.3567387213697657E-13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310.15624717801779</v>
      </c>
      <c r="AO173" s="62">
        <f t="shared" si="144"/>
        <v>294.28794439094889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3.813056537183002E-14</v>
      </c>
      <c r="BF173" s="14">
        <f t="shared" si="167"/>
        <v>6.4086286045526829E-13</v>
      </c>
      <c r="BG173" s="22">
        <f t="shared" si="168"/>
        <v>1.1825802166488628E-12</v>
      </c>
      <c r="BH173" s="62">
        <f t="shared" si="116"/>
        <v>293.33333333333451</v>
      </c>
      <c r="BI173" s="62">
        <f ca="1">AVERAGE(OFFSET($BH$3,0,0,'Données projet'!$E$11+1,1))-AVERAGE(OFFSET($H$3,0,0,'Données projet'!$E$11+1,1))</f>
        <v>261.34571165681393</v>
      </c>
      <c r="BJ173" s="62">
        <f t="shared" si="146"/>
        <v>207.9851454455669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-3.4106051316484809E-13</v>
      </c>
      <c r="O174" s="14">
        <f>N174*VLOOKUP('Données projet'!$B$9,Paramètres!$A$1:$I$89,3,0)*VLOOKUP('Données projet'!$B$9,Paramètres!$A$1:$I$89,5,0)</f>
        <v>-1.9065282685915009E-13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374.79806286316051</v>
      </c>
      <c r="T174" s="62">
        <f t="shared" si="142"/>
        <v>350.01856672839466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0.44658051972129797</v>
      </c>
      <c r="AB174" s="23">
        <f>EXP(-LN(2)/2)*AB173+(1-EXP(-LN(2)/2))/(LN(2)/2)*V174*Y174*VLOOKUP('Données projet'!$B$9,Paramètres!$A$1:$I$89,3,0)*0.475*44/12</f>
        <v>6.5930305482454082E-21</v>
      </c>
      <c r="AC174" s="24">
        <f t="shared" si="163"/>
        <v>0.44658051972129797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-1.7053025658242404E-13</v>
      </c>
      <c r="AJ174" s="14">
        <f>AI174*VLOOKUP('Données projet'!$B$10,Paramètres!$A$1:$I$89,3,0)*VLOOKUP('Données projet'!$B$10,Paramètres!$A$1:$I$89,5,0)</f>
        <v>-1.3567387213697657E-13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310.15624717801779</v>
      </c>
      <c r="AO174" s="62">
        <f t="shared" si="144"/>
        <v>294.28794439094889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3.813056537183002E-14</v>
      </c>
      <c r="BF174" s="14">
        <f t="shared" si="167"/>
        <v>6.4086286045526829E-13</v>
      </c>
      <c r="BG174" s="22">
        <f t="shared" si="168"/>
        <v>1.1825802166488628E-12</v>
      </c>
      <c r="BH174" s="62">
        <f t="shared" si="116"/>
        <v>293.33333333333451</v>
      </c>
      <c r="BI174" s="62">
        <f ca="1">AVERAGE(OFFSET($BH$3,0,0,'Données projet'!$E$11+1,1))-AVERAGE(OFFSET($H$3,0,0,'Données projet'!$E$11+1,1))</f>
        <v>261.34571165681393</v>
      </c>
      <c r="BJ174" s="62">
        <f t="shared" si="146"/>
        <v>207.9851454455669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-3.4106051316484809E-13</v>
      </c>
      <c r="O175" s="14">
        <f>N175*VLOOKUP('Données projet'!$B$9,Paramètres!$A$1:$I$89,3,0)*VLOOKUP('Données projet'!$B$9,Paramètres!$A$1:$I$89,5,0)</f>
        <v>-1.9065282685915009E-13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374.79806286316051</v>
      </c>
      <c r="T175" s="62">
        <f t="shared" si="142"/>
        <v>350.01856672839466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0.43436875192487023</v>
      </c>
      <c r="AB175" s="23">
        <f>EXP(-LN(2)/2)*AB174+(1-EXP(-LN(2)/2))/(LN(2)/2)*V175*Y175*VLOOKUP('Données projet'!$B$9,Paramètres!$A$1:$I$89,3,0)*0.475*44/12</f>
        <v>4.6619766092343899E-21</v>
      </c>
      <c r="AC175" s="24">
        <f t="shared" si="163"/>
        <v>0.43436875192487023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-1.7053025658242404E-13</v>
      </c>
      <c r="AJ175" s="14">
        <f>AI175*VLOOKUP('Données projet'!$B$10,Paramètres!$A$1:$I$89,3,0)*VLOOKUP('Données projet'!$B$10,Paramètres!$A$1:$I$89,5,0)</f>
        <v>-1.3567387213697657E-13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310.15624717801779</v>
      </c>
      <c r="AO175" s="62">
        <f t="shared" si="144"/>
        <v>294.28794439094889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3.813056537183002E-14</v>
      </c>
      <c r="BF175" s="14">
        <f t="shared" si="167"/>
        <v>6.4086286045526829E-13</v>
      </c>
      <c r="BG175" s="22">
        <f t="shared" si="168"/>
        <v>1.1825802166488628E-12</v>
      </c>
      <c r="BH175" s="62">
        <f t="shared" si="116"/>
        <v>293.33333333333451</v>
      </c>
      <c r="BI175" s="62">
        <f ca="1">AVERAGE(OFFSET($BH$3,0,0,'Données projet'!$E$11+1,1))-AVERAGE(OFFSET($H$3,0,0,'Données projet'!$E$11+1,1))</f>
        <v>261.34571165681393</v>
      </c>
      <c r="BJ175" s="62">
        <f t="shared" si="146"/>
        <v>207.9851454455669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-3.4106051316484809E-13</v>
      </c>
      <c r="O176" s="14">
        <f>N176*VLOOKUP('Données projet'!$B$9,Paramètres!$A$1:$I$89,3,0)*VLOOKUP('Données projet'!$B$9,Paramètres!$A$1:$I$89,5,0)</f>
        <v>-1.9065282685915009E-13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374.79806286316051</v>
      </c>
      <c r="T176" s="62">
        <f t="shared" si="142"/>
        <v>350.01856672839466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0.42249091556102475</v>
      </c>
      <c r="AB176" s="23">
        <f>EXP(-LN(2)/2)*AB175+(1-EXP(-LN(2)/2))/(LN(2)/2)*V176*Y176*VLOOKUP('Données projet'!$B$9,Paramètres!$A$1:$I$89,3,0)*0.475*44/12</f>
        <v>3.2965152741227048E-21</v>
      </c>
      <c r="AC176" s="24">
        <f t="shared" si="163"/>
        <v>0.42249091556102475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-1.7053025658242404E-13</v>
      </c>
      <c r="AJ176" s="14">
        <f>AI176*VLOOKUP('Données projet'!$B$10,Paramètres!$A$1:$I$89,3,0)*VLOOKUP('Données projet'!$B$10,Paramètres!$A$1:$I$89,5,0)</f>
        <v>-1.3567387213697657E-13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310.15624717801779</v>
      </c>
      <c r="AO176" s="62">
        <f t="shared" si="144"/>
        <v>294.28794439094889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3.813056537183002E-14</v>
      </c>
      <c r="BF176" s="14">
        <f t="shared" si="167"/>
        <v>6.4086286045526829E-13</v>
      </c>
      <c r="BG176" s="22">
        <f t="shared" si="168"/>
        <v>1.1825802166488628E-12</v>
      </c>
      <c r="BH176" s="62">
        <f t="shared" si="116"/>
        <v>293.33333333333451</v>
      </c>
      <c r="BI176" s="62">
        <f ca="1">AVERAGE(OFFSET($BH$3,0,0,'Données projet'!$E$11+1,1))-AVERAGE(OFFSET($H$3,0,0,'Données projet'!$E$11+1,1))</f>
        <v>261.34571165681393</v>
      </c>
      <c r="BJ176" s="62">
        <f t="shared" si="146"/>
        <v>207.9851454455669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-3.4106051316484809E-13</v>
      </c>
      <c r="O177" s="14">
        <f>N177*VLOOKUP('Données projet'!$B$9,Paramètres!$A$1:$I$89,3,0)*VLOOKUP('Données projet'!$B$9,Paramètres!$A$1:$I$89,5,0)</f>
        <v>-1.9065282685915009E-13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374.79806286316051</v>
      </c>
      <c r="T177" s="62">
        <f t="shared" si="142"/>
        <v>350.01856672839466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0.4109378792571769</v>
      </c>
      <c r="AB177" s="23">
        <f>EXP(-LN(2)/2)*AB176+(1-EXP(-LN(2)/2))/(LN(2)/2)*V177*Y177*VLOOKUP('Données projet'!$B$9,Paramètres!$A$1:$I$89,3,0)*0.475*44/12</f>
        <v>2.3309883046171953E-21</v>
      </c>
      <c r="AC177" s="24">
        <f t="shared" si="163"/>
        <v>0.4109378792571769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-1.7053025658242404E-13</v>
      </c>
      <c r="AJ177" s="14">
        <f>AI177*VLOOKUP('Données projet'!$B$10,Paramètres!$A$1:$I$89,3,0)*VLOOKUP('Données projet'!$B$10,Paramètres!$A$1:$I$89,5,0)</f>
        <v>-1.3567387213697657E-13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310.15624717801779</v>
      </c>
      <c r="AO177" s="62">
        <f t="shared" si="144"/>
        <v>294.28794439094889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3.813056537183002E-14</v>
      </c>
      <c r="BF177" s="14">
        <f t="shared" si="167"/>
        <v>6.4086286045526829E-13</v>
      </c>
      <c r="BG177" s="22">
        <f t="shared" si="168"/>
        <v>1.1825802166488628E-12</v>
      </c>
      <c r="BH177" s="62">
        <f t="shared" si="116"/>
        <v>293.33333333333451</v>
      </c>
      <c r="BI177" s="62">
        <f ca="1">AVERAGE(OFFSET($BH$3,0,0,'Données projet'!$E$11+1,1))-AVERAGE(OFFSET($H$3,0,0,'Données projet'!$E$11+1,1))</f>
        <v>261.34571165681393</v>
      </c>
      <c r="BJ177" s="62">
        <f t="shared" si="146"/>
        <v>207.9851454455669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-3.4106051316484809E-13</v>
      </c>
      <c r="O178" s="14">
        <f>N178*VLOOKUP('Données projet'!$B$9,Paramètres!$A$1:$I$89,3,0)*VLOOKUP('Données projet'!$B$9,Paramètres!$A$1:$I$89,5,0)</f>
        <v>-1.9065282685915009E-13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374.79806286316051</v>
      </c>
      <c r="T178" s="62">
        <f t="shared" si="142"/>
        <v>350.01856672839466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0.39970076133860555</v>
      </c>
      <c r="AB178" s="23">
        <f>EXP(-LN(2)/2)*AB177+(1-EXP(-LN(2)/2))/(LN(2)/2)*V178*Y178*VLOOKUP('Données projet'!$B$9,Paramètres!$A$1:$I$89,3,0)*0.475*44/12</f>
        <v>1.6482576370613526E-21</v>
      </c>
      <c r="AC178" s="24">
        <f t="shared" si="163"/>
        <v>0.39970076133860555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-1.7053025658242404E-13</v>
      </c>
      <c r="AJ178" s="14">
        <f>AI178*VLOOKUP('Données projet'!$B$10,Paramètres!$A$1:$I$89,3,0)*VLOOKUP('Données projet'!$B$10,Paramètres!$A$1:$I$89,5,0)</f>
        <v>-1.3567387213697657E-13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310.15624717801779</v>
      </c>
      <c r="AO178" s="62">
        <f t="shared" si="144"/>
        <v>294.28794439094889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3.813056537183002E-14</v>
      </c>
      <c r="BF178" s="14">
        <f t="shared" si="167"/>
        <v>6.4086286045526829E-13</v>
      </c>
      <c r="BG178" s="22">
        <f t="shared" si="168"/>
        <v>1.1825802166488628E-12</v>
      </c>
      <c r="BH178" s="62">
        <f t="shared" si="116"/>
        <v>293.33333333333451</v>
      </c>
      <c r="BI178" s="62">
        <f ca="1">AVERAGE(OFFSET($BH$3,0,0,'Données projet'!$E$11+1,1))-AVERAGE(OFFSET($H$3,0,0,'Données projet'!$E$11+1,1))</f>
        <v>261.34571165681393</v>
      </c>
      <c r="BJ178" s="62">
        <f t="shared" si="146"/>
        <v>207.9851454455669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-3.4106051316484809E-13</v>
      </c>
      <c r="O179" s="14">
        <f>N179*VLOOKUP('Données projet'!$B$9,Paramètres!$A$1:$I$89,3,0)*VLOOKUP('Données projet'!$B$9,Paramètres!$A$1:$I$89,5,0)</f>
        <v>-1.9065282685915009E-13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374.79806286316051</v>
      </c>
      <c r="T179" s="62">
        <f t="shared" si="142"/>
        <v>350.01856672839466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0.38877092300045185</v>
      </c>
      <c r="AB179" s="23">
        <f>EXP(-LN(2)/2)*AB178+(1-EXP(-LN(2)/2))/(LN(2)/2)*V179*Y179*VLOOKUP('Données projet'!$B$9,Paramètres!$A$1:$I$89,3,0)*0.475*44/12</f>
        <v>1.1654941523085978E-21</v>
      </c>
      <c r="AC179" s="24">
        <f t="shared" si="163"/>
        <v>0.38877092300045185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-1.7053025658242404E-13</v>
      </c>
      <c r="AJ179" s="14">
        <f>AI179*VLOOKUP('Données projet'!$B$10,Paramètres!$A$1:$I$89,3,0)*VLOOKUP('Données projet'!$B$10,Paramètres!$A$1:$I$89,5,0)</f>
        <v>-1.3567387213697657E-13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310.15624717801779</v>
      </c>
      <c r="AO179" s="62">
        <f t="shared" si="144"/>
        <v>294.28794439094889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3.813056537183002E-14</v>
      </c>
      <c r="BF179" s="14">
        <f t="shared" si="167"/>
        <v>6.4086286045526829E-13</v>
      </c>
      <c r="BG179" s="22">
        <f t="shared" si="168"/>
        <v>1.1825802166488628E-12</v>
      </c>
      <c r="BH179" s="62">
        <f t="shared" si="116"/>
        <v>293.33333333333451</v>
      </c>
      <c r="BI179" s="62">
        <f ca="1">AVERAGE(OFFSET($BH$3,0,0,'Données projet'!$E$11+1,1))-AVERAGE(OFFSET($H$3,0,0,'Données projet'!$E$11+1,1))</f>
        <v>261.34571165681393</v>
      </c>
      <c r="BJ179" s="62">
        <f t="shared" si="146"/>
        <v>207.9851454455669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-3.4106051316484809E-13</v>
      </c>
      <c r="O180" s="14">
        <f>N180*VLOOKUP('Données projet'!$B$9,Paramètres!$A$1:$I$89,3,0)*VLOOKUP('Données projet'!$B$9,Paramètres!$A$1:$I$89,5,0)</f>
        <v>-1.9065282685915009E-13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374.79806286316051</v>
      </c>
      <c r="T180" s="62">
        <f t="shared" si="142"/>
        <v>350.01856672839466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0.37813996166643021</v>
      </c>
      <c r="AB180" s="23">
        <f>EXP(-LN(2)/2)*AB179+(1-EXP(-LN(2)/2))/(LN(2)/2)*V180*Y180*VLOOKUP('Données projet'!$B$9,Paramètres!$A$1:$I$89,3,0)*0.475*44/12</f>
        <v>8.2412881853067649E-22</v>
      </c>
      <c r="AC180" s="24">
        <f t="shared" si="163"/>
        <v>0.37813996166643021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-1.7053025658242404E-13</v>
      </c>
      <c r="AJ180" s="14">
        <f>AI180*VLOOKUP('Données projet'!$B$10,Paramètres!$A$1:$I$89,3,0)*VLOOKUP('Données projet'!$B$10,Paramètres!$A$1:$I$89,5,0)</f>
        <v>-1.3567387213697657E-13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310.15624717801779</v>
      </c>
      <c r="AO180" s="62">
        <f t="shared" si="144"/>
        <v>294.28794439094889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3.813056537183002E-14</v>
      </c>
      <c r="BF180" s="14">
        <f t="shared" si="167"/>
        <v>6.4086286045526829E-13</v>
      </c>
      <c r="BG180" s="22">
        <f t="shared" si="168"/>
        <v>1.1825802166488628E-12</v>
      </c>
      <c r="BH180" s="62">
        <f t="shared" si="116"/>
        <v>293.33333333333451</v>
      </c>
      <c r="BI180" s="62">
        <f ca="1">AVERAGE(OFFSET($BH$3,0,0,'Données projet'!$E$11+1,1))-AVERAGE(OFFSET($H$3,0,0,'Données projet'!$E$11+1,1))</f>
        <v>261.34571165681393</v>
      </c>
      <c r="BJ180" s="62">
        <f t="shared" si="146"/>
        <v>207.9851454455669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-3.4106051316484809E-13</v>
      </c>
      <c r="O181" s="14">
        <f>N181*VLOOKUP('Données projet'!$B$9,Paramètres!$A$1:$I$89,3,0)*VLOOKUP('Données projet'!$B$9,Paramètres!$A$1:$I$89,5,0)</f>
        <v>-1.9065282685915009E-13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374.79806286316051</v>
      </c>
      <c r="T181" s="62">
        <f t="shared" si="142"/>
        <v>350.01856672839466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0.36779970452914534</v>
      </c>
      <c r="AB181" s="23">
        <f>EXP(-LN(2)/2)*AB180+(1-EXP(-LN(2)/2))/(LN(2)/2)*V181*Y181*VLOOKUP('Données projet'!$B$9,Paramètres!$A$1:$I$89,3,0)*0.475*44/12</f>
        <v>5.8274707615429902E-22</v>
      </c>
      <c r="AC181" s="24">
        <f t="shared" si="163"/>
        <v>0.36779970452914534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-1.7053025658242404E-13</v>
      </c>
      <c r="AJ181" s="14">
        <f>AI181*VLOOKUP('Données projet'!$B$10,Paramètres!$A$1:$I$89,3,0)*VLOOKUP('Données projet'!$B$10,Paramètres!$A$1:$I$89,5,0)</f>
        <v>-1.3567387213697657E-13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310.15624717801779</v>
      </c>
      <c r="AO181" s="62">
        <f t="shared" si="144"/>
        <v>294.28794439094889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3.813056537183002E-14</v>
      </c>
      <c r="BF181" s="14">
        <f t="shared" si="167"/>
        <v>6.4086286045526829E-13</v>
      </c>
      <c r="BG181" s="22">
        <f t="shared" si="168"/>
        <v>1.1825802166488628E-12</v>
      </c>
      <c r="BH181" s="62">
        <f t="shared" si="116"/>
        <v>293.33333333333451</v>
      </c>
      <c r="BI181" s="62">
        <f ca="1">AVERAGE(OFFSET($BH$3,0,0,'Données projet'!$E$11+1,1))-AVERAGE(OFFSET($H$3,0,0,'Données projet'!$E$11+1,1))</f>
        <v>261.34571165681393</v>
      </c>
      <c r="BJ181" s="62">
        <f t="shared" si="146"/>
        <v>207.9851454455669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-3.4106051316484809E-13</v>
      </c>
      <c r="O182" s="14">
        <f>N182*VLOOKUP('Données projet'!$B$9,Paramètres!$A$1:$I$89,3,0)*VLOOKUP('Données projet'!$B$9,Paramètres!$A$1:$I$89,5,0)</f>
        <v>-1.9065282685915009E-13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374.79806286316051</v>
      </c>
      <c r="T182" s="62">
        <f t="shared" si="142"/>
        <v>350.01856672839466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0.35774220226705</v>
      </c>
      <c r="AB182" s="23">
        <f>EXP(-LN(2)/2)*AB181+(1-EXP(-LN(2)/2))/(LN(2)/2)*V182*Y182*VLOOKUP('Données projet'!$B$9,Paramètres!$A$1:$I$89,3,0)*0.475*44/12</f>
        <v>4.1206440926533829E-22</v>
      </c>
      <c r="AC182" s="24">
        <f t="shared" si="163"/>
        <v>0.35774220226705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-1.7053025658242404E-13</v>
      </c>
      <c r="AJ182" s="14">
        <f>AI182*VLOOKUP('Données projet'!$B$10,Paramètres!$A$1:$I$89,3,0)*VLOOKUP('Données projet'!$B$10,Paramètres!$A$1:$I$89,5,0)</f>
        <v>-1.3567387213697657E-13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310.15624717801779</v>
      </c>
      <c r="AO182" s="62">
        <f t="shared" si="144"/>
        <v>294.28794439094889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3.813056537183002E-14</v>
      </c>
      <c r="BF182" s="14">
        <f t="shared" si="167"/>
        <v>6.4086286045526829E-13</v>
      </c>
      <c r="BG182" s="22">
        <f t="shared" si="168"/>
        <v>1.1825802166488628E-12</v>
      </c>
      <c r="BH182" s="62">
        <f t="shared" si="116"/>
        <v>293.33333333333451</v>
      </c>
      <c r="BI182" s="62">
        <f ca="1">AVERAGE(OFFSET($BH$3,0,0,'Données projet'!$E$11+1,1))-AVERAGE(OFFSET($H$3,0,0,'Données projet'!$E$11+1,1))</f>
        <v>261.34571165681393</v>
      </c>
      <c r="BJ182" s="62">
        <f t="shared" si="146"/>
        <v>207.9851454455669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-3.4106051316484809E-13</v>
      </c>
      <c r="O183" s="14">
        <f>N183*VLOOKUP('Données projet'!$B$9,Paramètres!$A$1:$I$89,3,0)*VLOOKUP('Données projet'!$B$9,Paramètres!$A$1:$I$89,5,0)</f>
        <v>-1.9065282685915009E-13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374.79806286316051</v>
      </c>
      <c r="T183" s="62">
        <f t="shared" si="142"/>
        <v>350.01856672839466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0.34795972293321276</v>
      </c>
      <c r="AB183" s="23">
        <f>EXP(-LN(2)/2)*AB182+(1-EXP(-LN(2)/2))/(LN(2)/2)*V183*Y183*VLOOKUP('Données projet'!$B$9,Paramètres!$A$1:$I$89,3,0)*0.475*44/12</f>
        <v>2.9137353807714956E-22</v>
      </c>
      <c r="AC183" s="24">
        <f t="shared" si="163"/>
        <v>0.34795972293321276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-1.7053025658242404E-13</v>
      </c>
      <c r="AJ183" s="14">
        <f>AI183*VLOOKUP('Données projet'!$B$10,Paramètres!$A$1:$I$89,3,0)*VLOOKUP('Données projet'!$B$10,Paramètres!$A$1:$I$89,5,0)</f>
        <v>-1.3567387213697657E-13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310.15624717801779</v>
      </c>
      <c r="AO183" s="62">
        <f t="shared" si="144"/>
        <v>294.28794439094889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3.813056537183002E-14</v>
      </c>
      <c r="BF183" s="14">
        <f t="shared" si="167"/>
        <v>6.4086286045526829E-13</v>
      </c>
      <c r="BG183" s="22">
        <f t="shared" si="168"/>
        <v>1.1825802166488628E-12</v>
      </c>
      <c r="BH183" s="62">
        <f t="shared" si="116"/>
        <v>293.33333333333451</v>
      </c>
      <c r="BI183" s="62">
        <f ca="1">AVERAGE(OFFSET($BH$3,0,0,'Données projet'!$E$11+1,1))-AVERAGE(OFFSET($H$3,0,0,'Données projet'!$E$11+1,1))</f>
        <v>261.34571165681393</v>
      </c>
      <c r="BJ183" s="62">
        <f t="shared" si="146"/>
        <v>207.9851454455669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-3.4106051316484809E-13</v>
      </c>
      <c r="O184" s="14">
        <f>N184*VLOOKUP('Données projet'!$B$9,Paramètres!$A$1:$I$89,3,0)*VLOOKUP('Données projet'!$B$9,Paramètres!$A$1:$I$89,5,0)</f>
        <v>-1.9065282685915009E-13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374.79806286316051</v>
      </c>
      <c r="T184" s="62">
        <f t="shared" si="142"/>
        <v>350.01856672839466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0.33844474601119751</v>
      </c>
      <c r="AB184" s="23">
        <f>EXP(-LN(2)/2)*AB183+(1-EXP(-LN(2)/2))/(LN(2)/2)*V184*Y184*VLOOKUP('Données projet'!$B$9,Paramètres!$A$1:$I$89,3,0)*0.475*44/12</f>
        <v>2.0603220463266917E-22</v>
      </c>
      <c r="AC184" s="24">
        <f t="shared" si="163"/>
        <v>0.33844474601119751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-1.7053025658242404E-13</v>
      </c>
      <c r="AJ184" s="14">
        <f>AI184*VLOOKUP('Données projet'!$B$10,Paramètres!$A$1:$I$89,3,0)*VLOOKUP('Données projet'!$B$10,Paramètres!$A$1:$I$89,5,0)</f>
        <v>-1.3567387213697657E-13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310.15624717801779</v>
      </c>
      <c r="AO184" s="62">
        <f t="shared" si="144"/>
        <v>294.28794439094889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3.813056537183002E-14</v>
      </c>
      <c r="BF184" s="14">
        <f t="shared" si="167"/>
        <v>6.4086286045526829E-13</v>
      </c>
      <c r="BG184" s="22">
        <f t="shared" si="168"/>
        <v>1.1825802166488628E-12</v>
      </c>
      <c r="BH184" s="62">
        <f t="shared" si="116"/>
        <v>293.33333333333451</v>
      </c>
      <c r="BI184" s="62">
        <f ca="1">AVERAGE(OFFSET($BH$3,0,0,'Données projet'!$E$11+1,1))-AVERAGE(OFFSET($H$3,0,0,'Données projet'!$E$11+1,1))</f>
        <v>261.34571165681393</v>
      </c>
      <c r="BJ184" s="62">
        <f t="shared" si="146"/>
        <v>207.9851454455669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-3.4106051316484809E-13</v>
      </c>
      <c r="O185" s="14">
        <f>N185*VLOOKUP('Données projet'!$B$9,Paramètres!$A$1:$I$89,3,0)*VLOOKUP('Données projet'!$B$9,Paramètres!$A$1:$I$89,5,0)</f>
        <v>-1.9065282685915009E-13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374.79806286316051</v>
      </c>
      <c r="T185" s="62">
        <f t="shared" si="142"/>
        <v>350.01856672839466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0.32918995663348566</v>
      </c>
      <c r="AB185" s="23">
        <f>EXP(-LN(2)/2)*AB184+(1-EXP(-LN(2)/2))/(LN(2)/2)*V185*Y185*VLOOKUP('Données projet'!$B$9,Paramètres!$A$1:$I$89,3,0)*0.475*44/12</f>
        <v>1.456867690385748E-22</v>
      </c>
      <c r="AC185" s="24">
        <f t="shared" si="163"/>
        <v>0.32918995663348566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-1.7053025658242404E-13</v>
      </c>
      <c r="AJ185" s="14">
        <f>AI185*VLOOKUP('Données projet'!$B$10,Paramètres!$A$1:$I$89,3,0)*VLOOKUP('Données projet'!$B$10,Paramètres!$A$1:$I$89,5,0)</f>
        <v>-1.3567387213697657E-13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310.15624717801779</v>
      </c>
      <c r="AO185" s="62">
        <f t="shared" si="144"/>
        <v>294.28794439094889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3.813056537183002E-14</v>
      </c>
      <c r="BF185" s="14">
        <f t="shared" si="167"/>
        <v>6.4086286045526829E-13</v>
      </c>
      <c r="BG185" s="22">
        <f t="shared" si="168"/>
        <v>1.1825802166488628E-12</v>
      </c>
      <c r="BH185" s="62">
        <f t="shared" si="116"/>
        <v>293.33333333333451</v>
      </c>
      <c r="BI185" s="62">
        <f ca="1">AVERAGE(OFFSET($BH$3,0,0,'Données projet'!$E$11+1,1))-AVERAGE(OFFSET($H$3,0,0,'Données projet'!$E$11+1,1))</f>
        <v>261.34571165681393</v>
      </c>
      <c r="BJ185" s="62">
        <f t="shared" si="146"/>
        <v>207.9851454455669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-3.4106051316484809E-13</v>
      </c>
      <c r="O186" s="14">
        <f>N186*VLOOKUP('Données projet'!$B$9,Paramètres!$A$1:$I$89,3,0)*VLOOKUP('Données projet'!$B$9,Paramètres!$A$1:$I$89,5,0)</f>
        <v>-1.9065282685915009E-13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374.79806286316051</v>
      </c>
      <c r="T186" s="62">
        <f t="shared" si="142"/>
        <v>350.01856672839466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0.32018823995799556</v>
      </c>
      <c r="AB186" s="23">
        <f>EXP(-LN(2)/2)*AB185+(1-EXP(-LN(2)/2))/(LN(2)/2)*V186*Y186*VLOOKUP('Données projet'!$B$9,Paramètres!$A$1:$I$89,3,0)*0.475*44/12</f>
        <v>1.0301610231633461E-22</v>
      </c>
      <c r="AC186" s="24">
        <f t="shared" si="163"/>
        <v>0.32018823995799556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-1.7053025658242404E-13</v>
      </c>
      <c r="AJ186" s="14">
        <f>AI186*VLOOKUP('Données projet'!$B$10,Paramètres!$A$1:$I$89,3,0)*VLOOKUP('Données projet'!$B$10,Paramètres!$A$1:$I$89,5,0)</f>
        <v>-1.3567387213697657E-13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310.15624717801779</v>
      </c>
      <c r="AO186" s="62">
        <f t="shared" si="144"/>
        <v>294.28794439094889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3.813056537183002E-14</v>
      </c>
      <c r="BF186" s="14">
        <f t="shared" si="167"/>
        <v>6.4086286045526829E-13</v>
      </c>
      <c r="BG186" s="22">
        <f t="shared" si="168"/>
        <v>1.1825802166488628E-12</v>
      </c>
      <c r="BH186" s="62">
        <f t="shared" si="116"/>
        <v>293.33333333333451</v>
      </c>
      <c r="BI186" s="62">
        <f ca="1">AVERAGE(OFFSET($BH$3,0,0,'Données projet'!$E$11+1,1))-AVERAGE(OFFSET($H$3,0,0,'Données projet'!$E$11+1,1))</f>
        <v>261.34571165681393</v>
      </c>
      <c r="BJ186" s="62">
        <f t="shared" si="146"/>
        <v>207.9851454455669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-3.4106051316484809E-13</v>
      </c>
      <c r="O187" s="14">
        <f>N187*VLOOKUP('Données projet'!$B$9,Paramètres!$A$1:$I$89,3,0)*VLOOKUP('Données projet'!$B$9,Paramètres!$A$1:$I$89,5,0)</f>
        <v>-1.9065282685915009E-13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374.79806286316051</v>
      </c>
      <c r="T187" s="62">
        <f t="shared" si="142"/>
        <v>350.01856672839466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0.3114326756983764</v>
      </c>
      <c r="AB187" s="23">
        <f>EXP(-LN(2)/2)*AB186+(1-EXP(-LN(2)/2))/(LN(2)/2)*V187*Y187*VLOOKUP('Données projet'!$B$9,Paramètres!$A$1:$I$89,3,0)*0.475*44/12</f>
        <v>7.2843384519287413E-23</v>
      </c>
      <c r="AC187" s="24">
        <f t="shared" si="163"/>
        <v>0.3114326756983764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-1.7053025658242404E-13</v>
      </c>
      <c r="AJ187" s="14">
        <f>AI187*VLOOKUP('Données projet'!$B$10,Paramètres!$A$1:$I$89,3,0)*VLOOKUP('Données projet'!$B$10,Paramètres!$A$1:$I$89,5,0)</f>
        <v>-1.3567387213697657E-13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310.15624717801779</v>
      </c>
      <c r="AO187" s="62">
        <f t="shared" si="144"/>
        <v>294.28794439094889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3.813056537183002E-14</v>
      </c>
      <c r="BF187" s="14">
        <f t="shared" si="167"/>
        <v>6.4086286045526829E-13</v>
      </c>
      <c r="BG187" s="22">
        <f t="shared" si="168"/>
        <v>1.1825802166488628E-12</v>
      </c>
      <c r="BH187" s="62">
        <f t="shared" si="116"/>
        <v>293.33333333333451</v>
      </c>
      <c r="BI187" s="62">
        <f ca="1">AVERAGE(OFFSET($BH$3,0,0,'Données projet'!$E$11+1,1))-AVERAGE(OFFSET($H$3,0,0,'Données projet'!$E$11+1,1))</f>
        <v>261.34571165681393</v>
      </c>
      <c r="BJ187" s="62">
        <f t="shared" si="146"/>
        <v>207.9851454455669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-3.4106051316484809E-13</v>
      </c>
      <c r="O188" s="14">
        <f>N188*VLOOKUP('Données projet'!$B$9,Paramètres!$A$1:$I$89,3,0)*VLOOKUP('Données projet'!$B$9,Paramètres!$A$1:$I$89,5,0)</f>
        <v>-1.9065282685915009E-13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374.79806286316051</v>
      </c>
      <c r="T188" s="62">
        <f t="shared" si="142"/>
        <v>350.01856672839466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0.30291653280387165</v>
      </c>
      <c r="AB188" s="23">
        <f>EXP(-LN(2)/2)*AB187+(1-EXP(-LN(2)/2))/(LN(2)/2)*V188*Y188*VLOOKUP('Données projet'!$B$9,Paramètres!$A$1:$I$89,3,0)*0.475*44/12</f>
        <v>5.150805115816731E-23</v>
      </c>
      <c r="AC188" s="24">
        <f t="shared" si="163"/>
        <v>0.30291653280387165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-1.7053025658242404E-13</v>
      </c>
      <c r="AJ188" s="14">
        <f>AI188*VLOOKUP('Données projet'!$B$10,Paramètres!$A$1:$I$89,3,0)*VLOOKUP('Données projet'!$B$10,Paramètres!$A$1:$I$89,5,0)</f>
        <v>-1.3567387213697657E-13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310.15624717801779</v>
      </c>
      <c r="AO188" s="62">
        <f t="shared" si="144"/>
        <v>294.28794439094889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3.813056537183002E-14</v>
      </c>
      <c r="BF188" s="14">
        <f t="shared" si="167"/>
        <v>6.4086286045526829E-13</v>
      </c>
      <c r="BG188" s="22">
        <f t="shared" si="168"/>
        <v>1.1825802166488628E-12</v>
      </c>
      <c r="BH188" s="62">
        <f t="shared" si="116"/>
        <v>293.33333333333451</v>
      </c>
      <c r="BI188" s="62">
        <f ca="1">AVERAGE(OFFSET($BH$3,0,0,'Données projet'!$E$11+1,1))-AVERAGE(OFFSET($H$3,0,0,'Données projet'!$E$11+1,1))</f>
        <v>261.34571165681393</v>
      </c>
      <c r="BJ188" s="62">
        <f t="shared" si="146"/>
        <v>207.9851454455669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-3.4106051316484809E-13</v>
      </c>
      <c r="O189" s="14">
        <f>N189*VLOOKUP('Données projet'!$B$9,Paramètres!$A$1:$I$89,3,0)*VLOOKUP('Données projet'!$B$9,Paramètres!$A$1:$I$89,5,0)</f>
        <v>-1.9065282685915009E-13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374.79806286316051</v>
      </c>
      <c r="T189" s="62">
        <f t="shared" si="142"/>
        <v>350.01856672839466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0.29463326428466163</v>
      </c>
      <c r="AB189" s="23">
        <f>EXP(-LN(2)/2)*AB188+(1-EXP(-LN(2)/2))/(LN(2)/2)*V189*Y189*VLOOKUP('Données projet'!$B$9,Paramètres!$A$1:$I$89,3,0)*0.475*44/12</f>
        <v>3.6421692259643712E-23</v>
      </c>
      <c r="AC189" s="24">
        <f t="shared" si="163"/>
        <v>0.29463326428466163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-1.7053025658242404E-13</v>
      </c>
      <c r="AJ189" s="14">
        <f>AI189*VLOOKUP('Données projet'!$B$10,Paramètres!$A$1:$I$89,3,0)*VLOOKUP('Données projet'!$B$10,Paramètres!$A$1:$I$89,5,0)</f>
        <v>-1.3567387213697657E-13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310.15624717801779</v>
      </c>
      <c r="AO189" s="62">
        <f t="shared" si="144"/>
        <v>294.28794439094889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3.813056537183002E-14</v>
      </c>
      <c r="BF189" s="14">
        <f t="shared" si="167"/>
        <v>6.4086286045526829E-13</v>
      </c>
      <c r="BG189" s="22">
        <f t="shared" si="168"/>
        <v>1.1825802166488628E-12</v>
      </c>
      <c r="BH189" s="62">
        <f t="shared" si="116"/>
        <v>293.33333333333451</v>
      </c>
      <c r="BI189" s="62">
        <f ca="1">AVERAGE(OFFSET($BH$3,0,0,'Données projet'!$E$11+1,1))-AVERAGE(OFFSET($H$3,0,0,'Données projet'!$E$11+1,1))</f>
        <v>261.34571165681393</v>
      </c>
      <c r="BJ189" s="62">
        <f t="shared" si="146"/>
        <v>207.9851454455669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-3.4106051316484809E-13</v>
      </c>
      <c r="O190" s="14">
        <f>N190*VLOOKUP('Données projet'!$B$9,Paramètres!$A$1:$I$89,3,0)*VLOOKUP('Données projet'!$B$9,Paramètres!$A$1:$I$89,5,0)</f>
        <v>-1.9065282685915009E-13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374.79806286316051</v>
      </c>
      <c r="T190" s="62">
        <f t="shared" si="142"/>
        <v>350.01856672839466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0.28657650217870756</v>
      </c>
      <c r="AB190" s="23">
        <f>EXP(-LN(2)/2)*AB189+(1-EXP(-LN(2)/2))/(LN(2)/2)*V190*Y190*VLOOKUP('Données projet'!$B$9,Paramètres!$A$1:$I$89,3,0)*0.475*44/12</f>
        <v>2.5754025579083661E-23</v>
      </c>
      <c r="AC190" s="24">
        <f t="shared" si="163"/>
        <v>0.28657650217870756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-1.7053025658242404E-13</v>
      </c>
      <c r="AJ190" s="14">
        <f>AI190*VLOOKUP('Données projet'!$B$10,Paramètres!$A$1:$I$89,3,0)*VLOOKUP('Données projet'!$B$10,Paramètres!$A$1:$I$89,5,0)</f>
        <v>-1.3567387213697657E-13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310.15624717801779</v>
      </c>
      <c r="AO190" s="62">
        <f t="shared" si="144"/>
        <v>294.28794439094889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3.813056537183002E-14</v>
      </c>
      <c r="BF190" s="14">
        <f t="shared" si="167"/>
        <v>6.4086286045526829E-13</v>
      </c>
      <c r="BG190" s="22">
        <f t="shared" si="168"/>
        <v>1.1825802166488628E-12</v>
      </c>
      <c r="BH190" s="62">
        <f t="shared" si="116"/>
        <v>293.33333333333451</v>
      </c>
      <c r="BI190" s="62">
        <f ca="1">AVERAGE(OFFSET($BH$3,0,0,'Données projet'!$E$11+1,1))-AVERAGE(OFFSET($H$3,0,0,'Données projet'!$E$11+1,1))</f>
        <v>261.34571165681393</v>
      </c>
      <c r="BJ190" s="62">
        <f t="shared" si="146"/>
        <v>207.9851454455669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-3.4106051316484809E-13</v>
      </c>
      <c r="O191" s="14">
        <f>N191*VLOOKUP('Données projet'!$B$9,Paramètres!$A$1:$I$89,3,0)*VLOOKUP('Données projet'!$B$9,Paramètres!$A$1:$I$89,5,0)</f>
        <v>-1.9065282685915009E-13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374.79806286316051</v>
      </c>
      <c r="T191" s="62">
        <f t="shared" si="142"/>
        <v>350.01856672839466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0.27874005265622753</v>
      </c>
      <c r="AB191" s="23">
        <f>EXP(-LN(2)/2)*AB190+(1-EXP(-LN(2)/2))/(LN(2)/2)*V191*Y191*VLOOKUP('Données projet'!$B$9,Paramètres!$A$1:$I$89,3,0)*0.475*44/12</f>
        <v>1.8210846129821859E-23</v>
      </c>
      <c r="AC191" s="24">
        <f t="shared" si="163"/>
        <v>0.27874005265622753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-1.7053025658242404E-13</v>
      </c>
      <c r="AJ191" s="14">
        <f>AI191*VLOOKUP('Données projet'!$B$10,Paramètres!$A$1:$I$89,3,0)*VLOOKUP('Données projet'!$B$10,Paramètres!$A$1:$I$89,5,0)</f>
        <v>-1.3567387213697657E-13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310.15624717801779</v>
      </c>
      <c r="AO191" s="62">
        <f t="shared" si="144"/>
        <v>294.28794439094889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3.813056537183002E-14</v>
      </c>
      <c r="BF191" s="14">
        <f t="shared" si="167"/>
        <v>6.4086286045526829E-13</v>
      </c>
      <c r="BG191" s="22">
        <f t="shared" si="168"/>
        <v>1.1825802166488628E-12</v>
      </c>
      <c r="BH191" s="62">
        <f t="shared" si="116"/>
        <v>293.33333333333451</v>
      </c>
      <c r="BI191" s="62">
        <f ca="1">AVERAGE(OFFSET($BH$3,0,0,'Données projet'!$E$11+1,1))-AVERAGE(OFFSET($H$3,0,0,'Données projet'!$E$11+1,1))</f>
        <v>261.34571165681393</v>
      </c>
      <c r="BJ191" s="62">
        <f t="shared" si="146"/>
        <v>207.9851454455669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-3.4106051316484809E-13</v>
      </c>
      <c r="O192" s="14">
        <f>N192*VLOOKUP('Données projet'!$B$9,Paramètres!$A$1:$I$89,3,0)*VLOOKUP('Données projet'!$B$9,Paramètres!$A$1:$I$89,5,0)</f>
        <v>-1.9065282685915009E-13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374.79806286316051</v>
      </c>
      <c r="T192" s="62">
        <f t="shared" si="142"/>
        <v>350.01856672839466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0.2711178912580407</v>
      </c>
      <c r="AB192" s="23">
        <f>EXP(-LN(2)/2)*AB191+(1-EXP(-LN(2)/2))/(LN(2)/2)*V192*Y192*VLOOKUP('Données projet'!$B$9,Paramètres!$A$1:$I$89,3,0)*0.475*44/12</f>
        <v>1.2877012789541832E-23</v>
      </c>
      <c r="AC192" s="24">
        <f t="shared" si="163"/>
        <v>0.2711178912580407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-1.7053025658242404E-13</v>
      </c>
      <c r="AJ192" s="14">
        <f>AI192*VLOOKUP('Données projet'!$B$10,Paramètres!$A$1:$I$89,3,0)*VLOOKUP('Données projet'!$B$10,Paramètres!$A$1:$I$89,5,0)</f>
        <v>-1.3567387213697657E-13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310.15624717801779</v>
      </c>
      <c r="AO192" s="62">
        <f t="shared" si="144"/>
        <v>294.28794439094889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3.813056537183002E-14</v>
      </c>
      <c r="BF192" s="14">
        <f t="shared" si="167"/>
        <v>6.4086286045526829E-13</v>
      </c>
      <c r="BG192" s="22">
        <f t="shared" si="168"/>
        <v>1.1825802166488628E-12</v>
      </c>
      <c r="BH192" s="62">
        <f t="shared" si="116"/>
        <v>293.33333333333451</v>
      </c>
      <c r="BI192" s="62">
        <f ca="1">AVERAGE(OFFSET($BH$3,0,0,'Données projet'!$E$11+1,1))-AVERAGE(OFFSET($H$3,0,0,'Données projet'!$E$11+1,1))</f>
        <v>261.34571165681393</v>
      </c>
      <c r="BJ192" s="62">
        <f t="shared" si="146"/>
        <v>207.9851454455669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-3.4106051316484809E-13</v>
      </c>
      <c r="O193" s="14">
        <f>N193*VLOOKUP('Données projet'!$B$9,Paramètres!$A$1:$I$89,3,0)*VLOOKUP('Données projet'!$B$9,Paramètres!$A$1:$I$89,5,0)</f>
        <v>-1.9065282685915009E-13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374.79806286316051</v>
      </c>
      <c r="T193" s="62">
        <f t="shared" si="142"/>
        <v>350.01856672839466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0.2637041582641193</v>
      </c>
      <c r="AB193" s="23">
        <f>EXP(-LN(2)/2)*AB192+(1-EXP(-LN(2)/2))/(LN(2)/2)*V193*Y193*VLOOKUP('Données projet'!$B$9,Paramètres!$A$1:$I$89,3,0)*0.475*44/12</f>
        <v>9.105423064910931E-24</v>
      </c>
      <c r="AC193" s="24">
        <f t="shared" si="163"/>
        <v>0.2637041582641193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-1.7053025658242404E-13</v>
      </c>
      <c r="AJ193" s="14">
        <f>AI193*VLOOKUP('Données projet'!$B$10,Paramètres!$A$1:$I$89,3,0)*VLOOKUP('Données projet'!$B$10,Paramètres!$A$1:$I$89,5,0)</f>
        <v>-1.3567387213697657E-13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310.15624717801779</v>
      </c>
      <c r="AO193" s="62">
        <f t="shared" si="144"/>
        <v>294.28794439094889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3.813056537183002E-14</v>
      </c>
      <c r="BF193" s="14">
        <f t="shared" si="167"/>
        <v>6.4086286045526829E-13</v>
      </c>
      <c r="BG193" s="22">
        <f t="shared" si="168"/>
        <v>1.1825802166488628E-12</v>
      </c>
      <c r="BH193" s="62">
        <f t="shared" si="116"/>
        <v>293.33333333333451</v>
      </c>
      <c r="BI193" s="62">
        <f ca="1">AVERAGE(OFFSET($BH$3,0,0,'Données projet'!$E$11+1,1))-AVERAGE(OFFSET($H$3,0,0,'Données projet'!$E$11+1,1))</f>
        <v>261.34571165681393</v>
      </c>
      <c r="BJ193" s="62">
        <f t="shared" si="146"/>
        <v>207.9851454455669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-3.4106051316484809E-13</v>
      </c>
      <c r="O194" s="14">
        <f>N194*VLOOKUP('Données projet'!$B$9,Paramètres!$A$1:$I$89,3,0)*VLOOKUP('Données projet'!$B$9,Paramètres!$A$1:$I$89,5,0)</f>
        <v>-1.9065282685915009E-13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374.79806286316051</v>
      </c>
      <c r="T194" s="62">
        <f t="shared" si="142"/>
        <v>350.01856672839466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0.25649315418878799</v>
      </c>
      <c r="AB194" s="23">
        <f>EXP(-LN(2)/2)*AB193+(1-EXP(-LN(2)/2))/(LN(2)/2)*V194*Y194*VLOOKUP('Données projet'!$B$9,Paramètres!$A$1:$I$89,3,0)*0.475*44/12</f>
        <v>6.4385063947709167E-24</v>
      </c>
      <c r="AC194" s="24">
        <f t="shared" si="163"/>
        <v>0.25649315418878799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-1.7053025658242404E-13</v>
      </c>
      <c r="AJ194" s="14">
        <f>AI194*VLOOKUP('Données projet'!$B$10,Paramètres!$A$1:$I$89,3,0)*VLOOKUP('Données projet'!$B$10,Paramètres!$A$1:$I$89,5,0)</f>
        <v>-1.3567387213697657E-13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310.15624717801779</v>
      </c>
      <c r="AO194" s="62">
        <f t="shared" si="144"/>
        <v>294.28794439094889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3.813056537183002E-14</v>
      </c>
      <c r="BF194" s="14">
        <f t="shared" si="167"/>
        <v>6.4086286045526829E-13</v>
      </c>
      <c r="BG194" s="22">
        <f t="shared" si="168"/>
        <v>1.1825802166488628E-12</v>
      </c>
      <c r="BH194" s="62">
        <f t="shared" si="116"/>
        <v>293.33333333333451</v>
      </c>
      <c r="BI194" s="62">
        <f ca="1">AVERAGE(OFFSET($BH$3,0,0,'Données projet'!$E$11+1,1))-AVERAGE(OFFSET($H$3,0,0,'Données projet'!$E$11+1,1))</f>
        <v>261.34571165681393</v>
      </c>
      <c r="BJ194" s="62">
        <f t="shared" si="146"/>
        <v>207.9851454455669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-3.4106051316484809E-13</v>
      </c>
      <c r="O195" s="14">
        <f>N195*VLOOKUP('Données projet'!$B$9,Paramètres!$A$1:$I$89,3,0)*VLOOKUP('Données projet'!$B$9,Paramètres!$A$1:$I$89,5,0)</f>
        <v>-1.9065282685915009E-13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374.79806286316051</v>
      </c>
      <c r="T195" s="62">
        <f t="shared" si="142"/>
        <v>350.01856672839466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0.24947933539910683</v>
      </c>
      <c r="AB195" s="23">
        <f>EXP(-LN(2)/2)*AB194+(1-EXP(-LN(2)/2))/(LN(2)/2)*V195*Y195*VLOOKUP('Données projet'!$B$9,Paramètres!$A$1:$I$89,3,0)*0.475*44/12</f>
        <v>4.5527115324554662E-24</v>
      </c>
      <c r="AC195" s="24">
        <f t="shared" si="163"/>
        <v>0.24947933539910683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-1.7053025658242404E-13</v>
      </c>
      <c r="AJ195" s="14">
        <f>AI195*VLOOKUP('Données projet'!$B$10,Paramètres!$A$1:$I$89,3,0)*VLOOKUP('Données projet'!$B$10,Paramètres!$A$1:$I$89,5,0)</f>
        <v>-1.3567387213697657E-13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310.15624717801779</v>
      </c>
      <c r="AO195" s="62">
        <f t="shared" si="144"/>
        <v>294.28794439094889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3.813056537183002E-14</v>
      </c>
      <c r="BF195" s="14">
        <f t="shared" si="167"/>
        <v>6.4086286045526829E-13</v>
      </c>
      <c r="BG195" s="22">
        <f t="shared" si="168"/>
        <v>1.1825802166488628E-12</v>
      </c>
      <c r="BH195" s="62">
        <f t="shared" si="116"/>
        <v>293.33333333333451</v>
      </c>
      <c r="BI195" s="62">
        <f ca="1">AVERAGE(OFFSET($BH$3,0,0,'Données projet'!$E$11+1,1))-AVERAGE(OFFSET($H$3,0,0,'Données projet'!$E$11+1,1))</f>
        <v>261.34571165681393</v>
      </c>
      <c r="BJ195" s="62">
        <f t="shared" si="146"/>
        <v>207.9851454455669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-3.4106051316484809E-13</v>
      </c>
      <c r="O196" s="14">
        <f>N196*VLOOKUP('Données projet'!$B$9,Paramètres!$A$1:$I$89,3,0)*VLOOKUP('Données projet'!$B$9,Paramètres!$A$1:$I$89,5,0)</f>
        <v>-1.9065282685915009E-13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374.79806286316051</v>
      </c>
      <c r="T196" s="62">
        <f t="shared" si="142"/>
        <v>350.01856672839466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0.24265730985307019</v>
      </c>
      <c r="AB196" s="23">
        <f>EXP(-LN(2)/2)*AB195+(1-EXP(-LN(2)/2))/(LN(2)/2)*V196*Y196*VLOOKUP('Données projet'!$B$9,Paramètres!$A$1:$I$89,3,0)*0.475*44/12</f>
        <v>3.2192531973854591E-24</v>
      </c>
      <c r="AC196" s="24">
        <f t="shared" si="163"/>
        <v>0.24265730985307019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-1.7053025658242404E-13</v>
      </c>
      <c r="AJ196" s="14">
        <f>AI196*VLOOKUP('Données projet'!$B$10,Paramètres!$A$1:$I$89,3,0)*VLOOKUP('Données projet'!$B$10,Paramètres!$A$1:$I$89,5,0)</f>
        <v>-1.3567387213697657E-13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310.15624717801779</v>
      </c>
      <c r="AO196" s="62">
        <f t="shared" si="144"/>
        <v>294.28794439094889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3.813056537183002E-14</v>
      </c>
      <c r="BF196" s="14">
        <f t="shared" si="167"/>
        <v>6.4086286045526829E-13</v>
      </c>
      <c r="BG196" s="22">
        <f t="shared" si="168"/>
        <v>1.1825802166488628E-12</v>
      </c>
      <c r="BH196" s="62">
        <f t="shared" ref="BH196:BH203" si="194">BG196+(AY196+AZ196)*44/12</f>
        <v>293.33333333333451</v>
      </c>
      <c r="BI196" s="62">
        <f ca="1">AVERAGE(OFFSET($BH$3,0,0,'Données projet'!$E$11+1,1))-AVERAGE(OFFSET($H$3,0,0,'Données projet'!$E$11+1,1))</f>
        <v>261.34571165681393</v>
      </c>
      <c r="BJ196" s="62">
        <f t="shared" si="146"/>
        <v>207.9851454455669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-3.4106051316484809E-13</v>
      </c>
      <c r="O197" s="14">
        <f>N197*VLOOKUP('Données projet'!$B$9,Paramètres!$A$1:$I$89,3,0)*VLOOKUP('Données projet'!$B$9,Paramètres!$A$1:$I$89,5,0)</f>
        <v>-1.9065282685915009E-13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374.79806286316051</v>
      </c>
      <c r="T197" s="62">
        <f t="shared" ref="T197:T203" si="204">$T$3</f>
        <v>350.01856672839466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0.23602183295434465</v>
      </c>
      <c r="AB197" s="23">
        <f>EXP(-LN(2)/2)*AB196+(1-EXP(-LN(2)/2))/(LN(2)/2)*V197*Y197*VLOOKUP('Données projet'!$B$9,Paramètres!$A$1:$I$89,3,0)*0.475*44/12</f>
        <v>2.2763557662277335E-24</v>
      </c>
      <c r="AC197" s="24">
        <f t="shared" si="163"/>
        <v>0.23602183295434465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-1.7053025658242404E-13</v>
      </c>
      <c r="AJ197" s="14">
        <f>AI197*VLOOKUP('Données projet'!$B$10,Paramètres!$A$1:$I$89,3,0)*VLOOKUP('Données projet'!$B$10,Paramètres!$A$1:$I$89,5,0)</f>
        <v>-1.3567387213697657E-13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310.15624717801779</v>
      </c>
      <c r="AO197" s="62">
        <f t="shared" ref="AO197:AO203" si="205">$AO$3</f>
        <v>294.28794439094889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3.813056537183002E-14</v>
      </c>
      <c r="BF197" s="14">
        <f t="shared" si="167"/>
        <v>6.4086286045526829E-13</v>
      </c>
      <c r="BG197" s="22">
        <f t="shared" si="168"/>
        <v>1.1825802166488628E-12</v>
      </c>
      <c r="BH197" s="62">
        <f t="shared" si="194"/>
        <v>293.33333333333451</v>
      </c>
      <c r="BI197" s="62">
        <f ca="1">AVERAGE(OFFSET($BH$3,0,0,'Données projet'!$E$11+1,1))-AVERAGE(OFFSET($H$3,0,0,'Données projet'!$E$11+1,1))</f>
        <v>261.34571165681393</v>
      </c>
      <c r="BJ197" s="62">
        <f t="shared" ref="BJ197:BJ203" si="206">$BJ$3</f>
        <v>207.9851454455669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-3.4106051316484809E-13</v>
      </c>
      <c r="O198" s="14">
        <f>N198*VLOOKUP('Données projet'!$B$9,Paramètres!$A$1:$I$89,3,0)*VLOOKUP('Données projet'!$B$9,Paramètres!$A$1:$I$89,5,0)</f>
        <v>-1.9065282685915009E-13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374.79806286316051</v>
      </c>
      <c r="T198" s="62">
        <f t="shared" si="204"/>
        <v>350.01856672839466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0.22956780352035933</v>
      </c>
      <c r="AB198" s="23">
        <f>EXP(-LN(2)/2)*AB197+(1-EXP(-LN(2)/2))/(LN(2)/2)*V198*Y198*VLOOKUP('Données projet'!$B$9,Paramètres!$A$1:$I$89,3,0)*0.475*44/12</f>
        <v>1.6096265986927297E-24</v>
      </c>
      <c r="AC198" s="24">
        <f t="shared" si="163"/>
        <v>0.22956780352035933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-1.7053025658242404E-13</v>
      </c>
      <c r="AJ198" s="14">
        <f>AI198*VLOOKUP('Données projet'!$B$10,Paramètres!$A$1:$I$89,3,0)*VLOOKUP('Données projet'!$B$10,Paramètres!$A$1:$I$89,5,0)</f>
        <v>-1.3567387213697657E-13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310.15624717801779</v>
      </c>
      <c r="AO198" s="62">
        <f t="shared" si="205"/>
        <v>294.28794439094889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3.813056537183002E-14</v>
      </c>
      <c r="BF198" s="14">
        <f t="shared" si="167"/>
        <v>6.4086286045526829E-13</v>
      </c>
      <c r="BG198" s="22">
        <f t="shared" si="168"/>
        <v>1.1825802166488628E-12</v>
      </c>
      <c r="BH198" s="62">
        <f t="shared" si="194"/>
        <v>293.33333333333451</v>
      </c>
      <c r="BI198" s="62">
        <f ca="1">AVERAGE(OFFSET($BH$3,0,0,'Données projet'!$E$11+1,1))-AVERAGE(OFFSET($H$3,0,0,'Données projet'!$E$11+1,1))</f>
        <v>261.34571165681393</v>
      </c>
      <c r="BJ198" s="62">
        <f t="shared" si="206"/>
        <v>207.9851454455669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-3.4106051316484809E-13</v>
      </c>
      <c r="O199" s="14">
        <f>N199*VLOOKUP('Données projet'!$B$9,Paramètres!$A$1:$I$89,3,0)*VLOOKUP('Données projet'!$B$9,Paramètres!$A$1:$I$89,5,0)</f>
        <v>-1.9065282685915009E-13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374.79806286316051</v>
      </c>
      <c r="T199" s="62">
        <f t="shared" si="204"/>
        <v>350.01856672839466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0.22329025986064899</v>
      </c>
      <c r="AB199" s="23">
        <f>EXP(-LN(2)/2)*AB198+(1-EXP(-LN(2)/2))/(LN(2)/2)*V199*Y199*VLOOKUP('Données projet'!$B$9,Paramètres!$A$1:$I$89,3,0)*0.475*44/12</f>
        <v>1.1381778831138669E-24</v>
      </c>
      <c r="AC199" s="24">
        <f t="shared" si="163"/>
        <v>0.22329025986064899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-1.7053025658242404E-13</v>
      </c>
      <c r="AJ199" s="14">
        <f>AI199*VLOOKUP('Données projet'!$B$10,Paramètres!$A$1:$I$89,3,0)*VLOOKUP('Données projet'!$B$10,Paramètres!$A$1:$I$89,5,0)</f>
        <v>-1.3567387213697657E-13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310.15624717801779</v>
      </c>
      <c r="AO199" s="62">
        <f t="shared" si="205"/>
        <v>294.28794439094889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3.813056537183002E-14</v>
      </c>
      <c r="BF199" s="14">
        <f t="shared" si="167"/>
        <v>6.4086286045526829E-13</v>
      </c>
      <c r="BG199" s="22">
        <f t="shared" si="168"/>
        <v>1.1825802166488628E-12</v>
      </c>
      <c r="BH199" s="62">
        <f t="shared" si="194"/>
        <v>293.33333333333451</v>
      </c>
      <c r="BI199" s="62">
        <f ca="1">AVERAGE(OFFSET($BH$3,0,0,'Données projet'!$E$11+1,1))-AVERAGE(OFFSET($H$3,0,0,'Données projet'!$E$11+1,1))</f>
        <v>261.34571165681393</v>
      </c>
      <c r="BJ199" s="62">
        <f t="shared" si="206"/>
        <v>207.9851454455669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-3.4106051316484809E-13</v>
      </c>
      <c r="O200" s="14">
        <f>N200*VLOOKUP('Données projet'!$B$9,Paramètres!$A$1:$I$89,3,0)*VLOOKUP('Données projet'!$B$9,Paramètres!$A$1:$I$89,5,0)</f>
        <v>-1.9065282685915009E-13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374.79806286316051</v>
      </c>
      <c r="T200" s="62">
        <f t="shared" si="204"/>
        <v>350.01856672839466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0.21718437596243512</v>
      </c>
      <c r="AB200" s="23">
        <f>EXP(-LN(2)/2)*AB199+(1-EXP(-LN(2)/2))/(LN(2)/2)*V200*Y200*VLOOKUP('Données projet'!$B$9,Paramètres!$A$1:$I$89,3,0)*0.475*44/12</f>
        <v>8.0481329934636505E-25</v>
      </c>
      <c r="AC200" s="24">
        <f t="shared" si="163"/>
        <v>0.21718437596243512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-1.7053025658242404E-13</v>
      </c>
      <c r="AJ200" s="14">
        <f>AI200*VLOOKUP('Données projet'!$B$10,Paramètres!$A$1:$I$89,3,0)*VLOOKUP('Données projet'!$B$10,Paramètres!$A$1:$I$89,5,0)</f>
        <v>-1.3567387213697657E-13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310.15624717801779</v>
      </c>
      <c r="AO200" s="62">
        <f t="shared" si="205"/>
        <v>294.28794439094889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3.813056537183002E-14</v>
      </c>
      <c r="BF200" s="14">
        <f t="shared" si="167"/>
        <v>6.4086286045526829E-13</v>
      </c>
      <c r="BG200" s="22">
        <f t="shared" si="168"/>
        <v>1.1825802166488628E-12</v>
      </c>
      <c r="BH200" s="62">
        <f t="shared" si="194"/>
        <v>293.33333333333451</v>
      </c>
      <c r="BI200" s="62">
        <f ca="1">AVERAGE(OFFSET($BH$3,0,0,'Données projet'!$E$11+1,1))-AVERAGE(OFFSET($H$3,0,0,'Données projet'!$E$11+1,1))</f>
        <v>261.34571165681393</v>
      </c>
      <c r="BJ200" s="62">
        <f t="shared" si="206"/>
        <v>207.9851454455669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-3.4106051316484809E-13</v>
      </c>
      <c r="O201" s="14">
        <f>N201*VLOOKUP('Données projet'!$B$9,Paramètres!$A$1:$I$89,3,0)*VLOOKUP('Données projet'!$B$9,Paramètres!$A$1:$I$89,5,0)</f>
        <v>-1.9065282685915009E-13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374.79806286316051</v>
      </c>
      <c r="T201" s="62">
        <f t="shared" si="204"/>
        <v>350.01856672839466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0.21124545778051237</v>
      </c>
      <c r="AB201" s="23">
        <f>EXP(-LN(2)/2)*AB200+(1-EXP(-LN(2)/2))/(LN(2)/2)*V201*Y201*VLOOKUP('Données projet'!$B$9,Paramètres!$A$1:$I$89,3,0)*0.475*44/12</f>
        <v>5.6908894155693355E-25</v>
      </c>
      <c r="AC201" s="24">
        <f t="shared" si="163"/>
        <v>0.21124545778051237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-1.7053025658242404E-13</v>
      </c>
      <c r="AJ201" s="14">
        <f>AI201*VLOOKUP('Données projet'!$B$10,Paramètres!$A$1:$I$89,3,0)*VLOOKUP('Données projet'!$B$10,Paramètres!$A$1:$I$89,5,0)</f>
        <v>-1.3567387213697657E-13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310.15624717801779</v>
      </c>
      <c r="AO201" s="62">
        <f t="shared" si="205"/>
        <v>294.28794439094889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3.813056537183002E-14</v>
      </c>
      <c r="BF201" s="14">
        <f t="shared" si="167"/>
        <v>6.4086286045526829E-13</v>
      </c>
      <c r="BG201" s="22">
        <f t="shared" si="168"/>
        <v>1.1825802166488628E-12</v>
      </c>
      <c r="BH201" s="62">
        <f t="shared" si="194"/>
        <v>293.33333333333451</v>
      </c>
      <c r="BI201" s="62">
        <f ca="1">AVERAGE(OFFSET($BH$3,0,0,'Données projet'!$E$11+1,1))-AVERAGE(OFFSET($H$3,0,0,'Données projet'!$E$11+1,1))</f>
        <v>261.34571165681393</v>
      </c>
      <c r="BJ201" s="62">
        <f t="shared" si="206"/>
        <v>207.9851454455669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-3.4106051316484809E-13</v>
      </c>
      <c r="O202" s="14">
        <f>N202*VLOOKUP('Données projet'!$B$9,Paramètres!$A$1:$I$89,3,0)*VLOOKUP('Données projet'!$B$9,Paramètres!$A$1:$I$89,5,0)</f>
        <v>-1.9065282685915009E-13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374.79806286316051</v>
      </c>
      <c r="T202" s="62">
        <f t="shared" si="204"/>
        <v>350.01856672839466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0.20546893962858845</v>
      </c>
      <c r="AB202" s="23">
        <f>EXP(-LN(2)/2)*AB201+(1-EXP(-LN(2)/2))/(LN(2)/2)*V202*Y202*VLOOKUP('Données projet'!$B$9,Paramètres!$A$1:$I$89,3,0)*0.475*44/12</f>
        <v>4.0240664967318257E-25</v>
      </c>
      <c r="AC202" s="24">
        <f t="shared" si="163"/>
        <v>0.20546893962858845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-1.7053025658242404E-13</v>
      </c>
      <c r="AJ202" s="14">
        <f>AI202*VLOOKUP('Données projet'!$B$10,Paramètres!$A$1:$I$89,3,0)*VLOOKUP('Données projet'!$B$10,Paramètres!$A$1:$I$89,5,0)</f>
        <v>-1.3567387213697657E-13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310.15624717801779</v>
      </c>
      <c r="AO202" s="62">
        <f t="shared" si="205"/>
        <v>294.28794439094889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3.813056537183002E-14</v>
      </c>
      <c r="BF202" s="14">
        <f t="shared" si="167"/>
        <v>6.4086286045526829E-13</v>
      </c>
      <c r="BG202" s="22">
        <f t="shared" si="168"/>
        <v>1.1825802166488628E-12</v>
      </c>
      <c r="BH202" s="62">
        <f t="shared" si="194"/>
        <v>293.33333333333451</v>
      </c>
      <c r="BI202" s="62">
        <f ca="1">AVERAGE(OFFSET($BH$3,0,0,'Données projet'!$E$11+1,1))-AVERAGE(OFFSET($H$3,0,0,'Données projet'!$E$11+1,1))</f>
        <v>261.34571165681393</v>
      </c>
      <c r="BJ202" s="62">
        <f t="shared" si="206"/>
        <v>207.9851454455669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-3.4106051316484809E-13</v>
      </c>
      <c r="O203" s="14">
        <f>N203*VLOOKUP('Données projet'!$B$9,Paramètres!$A$1:$I$89,3,0)*VLOOKUP('Données projet'!$B$9,Paramètres!$A$1:$I$89,5,0)</f>
        <v>-1.9065282685915009E-13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374.79806286316051</v>
      </c>
      <c r="T203" s="62">
        <f t="shared" si="204"/>
        <v>350.01856672839466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0.19985038066930277</v>
      </c>
      <c r="AB203" s="23">
        <f>EXP(-LN(2)/2)*AB202+(1-EXP(-LN(2)/2))/(LN(2)/2)*V203*Y203*VLOOKUP('Données projet'!$B$9,Paramètres!$A$1:$I$89,3,0)*0.475*44/12</f>
        <v>2.8454447077846682E-25</v>
      </c>
      <c r="AC203" s="24">
        <f t="shared" si="163"/>
        <v>0.19985038066930277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-1.7053025658242404E-13</v>
      </c>
      <c r="AJ203" s="14">
        <f>AI203*VLOOKUP('Données projet'!$B$10,Paramètres!$A$1:$I$89,3,0)*VLOOKUP('Données projet'!$B$10,Paramètres!$A$1:$I$89,5,0)</f>
        <v>-1.3567387213697657E-13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310.15624717801779</v>
      </c>
      <c r="AO203" s="62">
        <f t="shared" si="205"/>
        <v>294.28794439094889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3.813056537183002E-14</v>
      </c>
      <c r="BF203" s="14">
        <f t="shared" si="167"/>
        <v>6.4086286045526829E-13</v>
      </c>
      <c r="BG203" s="22">
        <f t="shared" si="168"/>
        <v>1.1825802166488628E-12</v>
      </c>
      <c r="BH203" s="62">
        <f t="shared" si="194"/>
        <v>293.33333333333451</v>
      </c>
      <c r="BI203" s="62">
        <f ca="1">AVERAGE(OFFSET($BH$3,0,0,'Données projet'!$E$11+1,1))-AVERAGE(OFFSET($H$3,0,0,'Données projet'!$E$11+1,1))</f>
        <v>261.34571165681393</v>
      </c>
      <c r="BJ203" s="62">
        <f t="shared" si="206"/>
        <v>207.9851454455669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1.289976715395158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1.2244647396966932</v>
      </c>
      <c r="BA205" s="88">
        <f>EXP(LN('Données projet'!B88)/'Données projet'!A88)</f>
        <v>1.2583595963961556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B1" zoomScale="90" zoomScaleNormal="90" workbookViewId="0">
      <selection activeCell="L20" sqref="D20:L2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Douglas</v>
      </c>
      <c r="B6" s="155">
        <f>'Données projet'!D9</f>
        <v>0.75</v>
      </c>
      <c r="C6" s="156">
        <f ca="1">IF(OR('Données projet'!B9="",'Données projet'!C9="",'Données projet'!C9=0%),0,Calculateur!S3)</f>
        <v>374.79806286316051</v>
      </c>
      <c r="D6" s="156">
        <f>IF(OR('Données projet'!B9="",'Données projet'!C9="",'Données projet'!C9=0%),0,Calculateur!T3)</f>
        <v>350.01856672839466</v>
      </c>
      <c r="E6" s="156">
        <f ca="1">MIN(C6,D6)</f>
        <v>350.01856672839466</v>
      </c>
      <c r="F6" s="156">
        <f ca="1">E6*B6</f>
        <v>262.51392504629598</v>
      </c>
      <c r="G6" s="156">
        <f ca="1">F6*(100%-'Données projet'!$C$24)*(100%-'Données projet'!$C$25)*(100%-'Données projet'!$C$26)*(100%-'Données projet'!$C$27)</f>
        <v>202.00446532312475</v>
      </c>
      <c r="H6" s="157">
        <f>IF(OR('Données projet'!B9="",'Données projet'!C9="",'Données projet'!C9=0%),0,AVERAGE(Calculateur!$AC$3:$AC$33)*B6)</f>
        <v>6.3363366732149631</v>
      </c>
      <c r="I6" s="158">
        <f>H6*(100%-'Données projet'!$C$24)*(100%-'Données projet'!$C$25)*(100%-'Données projet'!$C$26)*(100%-'Données projet'!$C$27)</f>
        <v>4.8758110700389139</v>
      </c>
      <c r="J6" s="159">
        <f>IF(OR('Données projet'!B9="",'Données projet'!C9="",'Données projet'!C9=0%),0,SUM(Calculateur!$V$3:$V$33)*VLOOKUP('Données projet'!$B$9,Paramètres!$A$1:$I$89,9,0)*B6)</f>
        <v>40.957499999999996</v>
      </c>
      <c r="K6" s="160">
        <f>J6*(100%-'Données projet'!$C$24)*(100%-'Données projet'!$C$25)*(100%-'Données projet'!$C$26)*(100%-'Données projet'!$C$27)</f>
        <v>31.516796249999999</v>
      </c>
      <c r="L6" s="161">
        <f ca="1">G6+I6+K6</f>
        <v>238.39707264316365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Erable sycomore</v>
      </c>
      <c r="B7" s="163">
        <f>'Données projet'!D10</f>
        <v>0.25</v>
      </c>
      <c r="C7" s="156">
        <f ca="1">IF(OR('Données projet'!B10="",'Données projet'!C10="",'Données projet'!C10=0%),0,Calculateur!AN3)</f>
        <v>310.15624717801779</v>
      </c>
      <c r="D7" s="156">
        <f>IF(OR('Données projet'!B10="",'Données projet'!C10="",'Données projet'!C10=0%),0,Calculateur!AO3)</f>
        <v>294.28794439094889</v>
      </c>
      <c r="E7" s="156">
        <f t="shared" ref="E7:E15" ca="1" si="0">MIN(C7,D7)</f>
        <v>294.28794439094889</v>
      </c>
      <c r="F7" s="156">
        <f t="shared" ref="F7:F15" ca="1" si="1">E7*B7</f>
        <v>73.571986097737224</v>
      </c>
      <c r="G7" s="156">
        <f ca="1">F7*(100%-'Données projet'!$C$24)*(100%-'Données projet'!$C$25)*(100%-'Données projet'!$C$26)*(100%-'Données projet'!$C$27)</f>
        <v>56.613643302208793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4.4375</v>
      </c>
      <c r="K7" s="160">
        <f>J7*(100%-'Données projet'!$C$24)*(100%-'Données projet'!$C$25)*(100%-'Données projet'!$C$26)*(100%-'Données projet'!$C$27)</f>
        <v>3.4146562500000002</v>
      </c>
      <c r="L7" s="161">
        <f t="shared" ref="L7:L15" ca="1" si="2">G7+I7+K7</f>
        <v>60.028299552208793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Tilleul</v>
      </c>
      <c r="B8" s="163">
        <f>'Données projet'!D11</f>
        <v>0.1875</v>
      </c>
      <c r="C8" s="156">
        <f ca="1">IF(OR('Données projet'!B11="",'Données projet'!C11="",'Données projet'!C11=0%),0,Calculateur!BI3)</f>
        <v>261.34571165681393</v>
      </c>
      <c r="D8" s="156">
        <f>IF(OR('Données projet'!B11="",'Données projet'!C11="",'Données projet'!C11=0%),0,Calculateur!BJ3)</f>
        <v>207.9851454455669</v>
      </c>
      <c r="E8" s="156">
        <f t="shared" ca="1" si="0"/>
        <v>207.9851454455669</v>
      </c>
      <c r="F8" s="156">
        <f t="shared" ca="1" si="1"/>
        <v>38.997214771043794</v>
      </c>
      <c r="G8" s="156">
        <f ca="1">F8*(100%-'Données projet'!$C$24)*(100%-'Données projet'!$C$25)*(100%-'Données projet'!$C$26)*(100%-'Données projet'!$C$27)</f>
        <v>30.008356766318201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2.0432692307692308</v>
      </c>
      <c r="K8" s="160">
        <f>J8*(100%-'Données projet'!$C$24)*(100%-'Données projet'!$C$25)*(100%-'Données projet'!$C$26)*(100%-'Données projet'!$C$27)</f>
        <v>1.5722956730769231</v>
      </c>
      <c r="L8" s="161">
        <f t="shared" ca="1" si="2"/>
        <v>31.580652439395124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375.08312591507701</v>
      </c>
      <c r="G16" s="175">
        <f t="shared" ca="1" si="3"/>
        <v>288.62646539165178</v>
      </c>
      <c r="H16" s="176">
        <f t="shared" si="3"/>
        <v>6.3363366732149631</v>
      </c>
      <c r="I16" s="176">
        <f t="shared" si="3"/>
        <v>4.8758110700389139</v>
      </c>
      <c r="J16" s="177">
        <f t="shared" si="3"/>
        <v>47.43826923076923</v>
      </c>
      <c r="K16" s="177">
        <f t="shared" si="3"/>
        <v>36.503748173076922</v>
      </c>
      <c r="L16" s="178">
        <f t="shared" ca="1" si="3"/>
        <v>330.00602463476758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Erable sycomore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Tilleul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A4" zoomScale="55" zoomScaleNormal="55" workbookViewId="0">
      <selection activeCell="F27" sqref="F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4964.4912929764032</v>
      </c>
      <c r="U10" s="190">
        <f>'Données projet'!D9</f>
        <v>0.75</v>
      </c>
      <c r="V10" s="189">
        <f>U10*T10</f>
        <v>3723.3684697323024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Erable sycomore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1397.5225050127906</v>
      </c>
      <c r="U11" s="190">
        <f>'Données projet'!D10</f>
        <v>0.25</v>
      </c>
      <c r="V11" s="189">
        <f t="shared" ref="V11" si="0">U11*T11</f>
        <v>349.38062625319765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Tilleul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598.5388734637404</v>
      </c>
      <c r="U12" s="190">
        <f>'Données projet'!D11</f>
        <v>0.1875</v>
      </c>
      <c r="V12" s="189">
        <f t="shared" ref="V12:V19" si="1">U12*T12</f>
        <v>112.22603877445133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7000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21</v>
      </c>
      <c r="B23" s="193">
        <f>'Données projet'!D36</f>
        <v>63</v>
      </c>
      <c r="C23" s="204">
        <v>15</v>
      </c>
      <c r="D23" s="194">
        <f>B23*C23</f>
        <v>945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-4565.0248652400487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28</v>
      </c>
      <c r="B24" s="193">
        <f>'Données projet'!D37</f>
        <v>64</v>
      </c>
      <c r="C24" s="204">
        <v>20</v>
      </c>
      <c r="D24" s="194">
        <f t="shared" ref="D24:D42" si="2">B24*C24</f>
        <v>1280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35</v>
      </c>
      <c r="B25" s="193">
        <f>'Données projet'!D38</f>
        <v>73</v>
      </c>
      <c r="C25" s="204">
        <v>30</v>
      </c>
      <c r="D25" s="194">
        <f t="shared" si="2"/>
        <v>2190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-4565.0248652400487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42</v>
      </c>
      <c r="B26" s="193">
        <f>'Données projet'!D39</f>
        <v>77</v>
      </c>
      <c r="C26" s="204">
        <v>35</v>
      </c>
      <c r="D26" s="194">
        <f t="shared" si="2"/>
        <v>2695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49</v>
      </c>
      <c r="B27" s="193">
        <f>'Données projet'!D40</f>
        <v>80</v>
      </c>
      <c r="C27" s="204">
        <v>40</v>
      </c>
      <c r="D27" s="194">
        <f t="shared" si="2"/>
        <v>3200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56</v>
      </c>
      <c r="B28" s="193">
        <f>'Données projet'!D41</f>
        <v>85</v>
      </c>
      <c r="C28" s="204">
        <v>50</v>
      </c>
      <c r="D28" s="194">
        <f t="shared" si="2"/>
        <v>4250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63</v>
      </c>
      <c r="B29" s="193">
        <f>'Données projet'!D42</f>
        <v>84</v>
      </c>
      <c r="C29" s="204">
        <v>60</v>
      </c>
      <c r="D29" s="194">
        <f t="shared" si="2"/>
        <v>5040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70</v>
      </c>
      <c r="B30" s="193">
        <f>'Données projet'!D43</f>
        <v>551</v>
      </c>
      <c r="C30" s="204">
        <v>90</v>
      </c>
      <c r="D30" s="194">
        <f t="shared" si="2"/>
        <v>49590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Erable sycomore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25</v>
      </c>
      <c r="B54" s="193">
        <f>'Données projet'!D62</f>
        <v>71</v>
      </c>
      <c r="C54" s="204">
        <v>10</v>
      </c>
      <c r="D54" s="191">
        <f>B54*C54</f>
        <v>710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30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35</v>
      </c>
      <c r="B56" s="193">
        <f>'Données projet'!D64</f>
        <v>56</v>
      </c>
      <c r="C56" s="204">
        <v>15</v>
      </c>
      <c r="D56" s="191">
        <f t="shared" si="4"/>
        <v>840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40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45</v>
      </c>
      <c r="B58" s="193">
        <f>'Données projet'!D66</f>
        <v>50</v>
      </c>
      <c r="C58" s="204">
        <v>20</v>
      </c>
      <c r="D58" s="191">
        <f t="shared" si="4"/>
        <v>1000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50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55</v>
      </c>
      <c r="B60" s="193">
        <f>'Données projet'!D68</f>
        <v>30</v>
      </c>
      <c r="C60" s="204">
        <v>30</v>
      </c>
      <c r="D60" s="191">
        <f t="shared" si="4"/>
        <v>900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60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65</v>
      </c>
      <c r="B62" s="193">
        <f>'Données projet'!D70</f>
        <v>23</v>
      </c>
      <c r="C62" s="204">
        <v>50</v>
      </c>
      <c r="D62" s="191">
        <f t="shared" si="4"/>
        <v>1150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70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75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80</v>
      </c>
      <c r="B65" s="193">
        <f>'Données projet'!D73</f>
        <v>295</v>
      </c>
      <c r="C65" s="204">
        <v>80</v>
      </c>
      <c r="D65" s="191">
        <f t="shared" si="4"/>
        <v>23600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Tilleul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15</v>
      </c>
      <c r="B85" s="193">
        <f>'Données projet'!D88</f>
        <v>0</v>
      </c>
      <c r="C85" s="206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20</v>
      </c>
      <c r="B86" s="193">
        <f>'Données projet'!D89</f>
        <v>17.307692307692307</v>
      </c>
      <c r="C86" s="206">
        <v>10</v>
      </c>
      <c r="D86" s="191">
        <f t="shared" ref="D86:D104" si="6">B86*C86</f>
        <v>173.07692307692307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25</v>
      </c>
      <c r="B87" s="193">
        <f>'Données projet'!D90</f>
        <v>0</v>
      </c>
      <c r="C87" s="206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30</v>
      </c>
      <c r="B88" s="193">
        <f>'Données projet'!D91</f>
        <v>26.282051282051281</v>
      </c>
      <c r="C88" s="206">
        <v>10</v>
      </c>
      <c r="D88" s="191">
        <f t="shared" si="6"/>
        <v>262.82051282051282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35</v>
      </c>
      <c r="B89" s="193">
        <f>'Données projet'!D92</f>
        <v>0</v>
      </c>
      <c r="C89" s="206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40</v>
      </c>
      <c r="B90" s="193">
        <f>'Données projet'!D93</f>
        <v>28.205128205128204</v>
      </c>
      <c r="C90" s="206">
        <v>15</v>
      </c>
      <c r="D90" s="191">
        <f t="shared" si="6"/>
        <v>423.07692307692309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45</v>
      </c>
      <c r="B91" s="193">
        <f>'Données projet'!D94</f>
        <v>0</v>
      </c>
      <c r="C91" s="206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50</v>
      </c>
      <c r="B92" s="193">
        <f>'Données projet'!D95</f>
        <v>28.205128205128204</v>
      </c>
      <c r="C92" s="206">
        <v>20</v>
      </c>
      <c r="D92" s="191">
        <f t="shared" si="6"/>
        <v>564.10256410256409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55</v>
      </c>
      <c r="B93" s="193">
        <f>'Données projet'!D96</f>
        <v>0</v>
      </c>
      <c r="C93" s="206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60</v>
      </c>
      <c r="B94" s="193">
        <f>'Données projet'!D97</f>
        <v>26.282051282051281</v>
      </c>
      <c r="C94" s="206">
        <v>30</v>
      </c>
      <c r="D94" s="191">
        <f t="shared" si="6"/>
        <v>788.46153846153845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65</v>
      </c>
      <c r="B95" s="193">
        <f>'Données projet'!D98</f>
        <v>0</v>
      </c>
      <c r="C95" s="206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70</v>
      </c>
      <c r="B96" s="193">
        <f>'Données projet'!D99</f>
        <v>25</v>
      </c>
      <c r="C96" s="206">
        <v>40</v>
      </c>
      <c r="D96" s="191">
        <f t="shared" si="6"/>
        <v>1000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75</v>
      </c>
      <c r="B97" s="193">
        <f>'Données projet'!D100</f>
        <v>0</v>
      </c>
      <c r="C97" s="206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80</v>
      </c>
      <c r="B98" s="193">
        <f>'Données projet'!D101</f>
        <v>22.435897435897434</v>
      </c>
      <c r="C98" s="206">
        <v>50</v>
      </c>
      <c r="D98" s="191">
        <f t="shared" si="6"/>
        <v>1121.7948717948718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85</v>
      </c>
      <c r="B99" s="193">
        <f>'Données projet'!D102</f>
        <v>0</v>
      </c>
      <c r="C99" s="206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90</v>
      </c>
      <c r="B100" s="193">
        <f>'Données projet'!D103</f>
        <v>21.153846153846153</v>
      </c>
      <c r="C100" s="206">
        <v>60</v>
      </c>
      <c r="D100" s="191">
        <f t="shared" si="6"/>
        <v>1269.2307692307693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95</v>
      </c>
      <c r="B101" s="193">
        <f>'Données projet'!D104</f>
        <v>0</v>
      </c>
      <c r="C101" s="206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100</v>
      </c>
      <c r="B102" s="193">
        <f>'Données projet'!D105</f>
        <v>17.948717948717949</v>
      </c>
      <c r="C102" s="206">
        <v>65</v>
      </c>
      <c r="D102" s="191">
        <f t="shared" si="6"/>
        <v>1166.6666666666667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105</v>
      </c>
      <c r="B103" s="193">
        <f>'Données projet'!D106</f>
        <v>0</v>
      </c>
      <c r="C103" s="206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110</v>
      </c>
      <c r="B104" s="193">
        <f>'Données projet'!D107</f>
        <v>267.30769230769232</v>
      </c>
      <c r="C104" s="206">
        <v>70</v>
      </c>
      <c r="D104" s="191">
        <f t="shared" si="6"/>
        <v>18711.538461538461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str">
        <f>IF(O103+1&lt;=MIN('Données projet'!$E$9:$E$18),O103+1,"STOP")</f>
        <v>STOP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Hippolyte.Reignier</cp:lastModifiedBy>
  <dcterms:created xsi:type="dcterms:W3CDTF">2021-02-01T08:22:39Z</dcterms:created>
  <dcterms:modified xsi:type="dcterms:W3CDTF">2023-06-26T08:15:41Z</dcterms:modified>
</cp:coreProperties>
</file>