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astets-Pyrénées\Pyrénées\DOGNEN (64) LAGRAVE\Dossier à finaliser\"/>
    </mc:Choice>
  </mc:AlternateContent>
  <xr:revisionPtr revIDLastSave="0" documentId="13_ncr:1_{5BC3CBB2-D3C2-4E8C-A637-D2E6A4D66E40}" xr6:coauthVersionLast="36" xr6:coauthVersionMax="36" xr10:uidLastSave="{00000000-0000-0000-0000-000000000000}"/>
  <bookViews>
    <workbookView xWindow="0" yWindow="0" windowWidth="28800" windowHeight="12615" tabRatio="866" firstSheet="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AH163" i="2" a="1"/>
  <c r="AH163" i="2" s="1"/>
  <c r="AH62" i="2" a="1"/>
  <c r="AH62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<sst xmlns="http://schemas.openxmlformats.org/spreadsheetml/2006/main" count="1171" uniqueCount="324">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</sst>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1.9346100651543445</c:v>
                </c:pt>
                <c:pt idx="2">
                  <c:v>2.5166964034907369</c:v>
                </c:pt>
                <c:pt idx="3">
                  <c:v>3.2746364615115446</c:v>
                </c:pt>
                <c:pt idx="4">
                  <c:v>4.2617612023556566</c:v>
                </c:pt>
                <c:pt idx="5">
                  <c:v>5.5476331026231724</c:v>
                </c:pt>
                <c:pt idx="6">
                  <c:v>7.2230026576329607</c:v>
                </c:pt>
                <c:pt idx="7">
                  <c:v>9.40628303445129</c:v>
                </c:pt>
                <c:pt idx="8">
                  <c:v>12.25200916819078</c:v>
                </c:pt>
                <c:pt idx="9">
                  <c:v>15.961891181540167</c:v>
                </c:pt>
                <c:pt idx="10">
                  <c:v>20.799259906659596</c:v>
                </c:pt>
                <c:pt idx="11">
                  <c:v>27.107948207614722</c:v>
                </c:pt>
                <c:pt idx="12">
                  <c:v>35.336973691994501</c:v>
                </c:pt>
                <c:pt idx="13">
                  <c:v>46.07280977813928</c:v>
                </c:pt>
                <c:pt idx="14">
                  <c:v>60.081583757185136</c:v>
                </c:pt>
                <c:pt idx="15">
                  <c:v>78.36426282100237</c:v>
                </c:pt>
                <c:pt idx="16">
                  <c:v>102.22883490746044</c:v>
                </c:pt>
                <c:pt idx="17">
                  <c:v>133.3847299504487</c:v>
                </c:pt>
                <c:pt idx="18">
                  <c:v>174.06634954241179</c:v>
                </c:pt>
                <c:pt idx="19">
                  <c:v>227.19469816439656</c:v>
                </c:pt>
                <c:pt idx="20">
                  <c:v>296.58889304529583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4.3926046297979076</c:v>
                </c:pt>
                <c:pt idx="2">
                  <c:v>8.3612614966873711</c:v>
                </c:pt>
                <c:pt idx="3">
                  <c:v>15.935083980933408</c:v>
                </c:pt>
                <c:pt idx="4">
                  <c:v>30.405468314778947</c:v>
                </c:pt>
                <c:pt idx="5">
                  <c:v>58.082485530805052</c:v>
                </c:pt>
                <c:pt idx="6">
                  <c:v>80.165002252238452</c:v>
                </c:pt>
                <c:pt idx="7">
                  <c:v>102.09197798314808</c:v>
                </c:pt>
                <c:pt idx="8">
                  <c:v>123.90184283210725</c:v>
                </c:pt>
                <c:pt idx="9">
                  <c:v>145.61821239345747</c:v>
                </c:pt>
                <c:pt idx="10">
                  <c:v>167.25702755094335</c:v>
                </c:pt>
                <c:pt idx="11">
                  <c:v>188.82974704850497</c:v>
                </c:pt>
                <c:pt idx="12">
                  <c:v>210.34498910896306</c:v>
                </c:pt>
                <c:pt idx="13">
                  <c:v>231.8094611658297</c:v>
                </c:pt>
                <c:pt idx="14">
                  <c:v>253.22852532910966</c:v>
                </c:pt>
                <c:pt idx="15">
                  <c:v>274.60656174697812</c:v>
                </c:pt>
                <c:pt idx="16">
                  <c:v>294.00861390700948</c:v>
                </c:pt>
                <c:pt idx="17">
                  <c:v>313.38210026249629</c:v>
                </c:pt>
                <c:pt idx="18">
                  <c:v>332.72903457884451</c:v>
                </c:pt>
                <c:pt idx="19">
                  <c:v>352.05117734371055</c:v>
                </c:pt>
                <c:pt idx="20">
                  <c:v>371.35008006494377</c:v>
                </c:pt>
                <c:pt idx="21">
                  <c:v>387.54421039387495</c:v>
                </c:pt>
                <c:pt idx="22">
                  <c:v>403.72365187948748</c:v>
                </c:pt>
                <c:pt idx="23">
                  <c:v>419.88907590240791</c:v>
                </c:pt>
                <c:pt idx="24">
                  <c:v>436.04109794385869</c:v>
                </c:pt>
                <c:pt idx="25">
                  <c:v>452.18028418105388</c:v>
                </c:pt>
                <c:pt idx="26">
                  <c:v>465.23629811002093</c:v>
                </c:pt>
                <c:pt idx="27">
                  <c:v>478.28450180053454</c:v>
                </c:pt>
                <c:pt idx="28">
                  <c:v>491.32513831883836</c:v>
                </c:pt>
                <c:pt idx="29">
                  <c:v>504.35843677803251</c:v>
                </c:pt>
                <c:pt idx="30">
                  <c:v>517.3846134864898</c:v>
                </c:pt>
                <c:pt idx="31">
                  <c:v>528.10685054075077</c:v>
                </c:pt>
                <c:pt idx="32">
                  <c:v>538.82450519567738</c:v>
                </c:pt>
                <c:pt idx="33">
                  <c:v>549.53768144295771</c:v>
                </c:pt>
                <c:pt idx="34">
                  <c:v>560.24647888927939</c:v>
                </c:pt>
                <c:pt idx="35">
                  <c:v>570.95099302329379</c:v>
                </c:pt>
                <c:pt idx="36">
                  <c:v>580.50505015445867</c:v>
                </c:pt>
                <c:pt idx="37">
                  <c:v>590.05582848802112</c:v>
                </c:pt>
                <c:pt idx="38">
                  <c:v>599.60338857466741</c:v>
                </c:pt>
                <c:pt idx="39">
                  <c:v>609.14778887966088</c:v>
                </c:pt>
                <c:pt idx="40">
                  <c:v>618.68908588691249</c:v>
                </c:pt>
                <c:pt idx="41">
                  <c:v>628.22733419630038</c:v>
                </c:pt>
                <c:pt idx="42">
                  <c:v>637.76258661477414</c:v>
                </c:pt>
                <c:pt idx="43">
                  <c:v>647.29489424172516</c:v>
                </c:pt>
                <c:pt idx="44">
                  <c:v>656.82430654907216</c:v>
                </c:pt>
                <c:pt idx="45">
                  <c:v>666.3508714564573</c:v>
                </c:pt>
                <c:pt idx="46">
                  <c:v>4.107100892103012E-12</c:v>
                </c:pt>
                <c:pt idx="47">
                  <c:v>4.107100892103012E-12</c:v>
                </c:pt>
                <c:pt idx="48">
                  <c:v>4.107100892103012E-12</c:v>
                </c:pt>
                <c:pt idx="49">
                  <c:v>4.107100892103012E-12</c:v>
                </c:pt>
                <c:pt idx="50">
                  <c:v>4.107100892103012E-12</c:v>
                </c:pt>
                <c:pt idx="51">
                  <c:v>4.107100892103012E-12</c:v>
                </c:pt>
                <c:pt idx="52">
                  <c:v>4.107100892103012E-12</c:v>
                </c:pt>
                <c:pt idx="53">
                  <c:v>4.107100892103012E-12</c:v>
                </c:pt>
                <c:pt idx="54">
                  <c:v>4.107100892103012E-12</c:v>
                </c:pt>
                <c:pt idx="55">
                  <c:v>4.107100892103012E-12</c:v>
                </c:pt>
                <c:pt idx="56">
                  <c:v>4.107100892103012E-12</c:v>
                </c:pt>
                <c:pt idx="57">
                  <c:v>4.107100892103012E-12</c:v>
                </c:pt>
                <c:pt idx="58">
                  <c:v>4.107100892103012E-12</c:v>
                </c:pt>
                <c:pt idx="59">
                  <c:v>4.107100892103012E-12</c:v>
                </c:pt>
                <c:pt idx="60">
                  <c:v>4.107100892103012E-12</c:v>
                </c:pt>
                <c:pt idx="61">
                  <c:v>4.107100892103012E-12</c:v>
                </c:pt>
                <c:pt idx="62">
                  <c:v>4.107100892103012E-12</c:v>
                </c:pt>
                <c:pt idx="63">
                  <c:v>4.107100892103012E-12</c:v>
                </c:pt>
                <c:pt idx="64">
                  <c:v>4.107100892103012E-12</c:v>
                </c:pt>
                <c:pt idx="65">
                  <c:v>4.107100892103012E-12</c:v>
                </c:pt>
                <c:pt idx="66">
                  <c:v>4.107100892103012E-12</c:v>
                </c:pt>
                <c:pt idx="67">
                  <c:v>4.107100892103012E-12</c:v>
                </c:pt>
                <c:pt idx="68">
                  <c:v>4.107100892103012E-12</c:v>
                </c:pt>
                <c:pt idx="69">
                  <c:v>4.107100892103012E-12</c:v>
                </c:pt>
                <c:pt idx="70">
                  <c:v>4.107100892103012E-12</c:v>
                </c:pt>
                <c:pt idx="71">
                  <c:v>4.107100892103012E-12</c:v>
                </c:pt>
                <c:pt idx="72">
                  <c:v>4.107100892103012E-12</c:v>
                </c:pt>
                <c:pt idx="73">
                  <c:v>4.107100892103012E-12</c:v>
                </c:pt>
                <c:pt idx="74">
                  <c:v>4.107100892103012E-12</c:v>
                </c:pt>
                <c:pt idx="75">
                  <c:v>4.107100892103012E-12</c:v>
                </c:pt>
                <c:pt idx="76">
                  <c:v>4.107100892103012E-12</c:v>
                </c:pt>
                <c:pt idx="77">
                  <c:v>4.107100892103012E-12</c:v>
                </c:pt>
                <c:pt idx="78">
                  <c:v>4.107100892103012E-12</c:v>
                </c:pt>
                <c:pt idx="79">
                  <c:v>4.107100892103012E-12</c:v>
                </c:pt>
                <c:pt idx="80">
                  <c:v>4.107100892103012E-12</c:v>
                </c:pt>
                <c:pt idx="81">
                  <c:v>4.107100892103012E-12</c:v>
                </c:pt>
                <c:pt idx="82">
                  <c:v>4.107100892103012E-12</c:v>
                </c:pt>
                <c:pt idx="83">
                  <c:v>4.107100892103012E-12</c:v>
                </c:pt>
                <c:pt idx="84">
                  <c:v>4.107100892103012E-12</c:v>
                </c:pt>
                <c:pt idx="85">
                  <c:v>4.107100892103012E-12</c:v>
                </c:pt>
                <c:pt idx="86">
                  <c:v>4.107100892103012E-12</c:v>
                </c:pt>
                <c:pt idx="87">
                  <c:v>4.107100892103012E-12</c:v>
                </c:pt>
                <c:pt idx="88">
                  <c:v>4.107100892103012E-12</c:v>
                </c:pt>
                <c:pt idx="89">
                  <c:v>4.107100892103012E-12</c:v>
                </c:pt>
                <c:pt idx="90">
                  <c:v>4.107100892103012E-12</c:v>
                </c:pt>
                <c:pt idx="91">
                  <c:v>4.107100892103012E-12</c:v>
                </c:pt>
                <c:pt idx="92">
                  <c:v>4.107100892103012E-12</c:v>
                </c:pt>
                <c:pt idx="93">
                  <c:v>4.107100892103012E-12</c:v>
                </c:pt>
                <c:pt idx="94">
                  <c:v>4.107100892103012E-12</c:v>
                </c:pt>
                <c:pt idx="95">
                  <c:v>4.107100892103012E-12</c:v>
                </c:pt>
                <c:pt idx="96">
                  <c:v>4.107100892103012E-12</c:v>
                </c:pt>
                <c:pt idx="97">
                  <c:v>4.107100892103012E-12</c:v>
                </c:pt>
                <c:pt idx="98">
                  <c:v>4.107100892103012E-12</c:v>
                </c:pt>
                <c:pt idx="99">
                  <c:v>4.107100892103012E-12</c:v>
                </c:pt>
                <c:pt idx="100">
                  <c:v>4.107100892103012E-12</c:v>
                </c:pt>
                <c:pt idx="101">
                  <c:v>4.107100892103012E-12</c:v>
                </c:pt>
                <c:pt idx="102">
                  <c:v>4.107100892103012E-12</c:v>
                </c:pt>
                <c:pt idx="103">
                  <c:v>4.107100892103012E-12</c:v>
                </c:pt>
                <c:pt idx="104">
                  <c:v>4.107100892103012E-12</c:v>
                </c:pt>
                <c:pt idx="105">
                  <c:v>4.107100892103012E-12</c:v>
                </c:pt>
                <c:pt idx="106">
                  <c:v>4.107100892103012E-12</c:v>
                </c:pt>
                <c:pt idx="107">
                  <c:v>4.107100892103012E-12</c:v>
                </c:pt>
                <c:pt idx="108">
                  <c:v>4.107100892103012E-12</c:v>
                </c:pt>
                <c:pt idx="109">
                  <c:v>4.107100892103012E-12</c:v>
                </c:pt>
                <c:pt idx="110">
                  <c:v>4.107100892103012E-12</c:v>
                </c:pt>
                <c:pt idx="111">
                  <c:v>4.107100892103012E-12</c:v>
                </c:pt>
                <c:pt idx="112">
                  <c:v>4.107100892103012E-12</c:v>
                </c:pt>
                <c:pt idx="113">
                  <c:v>4.107100892103012E-12</c:v>
                </c:pt>
                <c:pt idx="114">
                  <c:v>4.107100892103012E-12</c:v>
                </c:pt>
                <c:pt idx="115">
                  <c:v>4.107100892103012E-12</c:v>
                </c:pt>
                <c:pt idx="116">
                  <c:v>4.107100892103012E-12</c:v>
                </c:pt>
                <c:pt idx="117">
                  <c:v>4.107100892103012E-12</c:v>
                </c:pt>
                <c:pt idx="118">
                  <c:v>4.107100892103012E-12</c:v>
                </c:pt>
                <c:pt idx="119">
                  <c:v>4.107100892103012E-12</c:v>
                </c:pt>
                <c:pt idx="120">
                  <c:v>4.107100892103012E-12</c:v>
                </c:pt>
                <c:pt idx="121">
                  <c:v>4.107100892103012E-12</c:v>
                </c:pt>
                <c:pt idx="122">
                  <c:v>4.107100892103012E-12</c:v>
                </c:pt>
                <c:pt idx="123">
                  <c:v>4.107100892103012E-12</c:v>
                </c:pt>
                <c:pt idx="124">
                  <c:v>4.107100892103012E-12</c:v>
                </c:pt>
                <c:pt idx="125">
                  <c:v>4.107100892103012E-12</c:v>
                </c:pt>
                <c:pt idx="126">
                  <c:v>4.107100892103012E-12</c:v>
                </c:pt>
                <c:pt idx="127">
                  <c:v>4.107100892103012E-12</c:v>
                </c:pt>
                <c:pt idx="128">
                  <c:v>4.107100892103012E-12</c:v>
                </c:pt>
                <c:pt idx="129">
                  <c:v>4.107100892103012E-12</c:v>
                </c:pt>
                <c:pt idx="130">
                  <c:v>4.107100892103012E-12</c:v>
                </c:pt>
                <c:pt idx="131">
                  <c:v>4.107100892103012E-12</c:v>
                </c:pt>
                <c:pt idx="132">
                  <c:v>4.107100892103012E-12</c:v>
                </c:pt>
                <c:pt idx="133">
                  <c:v>4.107100892103012E-12</c:v>
                </c:pt>
                <c:pt idx="134">
                  <c:v>4.107100892103012E-12</c:v>
                </c:pt>
                <c:pt idx="135">
                  <c:v>4.107100892103012E-12</c:v>
                </c:pt>
                <c:pt idx="136">
                  <c:v>4.107100892103012E-12</c:v>
                </c:pt>
                <c:pt idx="137">
                  <c:v>4.107100892103012E-12</c:v>
                </c:pt>
                <c:pt idx="138">
                  <c:v>4.107100892103012E-12</c:v>
                </c:pt>
                <c:pt idx="139">
                  <c:v>4.107100892103012E-12</c:v>
                </c:pt>
                <c:pt idx="140">
                  <c:v>4.107100892103012E-12</c:v>
                </c:pt>
                <c:pt idx="141">
                  <c:v>4.107100892103012E-12</c:v>
                </c:pt>
                <c:pt idx="142">
                  <c:v>4.107100892103012E-12</c:v>
                </c:pt>
                <c:pt idx="143">
                  <c:v>4.107100892103012E-12</c:v>
                </c:pt>
                <c:pt idx="144">
                  <c:v>4.107100892103012E-12</c:v>
                </c:pt>
                <c:pt idx="145">
                  <c:v>4.107100892103012E-12</c:v>
                </c:pt>
                <c:pt idx="146">
                  <c:v>4.107100892103012E-12</c:v>
                </c:pt>
                <c:pt idx="147">
                  <c:v>4.107100892103012E-12</c:v>
                </c:pt>
                <c:pt idx="148">
                  <c:v>4.107100892103012E-12</c:v>
                </c:pt>
                <c:pt idx="149">
                  <c:v>4.107100892103012E-12</c:v>
                </c:pt>
                <c:pt idx="150">
                  <c:v>4.107100892103012E-12</c:v>
                </c:pt>
                <c:pt idx="151">
                  <c:v>4.107100892103012E-12</c:v>
                </c:pt>
                <c:pt idx="152">
                  <c:v>4.107100892103012E-12</c:v>
                </c:pt>
                <c:pt idx="153">
                  <c:v>4.107100892103012E-12</c:v>
                </c:pt>
                <c:pt idx="154">
                  <c:v>4.107100892103012E-12</c:v>
                </c:pt>
                <c:pt idx="155">
                  <c:v>4.107100892103012E-12</c:v>
                </c:pt>
                <c:pt idx="156">
                  <c:v>4.107100892103012E-12</c:v>
                </c:pt>
                <c:pt idx="157">
                  <c:v>4.107100892103012E-12</c:v>
                </c:pt>
                <c:pt idx="158">
                  <c:v>4.107100892103012E-12</c:v>
                </c:pt>
                <c:pt idx="159">
                  <c:v>4.107100892103012E-12</c:v>
                </c:pt>
                <c:pt idx="160">
                  <c:v>4.107100892103012E-12</c:v>
                </c:pt>
                <c:pt idx="161">
                  <c:v>4.107100892103012E-12</c:v>
                </c:pt>
                <c:pt idx="162">
                  <c:v>4.107100892103012E-12</c:v>
                </c:pt>
                <c:pt idx="163">
                  <c:v>4.107100892103012E-12</c:v>
                </c:pt>
                <c:pt idx="164">
                  <c:v>4.107100892103012E-12</c:v>
                </c:pt>
                <c:pt idx="165">
                  <c:v>4.107100892103012E-12</c:v>
                </c:pt>
                <c:pt idx="166">
                  <c:v>4.107100892103012E-12</c:v>
                </c:pt>
                <c:pt idx="167">
                  <c:v>4.107100892103012E-12</c:v>
                </c:pt>
                <c:pt idx="168">
                  <c:v>4.107100892103012E-12</c:v>
                </c:pt>
                <c:pt idx="169">
                  <c:v>4.107100892103012E-12</c:v>
                </c:pt>
                <c:pt idx="170">
                  <c:v>4.107100892103012E-12</c:v>
                </c:pt>
                <c:pt idx="171">
                  <c:v>4.107100892103012E-12</c:v>
                </c:pt>
                <c:pt idx="172">
                  <c:v>4.107100892103012E-12</c:v>
                </c:pt>
                <c:pt idx="173">
                  <c:v>4.107100892103012E-12</c:v>
                </c:pt>
                <c:pt idx="174">
                  <c:v>4.107100892103012E-12</c:v>
                </c:pt>
                <c:pt idx="175">
                  <c:v>4.107100892103012E-12</c:v>
                </c:pt>
                <c:pt idx="176">
                  <c:v>4.107100892103012E-12</c:v>
                </c:pt>
                <c:pt idx="177">
                  <c:v>4.107100892103012E-12</c:v>
                </c:pt>
                <c:pt idx="178">
                  <c:v>4.107100892103012E-12</c:v>
                </c:pt>
                <c:pt idx="179">
                  <c:v>4.107100892103012E-12</c:v>
                </c:pt>
                <c:pt idx="180">
                  <c:v>4.107100892103012E-12</c:v>
                </c:pt>
                <c:pt idx="181">
                  <c:v>4.107100892103012E-12</c:v>
                </c:pt>
                <c:pt idx="182">
                  <c:v>4.107100892103012E-12</c:v>
                </c:pt>
                <c:pt idx="183">
                  <c:v>4.107100892103012E-12</c:v>
                </c:pt>
                <c:pt idx="184">
                  <c:v>4.107100892103012E-12</c:v>
                </c:pt>
                <c:pt idx="185">
                  <c:v>4.107100892103012E-12</c:v>
                </c:pt>
                <c:pt idx="186">
                  <c:v>4.107100892103012E-12</c:v>
                </c:pt>
                <c:pt idx="187">
                  <c:v>4.107100892103012E-12</c:v>
                </c:pt>
                <c:pt idx="188">
                  <c:v>4.107100892103012E-12</c:v>
                </c:pt>
                <c:pt idx="189">
                  <c:v>4.107100892103012E-12</c:v>
                </c:pt>
                <c:pt idx="190">
                  <c:v>4.107100892103012E-12</c:v>
                </c:pt>
                <c:pt idx="191">
                  <c:v>4.107100892103012E-12</c:v>
                </c:pt>
                <c:pt idx="192">
                  <c:v>4.107100892103012E-12</c:v>
                </c:pt>
                <c:pt idx="193">
                  <c:v>4.107100892103012E-12</c:v>
                </c:pt>
                <c:pt idx="194">
                  <c:v>4.107100892103012E-12</c:v>
                </c:pt>
                <c:pt idx="195">
                  <c:v>4.107100892103012E-12</c:v>
                </c:pt>
                <c:pt idx="196">
                  <c:v>4.107100892103012E-12</c:v>
                </c:pt>
                <c:pt idx="197">
                  <c:v>4.107100892103012E-12</c:v>
                </c:pt>
                <c:pt idx="198">
                  <c:v>4.107100892103012E-12</c:v>
                </c:pt>
                <c:pt idx="199">
                  <c:v>4.107100892103012E-12</c:v>
                </c:pt>
                <c:pt idx="200">
                  <c:v>4.107100892103012E-12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9" zoomScale="90" zoomScaleNormal="90" workbookViewId="0">
      <selection activeCell="J15" sqref="J1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2.41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129</v>
      </c>
      <c r="C9" s="35">
        <v>0.62</v>
      </c>
      <c r="D9" s="36">
        <f t="shared" ref="D9:D18" si="0">C9*$C$5</f>
        <v>1.4942</v>
      </c>
      <c r="E9" s="37">
        <v>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44</v>
      </c>
      <c r="C10" s="35">
        <v>0.38</v>
      </c>
      <c r="D10" s="36">
        <f t="shared" si="0"/>
        <v>0.91580000000000006</v>
      </c>
      <c r="E10" s="37">
        <v>45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2.41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Robusta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236</v>
      </c>
      <c r="C36" s="63">
        <v>1</v>
      </c>
      <c r="D36" s="63">
        <v>236</v>
      </c>
      <c r="E36" s="54">
        <v>1</v>
      </c>
      <c r="F36" s="54">
        <v>0</v>
      </c>
      <c r="G36" s="54">
        <v>0</v>
      </c>
      <c r="H36" s="54">
        <v>0</v>
      </c>
      <c r="I36" s="52">
        <f>IFERROR(B36/A36,"")</f>
        <v>11.8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Robinier faux-acacia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5</v>
      </c>
      <c r="B62" s="63">
        <v>28</v>
      </c>
      <c r="C62" s="63">
        <v>1</v>
      </c>
      <c r="D62" s="63">
        <v>0</v>
      </c>
      <c r="E62" s="54">
        <v>0.1</v>
      </c>
      <c r="F62" s="54">
        <v>0.3</v>
      </c>
      <c r="G62" s="54">
        <v>0.4</v>
      </c>
      <c r="H62" s="54">
        <v>0.2</v>
      </c>
      <c r="I62" s="56">
        <f>IFERROR(B62/A62,"")</f>
        <v>5.6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10</v>
      </c>
      <c r="B63" s="63">
        <v>83</v>
      </c>
      <c r="C63" s="63">
        <v>2</v>
      </c>
      <c r="D63" s="63">
        <v>0</v>
      </c>
      <c r="E63" s="54">
        <v>0.2</v>
      </c>
      <c r="F63" s="54">
        <v>0.4</v>
      </c>
      <c r="G63" s="54">
        <v>0.2</v>
      </c>
      <c r="H63" s="54">
        <v>0.2</v>
      </c>
      <c r="I63" s="52">
        <f>IF(A63&lt;&gt;0,(B63-(B62-D62))/(A63-A62),"")</f>
        <v>11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15</v>
      </c>
      <c r="B64" s="63">
        <v>138</v>
      </c>
      <c r="C64" s="63">
        <v>3</v>
      </c>
      <c r="D64" s="63">
        <v>0</v>
      </c>
      <c r="E64" s="54">
        <v>0.3</v>
      </c>
      <c r="F64" s="54">
        <v>0.3</v>
      </c>
      <c r="G64" s="54">
        <v>0.2</v>
      </c>
      <c r="H64" s="54">
        <v>0.2</v>
      </c>
      <c r="I64" s="52">
        <f>IF(A64&lt;&gt;0,(B64-(B63-D63))/(A64-A63),"")</f>
        <v>11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20</v>
      </c>
      <c r="B65" s="63">
        <v>188</v>
      </c>
      <c r="C65" s="63">
        <v>4</v>
      </c>
      <c r="D65" s="63">
        <v>0</v>
      </c>
      <c r="E65" s="54">
        <v>0.4</v>
      </c>
      <c r="F65" s="54">
        <v>0.3</v>
      </c>
      <c r="G65" s="54">
        <v>0.2</v>
      </c>
      <c r="H65" s="54">
        <v>0.1</v>
      </c>
      <c r="I65" s="52">
        <f>IF(A65&lt;&gt;0,(B65-(B64-D64))/(A65-A64),"")</f>
        <v>10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25</v>
      </c>
      <c r="B66" s="63">
        <v>230</v>
      </c>
      <c r="C66" s="63">
        <v>5</v>
      </c>
      <c r="D66" s="63">
        <v>0</v>
      </c>
      <c r="E66" s="54">
        <v>0.4</v>
      </c>
      <c r="F66" s="54">
        <v>0.3</v>
      </c>
      <c r="G66" s="54">
        <v>0.2</v>
      </c>
      <c r="H66" s="54">
        <v>0.1</v>
      </c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30</v>
      </c>
      <c r="B67" s="63">
        <v>264</v>
      </c>
      <c r="C67" s="63">
        <v>6</v>
      </c>
      <c r="D67" s="63">
        <v>0</v>
      </c>
      <c r="E67" s="54">
        <v>0.6</v>
      </c>
      <c r="F67" s="54">
        <v>0.2</v>
      </c>
      <c r="G67" s="54">
        <v>0.1</v>
      </c>
      <c r="H67" s="54">
        <v>0.1</v>
      </c>
      <c r="I67" s="52">
        <f t="shared" si="2"/>
        <v>6.8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35</v>
      </c>
      <c r="B68" s="63">
        <v>292</v>
      </c>
      <c r="C68" s="63">
        <v>7</v>
      </c>
      <c r="D68" s="63">
        <v>0</v>
      </c>
      <c r="E68" s="54">
        <v>0.5</v>
      </c>
      <c r="F68" s="54">
        <v>0.3</v>
      </c>
      <c r="G68" s="54">
        <v>0.1</v>
      </c>
      <c r="H68" s="54">
        <v>0.1</v>
      </c>
      <c r="I68" s="52">
        <f t="shared" si="2"/>
        <v>5.6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40</v>
      </c>
      <c r="B69" s="53">
        <v>317</v>
      </c>
      <c r="C69" s="53">
        <v>8</v>
      </c>
      <c r="D69" s="53">
        <v>0</v>
      </c>
      <c r="E69" s="54">
        <v>0.4</v>
      </c>
      <c r="F69" s="54">
        <v>0.4</v>
      </c>
      <c r="G69" s="54">
        <v>0.1</v>
      </c>
      <c r="H69" s="54">
        <v>0.1</v>
      </c>
      <c r="I69" s="52">
        <f t="shared" si="2"/>
        <v>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45</v>
      </c>
      <c r="B70" s="53">
        <v>342</v>
      </c>
      <c r="C70" s="53">
        <v>9</v>
      </c>
      <c r="D70" s="53">
        <v>342</v>
      </c>
      <c r="E70" s="54">
        <v>0.6</v>
      </c>
      <c r="F70" s="54">
        <v>0.2</v>
      </c>
      <c r="G70" s="54">
        <v>0.1</v>
      </c>
      <c r="H70" s="54">
        <v>0.1</v>
      </c>
      <c r="I70" s="52">
        <f t="shared" si="2"/>
        <v>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3" sqref="G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Robusta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Robinier faux-acacia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72.393882557915504</v>
      </c>
      <c r="T3" s="62">
        <f>IF('Données projet'!E9&gt;30,$R$33-$H$33,LOOKUP('Données projet'!$E$9,$A$3:$A$203,R3:R203)-LOOKUP('Données projet'!$E$9,$A$3:$A$203,$H$3:$H$203))</f>
        <v>321.03333748974029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395.97781616920071</v>
      </c>
      <c r="AO3" s="62">
        <f>IF('Données projet'!E10&gt;30,$AM$33-$H$33,LOOKUP('Données projet'!$E$10,$A$3:$A$203,AM3:AM203)-LOOKUP('Données projet'!$E$10,$A$3:$A$203,$H$3:$H$203))</f>
        <v>554.05128015315631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11.8</v>
      </c>
      <c r="N4" s="14">
        <f>IF('Données projet'!$A$36&gt;35,N3+M4-V3,IF(A4&lt;'Données projet'!$A$36,$K$205^A4,IF(A4='Données projet'!$A$36,'Données projet'!$B$36,N3+M4-V3)))</f>
        <v>1.3141519994188957</v>
      </c>
      <c r="O4" s="14">
        <f>N4*VLOOKUP('Données projet'!$B$9,Paramètres!$A$1:$I$89,3,0)*VLOOKUP('Données projet'!$B$9,Paramètres!$A$1:$I$89,5,0)</f>
        <v>0.75237830270730621</v>
      </c>
      <c r="P4" s="14">
        <f>EXP(-1.0587+0.8836*LN(O4)+0.284)</f>
        <v>0.35840259594590623</v>
      </c>
      <c r="Q4" s="22">
        <f t="shared" ref="Q4:Q34" si="2">(O4+P4)*0.475*44/12</f>
        <v>1.9346100651543445</v>
      </c>
      <c r="R4" s="62">
        <f t="shared" si="0"/>
        <v>259.8234989540432</v>
      </c>
      <c r="S4" s="62">
        <f ca="1">AVERAGE(OFFSET($R$3,0,0,'Données projet'!$E$9+1,1))-AVERAGE(OFFSET($H$3,0,0,'Données projet'!$E$9+1,1))</f>
        <v>72.393882557915504</v>
      </c>
      <c r="T4" s="62">
        <f>$T$3</f>
        <v>321.03333748974029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5.6</v>
      </c>
      <c r="AI4" s="14">
        <f>IF('Données projet'!$A$62&gt;35,AI3+AH4-AQ3,IF(A4&lt;'Données projet'!$A$62,$AF$205^A4,IF(A4='Données projet'!$A$62,'Données projet'!$B$62,AI3+AH4-AQ3)))</f>
        <v>1.9472943612303364</v>
      </c>
      <c r="AJ4" s="14">
        <f>AI4*VLOOKUP('Données projet'!$B$10,Paramètres!$A$1:$I$89,3,0)*VLOOKUP('Données projet'!$B$10,Paramètres!$A$1:$I$89,5,0)</f>
        <v>1.7619119380412083</v>
      </c>
      <c r="AK4" s="14">
        <f>EXP(-1.0587+0.8836*LN(AJ4)+0.284)</f>
        <v>0.76015770586189668</v>
      </c>
      <c r="AL4" s="22">
        <f t="shared" ref="AL4:AL67" si="4">(AJ4+AK4)*0.475*44/12</f>
        <v>4.3926046297979076</v>
      </c>
      <c r="AM4" s="62">
        <f t="shared" ref="AM4:AM67" si="5">AL4+(AD4+AE4)*44/12</f>
        <v>262.28149351868677</v>
      </c>
      <c r="AN4" s="62">
        <f ca="1">AVERAGE(OFFSET($AM$3,0,0,'Données projet'!$E$10+1,1))-AVERAGE(OFFSET($H$3,0,0,'Données projet'!$E$10+1,1))</f>
        <v>395.97781616920071</v>
      </c>
      <c r="AO4" s="62">
        <f>$AO$3</f>
        <v>554.05128015315631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11.8</v>
      </c>
      <c r="N5" s="14">
        <f>IF('Données projet'!$A$36&gt;35,N4+M5-V4,IF(A5&lt;'Données projet'!$A$36,$K$205^A5,IF(A5='Données projet'!$A$36,'Données projet'!$B$36,N4+M5-V4)))</f>
        <v>1.7269954775766814</v>
      </c>
      <c r="O5" s="14">
        <f>N5*VLOOKUP('Données projet'!$B$9,Paramètres!$A$1:$I$89,3,0)*VLOOKUP('Données projet'!$B$9,Paramètres!$A$1:$I$89,5,0)</f>
        <v>0.9887394508222016</v>
      </c>
      <c r="P5" s="14">
        <f t="shared" ref="P5:P68" si="33">EXP(-1.0587+0.8836*LN(O5)+0.284)</f>
        <v>0.45625369950740835</v>
      </c>
      <c r="Q5" s="22">
        <f t="shared" si="2"/>
        <v>2.5166964034907369</v>
      </c>
      <c r="R5" s="62">
        <f t="shared" si="0"/>
        <v>261.6278075146019</v>
      </c>
      <c r="S5" s="62">
        <f ca="1">AVERAGE(OFFSET($R$3,0,0,'Données projet'!$E$9+1,1))-AVERAGE(OFFSET($H$3,0,0,'Données projet'!$E$9+1,1))</f>
        <v>72.393882557915504</v>
      </c>
      <c r="T5" s="62">
        <f t="shared" ref="T5:T68" si="34">$T$3</f>
        <v>321.03333748974029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5.6</v>
      </c>
      <c r="AI5" s="14">
        <f>IF('Données projet'!$A$62&gt;35,AI4+AH5-AQ4,IF(A5&lt;'Données projet'!$A$62,$AF$205^A5,IF(A5='Données projet'!$A$62,'Données projet'!$B$62,AI4+AH5-AQ4)))</f>
        <v>3.7919553292794639</v>
      </c>
      <c r="AJ5" s="14">
        <f>AI5*VLOOKUP('Données projet'!$B$10,Paramètres!$A$1:$I$89,3,0)*VLOOKUP('Données projet'!$B$10,Paramètres!$A$1:$I$89,5,0)</f>
        <v>3.4309611819320587</v>
      </c>
      <c r="AK5" s="14">
        <f t="shared" ref="AK5:AK68" si="35">EXP(-1.0587+0.8836*LN(AJ5)+0.284)</f>
        <v>1.3697631223860498</v>
      </c>
      <c r="AL5" s="22">
        <f t="shared" si="4"/>
        <v>8.3612614966873711</v>
      </c>
      <c r="AM5" s="62">
        <f t="shared" si="5"/>
        <v>267.47237260779849</v>
      </c>
      <c r="AN5" s="62">
        <f ca="1">AVERAGE(OFFSET($AM$3,0,0,'Données projet'!$E$10+1,1))-AVERAGE(OFFSET($H$3,0,0,'Données projet'!$E$10+1,1))</f>
        <v>395.97781616920071</v>
      </c>
      <c r="AO5" s="62">
        <f t="shared" ref="AO5:AO68" si="36">$AO$3</f>
        <v>554.05128015315631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11.8</v>
      </c>
      <c r="N6" s="14">
        <f>IF('Données projet'!$A$36&gt;35,N5+M6-V5,IF(A6&lt;'Données projet'!$A$36,$K$205^A6,IF(A6='Données projet'!$A$36,'Données projet'!$B$36,N5+M6-V5)))</f>
        <v>2.2695345598447867</v>
      </c>
      <c r="O6" s="14">
        <f>N6*VLOOKUP('Données projet'!$B$9,Paramètres!$A$1:$I$89,3,0)*VLOOKUP('Données projet'!$B$9,Paramètres!$A$1:$I$89,5,0)</f>
        <v>1.2993539262023373</v>
      </c>
      <c r="P6" s="14">
        <f t="shared" si="33"/>
        <v>0.58082011868467387</v>
      </c>
      <c r="Q6" s="22">
        <f t="shared" si="2"/>
        <v>3.2746364615115446</v>
      </c>
      <c r="R6" s="62">
        <f t="shared" si="0"/>
        <v>263.60796979484485</v>
      </c>
      <c r="S6" s="62">
        <f ca="1">AVERAGE(OFFSET($R$3,0,0,'Données projet'!$E$9+1,1))-AVERAGE(OFFSET($H$3,0,0,'Données projet'!$E$9+1,1))</f>
        <v>72.393882557915504</v>
      </c>
      <c r="T6" s="62">
        <f t="shared" si="34"/>
        <v>321.03333748974029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5.6</v>
      </c>
      <c r="AI6" s="14">
        <f>IF('Données projet'!$A$62&gt;35,AI5+AH6-AQ5,IF(A6&lt;'Données projet'!$A$62,$AF$205^A6,IF(A6='Données projet'!$A$62,'Données projet'!$B$62,AI5+AH6-AQ5)))</f>
        <v>7.3840532307432234</v>
      </c>
      <c r="AJ6" s="14">
        <f>AI6*VLOOKUP('Données projet'!$B$10,Paramètres!$A$1:$I$89,3,0)*VLOOKUP('Données projet'!$B$10,Paramètres!$A$1:$I$89,5,0)</f>
        <v>6.6810913631764679</v>
      </c>
      <c r="AK6" s="14">
        <f t="shared" si="35"/>
        <v>2.4682391521919964</v>
      </c>
      <c r="AL6" s="22">
        <f t="shared" si="4"/>
        <v>15.935083980933408</v>
      </c>
      <c r="AM6" s="62">
        <f t="shared" si="5"/>
        <v>276.26841731426674</v>
      </c>
      <c r="AN6" s="62">
        <f ca="1">AVERAGE(OFFSET($AM$3,0,0,'Données projet'!$E$10+1,1))-AVERAGE(OFFSET($H$3,0,0,'Données projet'!$E$10+1,1))</f>
        <v>395.97781616920071</v>
      </c>
      <c r="AO6" s="62">
        <f t="shared" si="36"/>
        <v>554.05128015315631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11.8</v>
      </c>
      <c r="N7" s="14">
        <f>IF('Données projet'!$A$36&gt;35,N6+M7-V6,IF(A7&lt;'Données projet'!$A$36,$K$205^A7,IF(A7='Données projet'!$A$36,'Données projet'!$B$36,N6+M7-V6)))</f>
        <v>2.9825133795703098</v>
      </c>
      <c r="O7" s="14">
        <f>N7*VLOOKUP('Données projet'!$B$9,Paramètres!$A$1:$I$89,3,0)*VLOOKUP('Données projet'!$B$9,Paramètres!$A$1:$I$89,5,0)</f>
        <v>1.7075485600715938</v>
      </c>
      <c r="P7" s="14">
        <f t="shared" si="33"/>
        <v>0.73939567094600833</v>
      </c>
      <c r="Q7" s="22">
        <f t="shared" si="2"/>
        <v>4.2617612023556566</v>
      </c>
      <c r="R7" s="62">
        <f t="shared" si="0"/>
        <v>265.81731675791121</v>
      </c>
      <c r="S7" s="62">
        <f ca="1">AVERAGE(OFFSET($R$3,0,0,'Données projet'!$E$9+1,1))-AVERAGE(OFFSET($H$3,0,0,'Données projet'!$E$9+1,1))</f>
        <v>72.393882557915504</v>
      </c>
      <c r="T7" s="62">
        <f t="shared" si="34"/>
        <v>321.03333748974029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5.6</v>
      </c>
      <c r="AI7" s="14">
        <f>IF('Données projet'!$A$62&gt;35,AI6+AH7-AQ6,IF(A7&lt;'Données projet'!$A$62,$AF$205^A7,IF(A7='Données projet'!$A$62,'Données projet'!$B$62,AI6+AH7-AQ6)))</f>
        <v>14.378925219250927</v>
      </c>
      <c r="AJ7" s="14">
        <f>AI7*VLOOKUP('Données projet'!$B$10,Paramètres!$A$1:$I$89,3,0)*VLOOKUP('Données projet'!$B$10,Paramètres!$A$1:$I$89,5,0)</f>
        <v>13.010051538378239</v>
      </c>
      <c r="AK7" s="14">
        <f t="shared" si="35"/>
        <v>4.4476336184326453</v>
      </c>
      <c r="AL7" s="22">
        <f t="shared" si="4"/>
        <v>30.405468314778947</v>
      </c>
      <c r="AM7" s="62">
        <f t="shared" si="5"/>
        <v>291.96102387033449</v>
      </c>
      <c r="AN7" s="62">
        <f ca="1">AVERAGE(OFFSET($AM$3,0,0,'Données projet'!$E$10+1,1))-AVERAGE(OFFSET($H$3,0,0,'Données projet'!$E$10+1,1))</f>
        <v>395.97781616920071</v>
      </c>
      <c r="AO7" s="62">
        <f t="shared" si="36"/>
        <v>554.05128015315631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11.8</v>
      </c>
      <c r="N8" s="14">
        <f>IF('Données projet'!$A$36&gt;35,N7+M8-V7,IF(A8&lt;'Données projet'!$A$36,$K$205^A8,IF(A8='Données projet'!$A$36,'Données projet'!$B$36,N7+M8-V7)))</f>
        <v>3.9194759210559305</v>
      </c>
      <c r="O8" s="14">
        <f>N8*VLOOKUP('Données projet'!$B$9,Paramètres!$A$1:$I$89,3,0)*VLOOKUP('Données projet'!$B$9,Paramètres!$A$1:$I$89,5,0)</f>
        <v>2.2439783543229415</v>
      </c>
      <c r="P8" s="14">
        <f t="shared" si="33"/>
        <v>0.94126553235065091</v>
      </c>
      <c r="Q8" s="22">
        <f t="shared" si="2"/>
        <v>5.5476331026231724</v>
      </c>
      <c r="R8" s="62">
        <f t="shared" si="0"/>
        <v>268.32541088040097</v>
      </c>
      <c r="S8" s="62">
        <f ca="1">AVERAGE(OFFSET($R$3,0,0,'Données projet'!$E$9+1,1))-AVERAGE(OFFSET($H$3,0,0,'Données projet'!$E$9+1,1))</f>
        <v>72.393882557915504</v>
      </c>
      <c r="T8" s="62">
        <f t="shared" si="34"/>
        <v>321.03333748974029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>
        <f>VLOOKUP(A8,'Données projet'!$A$61:$I$81,2,0)</f>
        <v>28</v>
      </c>
      <c r="AG8" s="13">
        <f>VLOOKUP(A8,'Données projet'!$A$61:$I$81,9,0)</f>
        <v>5.6</v>
      </c>
      <c r="AH8" s="13">
        <f t="array" ref="AH8">INDEX(AG:AG,MIN(IF(ISNUMBER(AG8:AG204),ROW(AG8:AG204),"")))</f>
        <v>5.6</v>
      </c>
      <c r="AI8" s="14">
        <f>IF('Données projet'!$A$62&gt;35,AI7+AH8-AQ7,IF(A8&lt;'Données projet'!$A$62,$AF$205^A8,IF(A8='Données projet'!$A$62,'Données projet'!$B$62,AI7+AH8-AQ7)))</f>
        <v>28</v>
      </c>
      <c r="AJ8" s="14">
        <f>AI8*VLOOKUP('Données projet'!$B$10,Paramètres!$A$1:$I$89,3,0)*VLOOKUP('Données projet'!$B$10,Paramètres!$A$1:$I$89,5,0)</f>
        <v>25.334399999999999</v>
      </c>
      <c r="AK8" s="14">
        <f t="shared" si="35"/>
        <v>8.0143955200794572</v>
      </c>
      <c r="AL8" s="22">
        <f t="shared" si="4"/>
        <v>58.082485530805052</v>
      </c>
      <c r="AM8" s="62">
        <f t="shared" si="5"/>
        <v>320.86026330858283</v>
      </c>
      <c r="AN8" s="62">
        <f ca="1">AVERAGE(OFFSET($AM$3,0,0,'Données projet'!$E$10+1,1))-AVERAGE(OFFSET($H$3,0,0,'Données projet'!$E$10+1,1))</f>
        <v>395.97781616920071</v>
      </c>
      <c r="AO8" s="62">
        <f t="shared" si="36"/>
        <v>554.05128015315631</v>
      </c>
      <c r="AP8" s="16">
        <f>IF(ISNA(VLOOKUP(A8,'Données projet'!$A$61:$I$81,3,0)),0,VLOOKUP(A8,'Données projet'!$A$61:$I$81,3,0))</f>
        <v>1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0.03</v>
      </c>
      <c r="AS8" s="17">
        <f>IF(ISNA(VLOOKUP(A8,'Données projet'!$A$61:$I$81,6,0)),0%,VLOOKUP(A8,'Données projet'!$A$61:$I$81,6,0)*VLOOKUP('Données projet'!$B$10,Paramètres!$A$1:$I$89,7,0))</f>
        <v>0.09</v>
      </c>
      <c r="AT8" s="17">
        <f>IF(ISNA(VLOOKUP(A8,'Données projet'!$A$61:$I$81,7,0)),0%,VLOOKUP(A8,'Données projet'!$A$61:$I$81,7,0))</f>
        <v>0.4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11.8</v>
      </c>
      <c r="N9" s="14">
        <f>IF('Données projet'!$A$36&gt;35,N8+M9-V8,IF(A9&lt;'Données projet'!$A$36,$K$205^A9,IF(A9='Données projet'!$A$36,'Données projet'!$B$36,N8+M9-V8)))</f>
        <v>5.1507871183298688</v>
      </c>
      <c r="O9" s="14">
        <f>N9*VLOOKUP('Données projet'!$B$9,Paramètres!$A$1:$I$89,3,0)*VLOOKUP('Données projet'!$B$9,Paramètres!$A$1:$I$89,5,0)</f>
        <v>2.9489286409862165</v>
      </c>
      <c r="P9" s="14">
        <f t="shared" si="33"/>
        <v>1.1982499184202684</v>
      </c>
      <c r="Q9" s="22">
        <f t="shared" si="2"/>
        <v>7.2230026576329607</v>
      </c>
      <c r="R9" s="62">
        <f t="shared" si="0"/>
        <v>271.22300265763295</v>
      </c>
      <c r="S9" s="62">
        <f ca="1">AVERAGE(OFFSET($R$3,0,0,'Données projet'!$E$9+1,1))-AVERAGE(OFFSET($H$3,0,0,'Données projet'!$E$9+1,1))</f>
        <v>72.393882557915504</v>
      </c>
      <c r="T9" s="62">
        <f t="shared" si="34"/>
        <v>321.03333748974029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11</v>
      </c>
      <c r="AI9" s="14">
        <f>IF('Données projet'!$A$62&gt;35,AI8+AH9-AQ8,IF(A9&lt;'Données projet'!$A$62,$AF$205^A9,IF(A9='Données projet'!$A$62,'Données projet'!$B$62,AI8+AH9-AQ8)))</f>
        <v>39</v>
      </c>
      <c r="AJ9" s="14">
        <f>AI9*VLOOKUP('Données projet'!$B$10,Paramètres!$A$1:$I$89,3,0)*VLOOKUP('Données projet'!$B$10,Paramètres!$A$1:$I$89,5,0)</f>
        <v>35.287199999999999</v>
      </c>
      <c r="AK9" s="14">
        <f t="shared" si="35"/>
        <v>10.740552489323523</v>
      </c>
      <c r="AL9" s="22">
        <f t="shared" si="4"/>
        <v>80.165002252238452</v>
      </c>
      <c r="AM9" s="62">
        <f t="shared" si="5"/>
        <v>344.16500225223842</v>
      </c>
      <c r="AN9" s="62">
        <f ca="1">AVERAGE(OFFSET($AM$3,0,0,'Données projet'!$E$10+1,1))-AVERAGE(OFFSET($H$3,0,0,'Données projet'!$E$10+1,1))</f>
        <v>395.97781616920071</v>
      </c>
      <c r="AO9" s="62">
        <f t="shared" si="36"/>
        <v>554.05128015315631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11.8</v>
      </c>
      <c r="N10" s="14">
        <f>IF('Données projet'!$A$36&gt;35,N9+M10-V9,IF(A10&lt;'Données projet'!$A$36,$K$205^A10,IF(A10='Données projet'!$A$36,'Données projet'!$B$36,N9+M10-V9)))</f>
        <v>6.7689171901342906</v>
      </c>
      <c r="O10" s="14">
        <f>N10*VLOOKUP('Données projet'!$B$9,Paramètres!$A$1:$I$89,3,0)*VLOOKUP('Données projet'!$B$9,Paramètres!$A$1:$I$89,5,0)</f>
        <v>3.8753404696956841</v>
      </c>
      <c r="P10" s="14">
        <f t="shared" si="33"/>
        <v>1.5253962008026642</v>
      </c>
      <c r="Q10" s="22">
        <f t="shared" si="2"/>
        <v>9.40628303445129</v>
      </c>
      <c r="R10" s="62">
        <f t="shared" si="0"/>
        <v>274.62850525667352</v>
      </c>
      <c r="S10" s="62">
        <f ca="1">AVERAGE(OFFSET($R$3,0,0,'Données projet'!$E$9+1,1))-AVERAGE(OFFSET($H$3,0,0,'Données projet'!$E$9+1,1))</f>
        <v>72.393882557915504</v>
      </c>
      <c r="T10" s="62">
        <f t="shared" si="34"/>
        <v>321.03333748974029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11</v>
      </c>
      <c r="AI10" s="14">
        <f>IF('Données projet'!$A$62&gt;35,AI9+AH10-AQ9,IF(A10&lt;'Données projet'!$A$62,$AF$205^A10,IF(A10='Données projet'!$A$62,'Données projet'!$B$62,AI9+AH10-AQ9)))</f>
        <v>50</v>
      </c>
      <c r="AJ10" s="14">
        <f>AI10*VLOOKUP('Données projet'!$B$10,Paramètres!$A$1:$I$89,3,0)*VLOOKUP('Données projet'!$B$10,Paramètres!$A$1:$I$89,5,0)</f>
        <v>45.239999999999995</v>
      </c>
      <c r="AK10" s="14">
        <f t="shared" si="35"/>
        <v>13.377403626687906</v>
      </c>
      <c r="AL10" s="22">
        <f t="shared" si="4"/>
        <v>102.09197798314808</v>
      </c>
      <c r="AM10" s="62">
        <f t="shared" si="5"/>
        <v>367.3142002053703</v>
      </c>
      <c r="AN10" s="62">
        <f ca="1">AVERAGE(OFFSET($AM$3,0,0,'Données projet'!$E$10+1,1))-AVERAGE(OFFSET($H$3,0,0,'Données projet'!$E$10+1,1))</f>
        <v>395.97781616920071</v>
      </c>
      <c r="AO10" s="62">
        <f t="shared" si="36"/>
        <v>554.05128015315631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11.8</v>
      </c>
      <c r="N11" s="14">
        <f>IF('Données projet'!$A$36&gt;35,N10+M11-V10,IF(A11&lt;'Données projet'!$A$36,$K$205^A11,IF(A11='Données projet'!$A$36,'Données projet'!$B$36,N10+M11-V10)))</f>
        <v>8.8953860593159106</v>
      </c>
      <c r="O11" s="14">
        <f>N11*VLOOKUP('Données projet'!$B$9,Paramètres!$A$1:$I$89,3,0)*VLOOKUP('Données projet'!$B$9,Paramètres!$A$1:$I$89,5,0)</f>
        <v>5.0927864266795453</v>
      </c>
      <c r="P11" s="14">
        <f t="shared" si="33"/>
        <v>1.9418599856787968</v>
      </c>
      <c r="Q11" s="22">
        <f t="shared" si="2"/>
        <v>12.25200916819078</v>
      </c>
      <c r="R11" s="62">
        <f t="shared" si="0"/>
        <v>278.69645361263525</v>
      </c>
      <c r="S11" s="62">
        <f ca="1">AVERAGE(OFFSET($R$3,0,0,'Données projet'!$E$9+1,1))-AVERAGE(OFFSET($H$3,0,0,'Données projet'!$E$9+1,1))</f>
        <v>72.393882557915504</v>
      </c>
      <c r="T11" s="62">
        <f t="shared" si="34"/>
        <v>321.03333748974029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11</v>
      </c>
      <c r="AI11" s="14">
        <f>IF('Données projet'!$A$62&gt;35,AI10+AH11-AQ10,IF(A11&lt;'Données projet'!$A$62,$AF$205^A11,IF(A11='Données projet'!$A$62,'Données projet'!$B$62,AI10+AH11-AQ10)))</f>
        <v>61</v>
      </c>
      <c r="AJ11" s="14">
        <f>AI11*VLOOKUP('Données projet'!$B$10,Paramètres!$A$1:$I$89,3,0)*VLOOKUP('Données projet'!$B$10,Paramètres!$A$1:$I$89,5,0)</f>
        <v>55.192799999999998</v>
      </c>
      <c r="AK11" s="14">
        <f t="shared" si="35"/>
        <v>15.94701406628168</v>
      </c>
      <c r="AL11" s="22">
        <f t="shared" si="4"/>
        <v>123.90184283210725</v>
      </c>
      <c r="AM11" s="62">
        <f t="shared" si="5"/>
        <v>390.34628727655172</v>
      </c>
      <c r="AN11" s="62">
        <f ca="1">AVERAGE(OFFSET($AM$3,0,0,'Données projet'!$E$10+1,1))-AVERAGE(OFFSET($H$3,0,0,'Données projet'!$E$10+1,1))</f>
        <v>395.97781616920071</v>
      </c>
      <c r="AO11" s="62">
        <f t="shared" si="36"/>
        <v>554.05128015315631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11.8</v>
      </c>
      <c r="N12" s="14">
        <f>IF('Données projet'!$A$36&gt;35,N11+M12-V11,IF(A12&lt;'Données projet'!$A$36,$K$205^A12,IF(A12='Données projet'!$A$36,'Données projet'!$B$36,N11+M12-V11)))</f>
        <v>11.689889375452976</v>
      </c>
      <c r="O12" s="14">
        <f>N12*VLOOKUP('Données projet'!$B$9,Paramètres!$A$1:$I$89,3,0)*VLOOKUP('Données projet'!$B$9,Paramètres!$A$1:$I$89,5,0)</f>
        <v>6.6926954652343378</v>
      </c>
      <c r="P12" s="14">
        <f t="shared" si="33"/>
        <v>2.4720267442624091</v>
      </c>
      <c r="Q12" s="22">
        <f t="shared" si="2"/>
        <v>15.961891181540167</v>
      </c>
      <c r="R12" s="62">
        <f t="shared" si="0"/>
        <v>283.62855784820687</v>
      </c>
      <c r="S12" s="62">
        <f ca="1">AVERAGE(OFFSET($R$3,0,0,'Données projet'!$E$9+1,1))-AVERAGE(OFFSET($H$3,0,0,'Données projet'!$E$9+1,1))</f>
        <v>72.393882557915504</v>
      </c>
      <c r="T12" s="62">
        <f t="shared" si="34"/>
        <v>321.03333748974029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11</v>
      </c>
      <c r="AI12" s="14">
        <f>IF('Données projet'!$A$62&gt;35,AI11+AH12-AQ11,IF(A12&lt;'Données projet'!$A$62,$AF$205^A12,IF(A12='Données projet'!$A$62,'Données projet'!$B$62,AI11+AH12-AQ11)))</f>
        <v>72</v>
      </c>
      <c r="AJ12" s="14">
        <f>AI12*VLOOKUP('Données projet'!$B$10,Paramètres!$A$1:$I$89,3,0)*VLOOKUP('Données projet'!$B$10,Paramètres!$A$1:$I$89,5,0)</f>
        <v>65.145600000000002</v>
      </c>
      <c r="AK12" s="14">
        <f t="shared" si="35"/>
        <v>18.462943001028204</v>
      </c>
      <c r="AL12" s="22">
        <f t="shared" si="4"/>
        <v>145.61821239345747</v>
      </c>
      <c r="AM12" s="62">
        <f t="shared" si="5"/>
        <v>413.28487906012413</v>
      </c>
      <c r="AN12" s="62">
        <f ca="1">AVERAGE(OFFSET($AM$3,0,0,'Données projet'!$E$10+1,1))-AVERAGE(OFFSET($H$3,0,0,'Données projet'!$E$10+1,1))</f>
        <v>395.97781616920071</v>
      </c>
      <c r="AO12" s="62">
        <f t="shared" si="36"/>
        <v>554.05128015315631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11.8</v>
      </c>
      <c r="N13" s="14">
        <f>IF('Données projet'!$A$36&gt;35,N12+M13-V12,IF(A13&lt;'Données projet'!$A$36,$K$205^A13,IF(A13='Données projet'!$A$36,'Données projet'!$B$36,N12+M13-V12)))</f>
        <v>15.362291495737235</v>
      </c>
      <c r="O13" s="14">
        <f>N13*VLOOKUP('Données projet'!$B$9,Paramètres!$A$1:$I$89,3,0)*VLOOKUP('Données projet'!$B$9,Paramètres!$A$1:$I$89,5,0)</f>
        <v>8.7952191271394824</v>
      </c>
      <c r="P13" s="14">
        <f t="shared" si="33"/>
        <v>3.1469396709425839</v>
      </c>
      <c r="Q13" s="22">
        <f t="shared" si="2"/>
        <v>20.799259906659596</v>
      </c>
      <c r="R13" s="62">
        <f t="shared" si="0"/>
        <v>289.68814879554844</v>
      </c>
      <c r="S13" s="62">
        <f ca="1">AVERAGE(OFFSET($R$3,0,0,'Données projet'!$E$9+1,1))-AVERAGE(OFFSET($H$3,0,0,'Données projet'!$E$9+1,1))</f>
        <v>72.393882557915504</v>
      </c>
      <c r="T13" s="62">
        <f t="shared" si="34"/>
        <v>321.03333748974029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83</v>
      </c>
      <c r="AG13" s="13">
        <f>VLOOKUP(A13,'Données projet'!$A$61:$I$81,9,0)</f>
        <v>11</v>
      </c>
      <c r="AH13" s="13">
        <f t="array" ref="AH13">INDEX(AG:AG,MIN(IF(ISNUMBER(AG13:AG209),ROW(AG13:AG209),"")))</f>
        <v>11</v>
      </c>
      <c r="AI13" s="14">
        <f>IF('Données projet'!$A$62&gt;35,AI12+AH13-AQ12,IF(A13&lt;'Données projet'!$A$62,$AF$205^A13,IF(A13='Données projet'!$A$62,'Données projet'!$B$62,AI12+AH13-AQ12)))</f>
        <v>83</v>
      </c>
      <c r="AJ13" s="14">
        <f>AI13*VLOOKUP('Données projet'!$B$10,Paramètres!$A$1:$I$89,3,0)*VLOOKUP('Données projet'!$B$10,Paramètres!$A$1:$I$89,5,0)</f>
        <v>75.098399999999998</v>
      </c>
      <c r="AK13" s="14">
        <f t="shared" si="35"/>
        <v>20.934343091450742</v>
      </c>
      <c r="AL13" s="22">
        <f t="shared" si="4"/>
        <v>167.25702755094335</v>
      </c>
      <c r="AM13" s="62">
        <f t="shared" si="5"/>
        <v>436.14591643983221</v>
      </c>
      <c r="AN13" s="62">
        <f ca="1">AVERAGE(OFFSET($AM$3,0,0,'Données projet'!$E$10+1,1))-AVERAGE(OFFSET($H$3,0,0,'Données projet'!$E$10+1,1))</f>
        <v>395.97781616920071</v>
      </c>
      <c r="AO13" s="62">
        <f t="shared" si="36"/>
        <v>554.05128015315631</v>
      </c>
      <c r="AP13" s="16">
        <f>IF(ISNA(VLOOKUP(A13,'Données projet'!$A$61:$I$81,3,0)),0,VLOOKUP(A13,'Données projet'!$A$61:$I$81,3,0))</f>
        <v>2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0.06</v>
      </c>
      <c r="AS13" s="17">
        <f>IF(ISNA(VLOOKUP(A13,'Données projet'!$A$61:$I$81,6,0)),0%,VLOOKUP(A13,'Données projet'!$A$61:$I$81,6,0)*VLOOKUP('Données projet'!$B$10,Paramètres!$A$1:$I$89,7,0))</f>
        <v>0.12</v>
      </c>
      <c r="AT13" s="17">
        <f>IF(ISNA(VLOOKUP(A13,'Données projet'!$A$61:$I$81,7,0)),0%,VLOOKUP(A13,'Données projet'!$A$61:$I$81,7,0))</f>
        <v>0.2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11.8</v>
      </c>
      <c r="N14" s="14">
        <f>IF('Données projet'!$A$36&gt;35,N13+M14-V13,IF(A14&lt;'Données projet'!$A$36,$K$205^A14,IF(A14='Données projet'!$A$36,'Données projet'!$B$36,N13+M14-V13)))</f>
        <v>20.188386084778987</v>
      </c>
      <c r="O14" s="14">
        <f>N14*VLOOKUP('Données projet'!$B$9,Paramètres!$A$1:$I$89,3,0)*VLOOKUP('Données projet'!$B$9,Paramètres!$A$1:$I$89,5,0)</f>
        <v>11.558254801257666</v>
      </c>
      <c r="P14" s="14">
        <f t="shared" si="33"/>
        <v>4.0061173753632255</v>
      </c>
      <c r="Q14" s="22">
        <f t="shared" si="2"/>
        <v>27.107948207614722</v>
      </c>
      <c r="R14" s="62">
        <f t="shared" si="0"/>
        <v>297.21905931872584</v>
      </c>
      <c r="S14" s="62">
        <f ca="1">AVERAGE(OFFSET($R$3,0,0,'Données projet'!$E$9+1,1))-AVERAGE(OFFSET($H$3,0,0,'Données projet'!$E$9+1,1))</f>
        <v>72.393882557915504</v>
      </c>
      <c r="T14" s="62">
        <f t="shared" si="34"/>
        <v>321.03333748974029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11</v>
      </c>
      <c r="AI14" s="14">
        <f>IF('Données projet'!$A$62&gt;35,AI13+AH14-AQ13,IF(A14&lt;'Données projet'!$A$62,$AF$205^A14,IF(A14='Données projet'!$A$62,'Données projet'!$B$62,AI13+AH14-AQ13)))</f>
        <v>94</v>
      </c>
      <c r="AJ14" s="14">
        <f>AI14*VLOOKUP('Données projet'!$B$10,Paramètres!$A$1:$I$89,3,0)*VLOOKUP('Données projet'!$B$10,Paramètres!$A$1:$I$89,5,0)</f>
        <v>85.051199999999994</v>
      </c>
      <c r="AK14" s="14">
        <f t="shared" si="35"/>
        <v>23.367793520672731</v>
      </c>
      <c r="AL14" s="22">
        <f t="shared" si="4"/>
        <v>188.82974704850497</v>
      </c>
      <c r="AM14" s="62">
        <f t="shared" si="5"/>
        <v>458.94085815961614</v>
      </c>
      <c r="AN14" s="62">
        <f ca="1">AVERAGE(OFFSET($AM$3,0,0,'Données projet'!$E$10+1,1))-AVERAGE(OFFSET($H$3,0,0,'Données projet'!$E$10+1,1))</f>
        <v>395.97781616920071</v>
      </c>
      <c r="AO14" s="62">
        <f t="shared" si="36"/>
        <v>554.05128015315631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11.8</v>
      </c>
      <c r="N15" s="14">
        <f>IF('Données projet'!$A$36&gt;35,N14+M15-V14,IF(A15&lt;'Données projet'!$A$36,$K$205^A15,IF(A15='Données projet'!$A$36,'Données projet'!$B$36,N14+M15-V14)))</f>
        <v>26.530607938352919</v>
      </c>
      <c r="O15" s="14">
        <f>N15*VLOOKUP('Données projet'!$B$9,Paramètres!$A$1:$I$89,3,0)*VLOOKUP('Données projet'!$B$9,Paramètres!$A$1:$I$89,5,0)</f>
        <v>15.189303656865814</v>
      </c>
      <c r="P15" s="14">
        <f t="shared" si="33"/>
        <v>5.0998678409300684</v>
      </c>
      <c r="Q15" s="22">
        <f t="shared" si="2"/>
        <v>35.336973691994501</v>
      </c>
      <c r="R15" s="62">
        <f t="shared" si="0"/>
        <v>306.67030702532782</v>
      </c>
      <c r="S15" s="62">
        <f ca="1">AVERAGE(OFFSET($R$3,0,0,'Données projet'!$E$9+1,1))-AVERAGE(OFFSET($H$3,0,0,'Données projet'!$E$9+1,1))</f>
        <v>72.393882557915504</v>
      </c>
      <c r="T15" s="62">
        <f t="shared" si="34"/>
        <v>321.03333748974029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11</v>
      </c>
      <c r="AI15" s="14">
        <f>IF('Données projet'!$A$62&gt;35,AI14+AH15-AQ14,IF(A15&lt;'Données projet'!$A$62,$AF$205^A15,IF(A15='Données projet'!$A$62,'Données projet'!$B$62,AI14+AH15-AQ14)))</f>
        <v>105</v>
      </c>
      <c r="AJ15" s="14">
        <f>AI15*VLOOKUP('Données projet'!$B$10,Paramètres!$A$1:$I$89,3,0)*VLOOKUP('Données projet'!$B$10,Paramètres!$A$1:$I$89,5,0)</f>
        <v>95.004000000000005</v>
      </c>
      <c r="AK15" s="14">
        <f t="shared" si="35"/>
        <v>25.768242550600785</v>
      </c>
      <c r="AL15" s="22">
        <f t="shared" si="4"/>
        <v>210.34498910896306</v>
      </c>
      <c r="AM15" s="62">
        <f t="shared" si="5"/>
        <v>481.67832244229635</v>
      </c>
      <c r="AN15" s="62">
        <f ca="1">AVERAGE(OFFSET($AM$3,0,0,'Données projet'!$E$10+1,1))-AVERAGE(OFFSET($H$3,0,0,'Données projet'!$E$10+1,1))</f>
        <v>395.97781616920071</v>
      </c>
      <c r="AO15" s="62">
        <f t="shared" si="36"/>
        <v>554.05128015315631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11.8</v>
      </c>
      <c r="N16" s="14">
        <f>IF('Données projet'!$A$36&gt;35,N15+M16-V15,IF(A16&lt;'Données projet'!$A$36,$K$205^A16,IF(A16='Données projet'!$A$36,'Données projet'!$B$36,N15+M16-V15)))</f>
        <v>34.86525146798531</v>
      </c>
      <c r="O16" s="14">
        <f>N16*VLOOKUP('Données projet'!$B$9,Paramètres!$A$1:$I$89,3,0)*VLOOKUP('Données projet'!$B$9,Paramètres!$A$1:$I$89,5,0)</f>
        <v>19.961053770450949</v>
      </c>
      <c r="P16" s="14">
        <f t="shared" si="33"/>
        <v>6.4922341404424166</v>
      </c>
      <c r="Q16" s="22">
        <f t="shared" si="2"/>
        <v>46.07280977813928</v>
      </c>
      <c r="R16" s="62">
        <f t="shared" si="0"/>
        <v>318.62836533369483</v>
      </c>
      <c r="S16" s="62">
        <f ca="1">AVERAGE(OFFSET($R$3,0,0,'Données projet'!$E$9+1,1))-AVERAGE(OFFSET($H$3,0,0,'Données projet'!$E$9+1,1))</f>
        <v>72.393882557915504</v>
      </c>
      <c r="T16" s="62">
        <f t="shared" si="34"/>
        <v>321.03333748974029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11</v>
      </c>
      <c r="AI16" s="14">
        <f>IF('Données projet'!$A$62&gt;35,AI15+AH16-AQ15,IF(A16&lt;'Données projet'!$A$62,$AF$205^A16,IF(A16='Données projet'!$A$62,'Données projet'!$B$62,AI15+AH16-AQ15)))</f>
        <v>116</v>
      </c>
      <c r="AJ16" s="14">
        <f>AI16*VLOOKUP('Données projet'!$B$10,Paramètres!$A$1:$I$89,3,0)*VLOOKUP('Données projet'!$B$10,Paramètres!$A$1:$I$89,5,0)</f>
        <v>104.9568</v>
      </c>
      <c r="AK16" s="14">
        <f t="shared" si="35"/>
        <v>28.139541339232373</v>
      </c>
      <c r="AL16" s="22">
        <f t="shared" si="4"/>
        <v>231.8094611658297</v>
      </c>
      <c r="AM16" s="62">
        <f t="shared" si="5"/>
        <v>504.36501672138525</v>
      </c>
      <c r="AN16" s="62">
        <f ca="1">AVERAGE(OFFSET($AM$3,0,0,'Données projet'!$E$10+1,1))-AVERAGE(OFFSET($H$3,0,0,'Données projet'!$E$10+1,1))</f>
        <v>395.97781616920071</v>
      </c>
      <c r="AO16" s="62">
        <f t="shared" si="36"/>
        <v>554.05128015315631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11.8</v>
      </c>
      <c r="N17" s="14">
        <f>IF('Données projet'!$A$36&gt;35,N16+M17-V16,IF(A17&lt;'Données projet'!$A$36,$K$205^A17,IF(A17='Données projet'!$A$36,'Données projet'!$B$36,N16+M17-V16)))</f>
        <v>45.818239926895487</v>
      </c>
      <c r="O17" s="14">
        <f>N17*VLOOKUP('Données projet'!$B$9,Paramètres!$A$1:$I$89,3,0)*VLOOKUP('Données projet'!$B$9,Paramètres!$A$1:$I$89,5,0)</f>
        <v>26.231858722946203</v>
      </c>
      <c r="P17" s="14">
        <f t="shared" si="33"/>
        <v>8.2647443912270777</v>
      </c>
      <c r="Q17" s="22">
        <f t="shared" si="2"/>
        <v>60.081583757185136</v>
      </c>
      <c r="R17" s="62">
        <f t="shared" si="0"/>
        <v>333.85936153496289</v>
      </c>
      <c r="S17" s="62">
        <f ca="1">AVERAGE(OFFSET($R$3,0,0,'Données projet'!$E$9+1,1))-AVERAGE(OFFSET($H$3,0,0,'Données projet'!$E$9+1,1))</f>
        <v>72.393882557915504</v>
      </c>
      <c r="T17" s="62">
        <f t="shared" si="34"/>
        <v>321.03333748974029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11</v>
      </c>
      <c r="AI17" s="14">
        <f>IF('Données projet'!$A$62&gt;35,AI16+AH17-AQ16,IF(A17&lt;'Données projet'!$A$62,$AF$205^A17,IF(A17='Données projet'!$A$62,'Données projet'!$B$62,AI16+AH17-AQ16)))</f>
        <v>127</v>
      </c>
      <c r="AJ17" s="14">
        <f>AI17*VLOOKUP('Données projet'!$B$10,Paramètres!$A$1:$I$89,3,0)*VLOOKUP('Données projet'!$B$10,Paramètres!$A$1:$I$89,5,0)</f>
        <v>114.9096</v>
      </c>
      <c r="AK17" s="14">
        <f t="shared" si="35"/>
        <v>30.484768610015138</v>
      </c>
      <c r="AL17" s="22">
        <f t="shared" si="4"/>
        <v>253.22852532910966</v>
      </c>
      <c r="AM17" s="62">
        <f t="shared" si="5"/>
        <v>527.00630310688746</v>
      </c>
      <c r="AN17" s="62">
        <f ca="1">AVERAGE(OFFSET($AM$3,0,0,'Données projet'!$E$10+1,1))-AVERAGE(OFFSET($H$3,0,0,'Données projet'!$E$10+1,1))</f>
        <v>395.97781616920071</v>
      </c>
      <c r="AO17" s="62">
        <f t="shared" si="36"/>
        <v>554.05128015315631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11.8</v>
      </c>
      <c r="N18" s="14">
        <f>IF('Données projet'!$A$36&gt;35,N17+M18-V17,IF(A18&lt;'Données projet'!$A$36,$K$205^A18,IF(A18='Données projet'!$A$36,'Données projet'!$B$36,N17+M18-V17)))</f>
        <v>60.212131609784393</v>
      </c>
      <c r="O18" s="14">
        <f>N18*VLOOKUP('Données projet'!$B$9,Paramètres!$A$1:$I$89,3,0)*VLOOKUP('Données projet'!$B$9,Paramètres!$A$1:$I$89,5,0)</f>
        <v>34.472649589233761</v>
      </c>
      <c r="P18" s="14">
        <f t="shared" si="33"/>
        <v>10.521185523303487</v>
      </c>
      <c r="Q18" s="22">
        <f t="shared" si="2"/>
        <v>78.36426282100237</v>
      </c>
      <c r="R18" s="62">
        <f t="shared" si="0"/>
        <v>353.3642628210024</v>
      </c>
      <c r="S18" s="62">
        <f ca="1">AVERAGE(OFFSET($R$3,0,0,'Données projet'!$E$9+1,1))-AVERAGE(OFFSET($H$3,0,0,'Données projet'!$E$9+1,1))</f>
        <v>72.393882557915504</v>
      </c>
      <c r="T18" s="62">
        <f t="shared" si="34"/>
        <v>321.03333748974029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138</v>
      </c>
      <c r="AG18" s="13">
        <f>VLOOKUP(A18,'Données projet'!$A$61:$I$81,9,0)</f>
        <v>11</v>
      </c>
      <c r="AH18" s="13">
        <f t="array" ref="AH18">INDEX(AG:AG,MIN(IF(ISNUMBER(AG18:AG214),ROW(AG18:AG214),"")))</f>
        <v>11</v>
      </c>
      <c r="AI18" s="14">
        <f>IF('Données projet'!$A$62&gt;35,AI17+AH18-AQ17,IF(A18&lt;'Données projet'!$A$62,$AF$205^A18,IF(A18='Données projet'!$A$62,'Données projet'!$B$62,AI17+AH18-AQ17)))</f>
        <v>138</v>
      </c>
      <c r="AJ18" s="14">
        <f>AI18*VLOOKUP('Données projet'!$B$10,Paramètres!$A$1:$I$89,3,0)*VLOOKUP('Données projet'!$B$10,Paramètres!$A$1:$I$89,5,0)</f>
        <v>124.86239999999999</v>
      </c>
      <c r="AK18" s="14">
        <f t="shared" si="35"/>
        <v>32.806439280561598</v>
      </c>
      <c r="AL18" s="22">
        <f t="shared" si="4"/>
        <v>274.60656174697812</v>
      </c>
      <c r="AM18" s="62">
        <f t="shared" si="5"/>
        <v>549.60656174697806</v>
      </c>
      <c r="AN18" s="62">
        <f ca="1">AVERAGE(OFFSET($AM$3,0,0,'Données projet'!$E$10+1,1))-AVERAGE(OFFSET($H$3,0,0,'Données projet'!$E$10+1,1))</f>
        <v>395.97781616920071</v>
      </c>
      <c r="AO18" s="62">
        <f t="shared" si="36"/>
        <v>554.05128015315631</v>
      </c>
      <c r="AP18" s="16">
        <f>IF(ISNA(VLOOKUP(A18,'Données projet'!$A$61:$I$81,3,0)),0,VLOOKUP(A18,'Données projet'!$A$61:$I$81,3,0))</f>
        <v>3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0.09</v>
      </c>
      <c r="AS18" s="17">
        <f>IF(ISNA(VLOOKUP(A18,'Données projet'!$A$61:$I$81,6,0)),0%,VLOOKUP(A18,'Données projet'!$A$61:$I$81,6,0)*VLOOKUP('Données projet'!$B$10,Paramètres!$A$1:$I$89,7,0))</f>
        <v>0.09</v>
      </c>
      <c r="AT18" s="17">
        <f>IF(ISNA(VLOOKUP(A18,'Données projet'!$A$61:$I$81,7,0)),0%,VLOOKUP(A18,'Données projet'!$A$61:$I$81,7,0))</f>
        <v>0.2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11.8</v>
      </c>
      <c r="N19" s="14">
        <f>IF('Données projet'!$A$36&gt;35,N18+M19-V18,IF(A19&lt;'Données projet'!$A$36,$K$205^A19,IF(A19='Données projet'!$A$36,'Données projet'!$B$36,N18+M19-V18)))</f>
        <v>79.127893144271852</v>
      </c>
      <c r="O19" s="14">
        <f>N19*VLOOKUP('Données projet'!$B$9,Paramètres!$A$1:$I$89,3,0)*VLOOKUP('Données projet'!$B$9,Paramètres!$A$1:$I$89,5,0)</f>
        <v>45.302301382958525</v>
      </c>
      <c r="P19" s="14">
        <f t="shared" si="33"/>
        <v>13.39368038209053</v>
      </c>
      <c r="Q19" s="22">
        <f t="shared" si="2"/>
        <v>102.22883490746044</v>
      </c>
      <c r="R19" s="62">
        <f t="shared" si="0"/>
        <v>378.45105712968268</v>
      </c>
      <c r="S19" s="62">
        <f ca="1">AVERAGE(OFFSET($R$3,0,0,'Données projet'!$E$9+1,1))-AVERAGE(OFFSET($H$3,0,0,'Données projet'!$E$9+1,1))</f>
        <v>72.393882557915504</v>
      </c>
      <c r="T19" s="62">
        <f t="shared" si="34"/>
        <v>321.03333748974029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10</v>
      </c>
      <c r="AI19" s="14">
        <f>IF('Données projet'!$A$62&gt;35,AI18+AH19-AQ18,IF(A19&lt;'Données projet'!$A$62,$AF$205^A19,IF(A19='Données projet'!$A$62,'Données projet'!$B$62,AI18+AH19-AQ18)))</f>
        <v>148</v>
      </c>
      <c r="AJ19" s="14">
        <f>AI19*VLOOKUP('Données projet'!$B$10,Paramètres!$A$1:$I$89,3,0)*VLOOKUP('Données projet'!$B$10,Paramètres!$A$1:$I$89,5,0)</f>
        <v>133.91039999999998</v>
      </c>
      <c r="AK19" s="14">
        <f t="shared" si="35"/>
        <v>34.898373535125089</v>
      </c>
      <c r="AL19" s="22">
        <f t="shared" si="4"/>
        <v>294.00861390700948</v>
      </c>
      <c r="AM19" s="62">
        <f t="shared" si="5"/>
        <v>570.23083612923165</v>
      </c>
      <c r="AN19" s="62">
        <f ca="1">AVERAGE(OFFSET($AM$3,0,0,'Données projet'!$E$10+1,1))-AVERAGE(OFFSET($H$3,0,0,'Données projet'!$E$10+1,1))</f>
        <v>395.97781616920071</v>
      </c>
      <c r="AO19" s="62">
        <f t="shared" si="36"/>
        <v>554.05128015315631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11.8</v>
      </c>
      <c r="N20" s="14">
        <f>IF('Données projet'!$A$36&gt;35,N19+M20-V19,IF(A20&lt;'Données projet'!$A$36,$K$205^A20,IF(A20='Données projet'!$A$36,'Données projet'!$B$36,N19+M20-V19)))</f>
        <v>103.98607898534958</v>
      </c>
      <c r="O20" s="14">
        <f>N20*VLOOKUP('Données projet'!$B$9,Paramètres!$A$1:$I$89,3,0)*VLOOKUP('Données projet'!$B$9,Paramètres!$A$1:$I$89,5,0)</f>
        <v>59.534109940692339</v>
      </c>
      <c r="P20" s="14">
        <f t="shared" si="33"/>
        <v>17.050424002149033</v>
      </c>
      <c r="Q20" s="22">
        <f t="shared" si="2"/>
        <v>133.3847299504487</v>
      </c>
      <c r="R20" s="62">
        <f t="shared" si="0"/>
        <v>410.82917439489313</v>
      </c>
      <c r="S20" s="62">
        <f ca="1">AVERAGE(OFFSET($R$3,0,0,'Données projet'!$E$9+1,1))-AVERAGE(OFFSET($H$3,0,0,'Données projet'!$E$9+1,1))</f>
        <v>72.393882557915504</v>
      </c>
      <c r="T20" s="62">
        <f t="shared" si="34"/>
        <v>321.03333748974029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10</v>
      </c>
      <c r="AI20" s="14">
        <f>IF('Données projet'!$A$62&gt;35,AI19+AH20-AQ19,IF(A20&lt;'Données projet'!$A$62,$AF$205^A20,IF(A20='Données projet'!$A$62,'Données projet'!$B$62,AI19+AH20-AQ19)))</f>
        <v>158</v>
      </c>
      <c r="AJ20" s="14">
        <f>AI20*VLOOKUP('Données projet'!$B$10,Paramètres!$A$1:$I$89,3,0)*VLOOKUP('Données projet'!$B$10,Paramètres!$A$1:$I$89,5,0)</f>
        <v>142.95840000000001</v>
      </c>
      <c r="AK20" s="14">
        <f t="shared" si="35"/>
        <v>36.973906370811264</v>
      </c>
      <c r="AL20" s="22">
        <f t="shared" si="4"/>
        <v>313.38210026249629</v>
      </c>
      <c r="AM20" s="62">
        <f t="shared" si="5"/>
        <v>590.82654470694069</v>
      </c>
      <c r="AN20" s="62">
        <f ca="1">AVERAGE(OFFSET($AM$3,0,0,'Données projet'!$E$10+1,1))-AVERAGE(OFFSET($H$3,0,0,'Données projet'!$E$10+1,1))</f>
        <v>395.97781616920071</v>
      </c>
      <c r="AO20" s="62">
        <f t="shared" si="36"/>
        <v>554.05128015315631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11.8</v>
      </c>
      <c r="N21" s="14">
        <f>IF('Données projet'!$A$36&gt;35,N20+M21-V20,IF(A21&lt;'Données projet'!$A$36,$K$205^A21,IF(A21='Données projet'!$A$36,'Données projet'!$B$36,N20+M21-V20)))</f>
        <v>136.65351361032839</v>
      </c>
      <c r="O21" s="14">
        <f>N21*VLOOKUP('Données projet'!$B$9,Paramètres!$A$1:$I$89,3,0)*VLOOKUP('Données projet'!$B$9,Paramètres!$A$1:$I$89,5,0)</f>
        <v>78.236869612185217</v>
      </c>
      <c r="P21" s="14">
        <f t="shared" si="33"/>
        <v>21.705532038960303</v>
      </c>
      <c r="Q21" s="22">
        <f t="shared" si="2"/>
        <v>174.06634954241179</v>
      </c>
      <c r="R21" s="62">
        <f t="shared" si="0"/>
        <v>452.73301620907847</v>
      </c>
      <c r="S21" s="62">
        <f ca="1">AVERAGE(OFFSET($R$3,0,0,'Données projet'!$E$9+1,1))-AVERAGE(OFFSET($H$3,0,0,'Données projet'!$E$9+1,1))</f>
        <v>72.393882557915504</v>
      </c>
      <c r="T21" s="62">
        <f t="shared" si="34"/>
        <v>321.03333748974029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10</v>
      </c>
      <c r="AI21" s="14">
        <f>IF('Données projet'!$A$62&gt;35,AI20+AH21-AQ20,IF(A21&lt;'Données projet'!$A$62,$AF$205^A21,IF(A21='Données projet'!$A$62,'Données projet'!$B$62,AI20+AH21-AQ20)))</f>
        <v>168</v>
      </c>
      <c r="AJ21" s="14">
        <f>AI21*VLOOKUP('Données projet'!$B$10,Paramètres!$A$1:$I$89,3,0)*VLOOKUP('Données projet'!$B$10,Paramètres!$A$1:$I$89,5,0)</f>
        <v>152.00640000000001</v>
      </c>
      <c r="AK21" s="14">
        <f t="shared" si="35"/>
        <v>39.03419401656145</v>
      </c>
      <c r="AL21" s="22">
        <f t="shared" si="4"/>
        <v>332.72903457884451</v>
      </c>
      <c r="AM21" s="62">
        <f t="shared" si="5"/>
        <v>611.39570124551119</v>
      </c>
      <c r="AN21" s="62">
        <f ca="1">AVERAGE(OFFSET($AM$3,0,0,'Données projet'!$E$10+1,1))-AVERAGE(OFFSET($H$3,0,0,'Données projet'!$E$10+1,1))</f>
        <v>395.97781616920071</v>
      </c>
      <c r="AO21" s="62">
        <f t="shared" si="36"/>
        <v>554.05128015315631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11.8</v>
      </c>
      <c r="N22" s="14">
        <f>IF('Données projet'!$A$36&gt;35,N21+M22-V21,IF(A22&lt;'Données projet'!$A$36,$K$205^A22,IF(A22='Données projet'!$A$36,'Données projet'!$B$36,N21+M22-V21)))</f>
        <v>179.58348813863034</v>
      </c>
      <c r="O22" s="14">
        <f>N22*VLOOKUP('Données projet'!$B$9,Paramètres!$A$1:$I$89,3,0)*VLOOKUP('Données projet'!$B$9,Paramètres!$A$1:$I$89,5,0)</f>
        <v>102.81513862912865</v>
      </c>
      <c r="P22" s="14">
        <f t="shared" si="33"/>
        <v>27.631578020285644</v>
      </c>
      <c r="Q22" s="22">
        <f t="shared" si="2"/>
        <v>227.19469816439656</v>
      </c>
      <c r="R22" s="62">
        <f t="shared" si="0"/>
        <v>507.08358705328544</v>
      </c>
      <c r="S22" s="62">
        <f ca="1">AVERAGE(OFFSET($R$3,0,0,'Données projet'!$E$9+1,1))-AVERAGE(OFFSET($H$3,0,0,'Données projet'!$E$9+1,1))</f>
        <v>72.393882557915504</v>
      </c>
      <c r="T22" s="62">
        <f t="shared" si="34"/>
        <v>321.03333748974029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10</v>
      </c>
      <c r="AI22" s="14">
        <f>IF('Données projet'!$A$62&gt;35,AI21+AH22-AQ21,IF(A22&lt;'Données projet'!$A$62,$AF$205^A22,IF(A22='Données projet'!$A$62,'Données projet'!$B$62,AI21+AH22-AQ21)))</f>
        <v>178</v>
      </c>
      <c r="AJ22" s="14">
        <f>AI22*VLOOKUP('Données projet'!$B$10,Paramètres!$A$1:$I$89,3,0)*VLOOKUP('Données projet'!$B$10,Paramètres!$A$1:$I$89,5,0)</f>
        <v>161.05439999999999</v>
      </c>
      <c r="AK22" s="14">
        <f t="shared" si="35"/>
        <v>41.080247278685491</v>
      </c>
      <c r="AL22" s="22">
        <f t="shared" si="4"/>
        <v>352.05117734371055</v>
      </c>
      <c r="AM22" s="62">
        <f t="shared" si="5"/>
        <v>631.94006623259941</v>
      </c>
      <c r="AN22" s="62">
        <f ca="1">AVERAGE(OFFSET($AM$3,0,0,'Données projet'!$E$10+1,1))-AVERAGE(OFFSET($H$3,0,0,'Données projet'!$E$10+1,1))</f>
        <v>395.97781616920071</v>
      </c>
      <c r="AO22" s="62">
        <f t="shared" si="36"/>
        <v>554.05128015315631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236</v>
      </c>
      <c r="L23" s="13">
        <f>VLOOKUP(A23,'Données projet'!$A$35:$I$55,9,0)</f>
        <v>11.8</v>
      </c>
      <c r="M23" s="13">
        <f t="array" ref="M23">INDEX(L:L,MIN(IF(ISNUMBER(L23:L219),ROW(L23:L219),"")))</f>
        <v>11.8</v>
      </c>
      <c r="N23" s="14">
        <f>IF('Données projet'!$A$36&gt;35,N22+M23-V22,IF(A23&lt;'Données projet'!$A$36,$K$205^A23,IF(A23='Données projet'!$A$36,'Données projet'!$B$36,N22+M23-V22)))</f>
        <v>236</v>
      </c>
      <c r="O23" s="14">
        <f>N23*VLOOKUP('Données projet'!$B$9,Paramètres!$A$1:$I$89,3,0)*VLOOKUP('Données projet'!$B$9,Paramètres!$A$1:$I$89,5,0)</f>
        <v>135.11472000000001</v>
      </c>
      <c r="P23" s="14">
        <f t="shared" si="33"/>
        <v>35.175553518830135</v>
      </c>
      <c r="Q23" s="22">
        <f t="shared" si="2"/>
        <v>296.58889304529583</v>
      </c>
      <c r="R23" s="62">
        <f t="shared" si="0"/>
        <v>577.70000415640698</v>
      </c>
      <c r="S23" s="62">
        <f ca="1">AVERAGE(OFFSET($R$3,0,0,'Données projet'!$E$9+1,1))-AVERAGE(OFFSET($H$3,0,0,'Données projet'!$E$9+1,1))</f>
        <v>72.393882557915504</v>
      </c>
      <c r="T23" s="62">
        <f t="shared" si="34"/>
        <v>321.03333748974029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236</v>
      </c>
      <c r="W23" s="17">
        <f>IF(ISNA(VLOOKUP(A23,'Données projet'!$A$35:$I$55,5,0)),0%,VLOOKUP(A23,'Données projet'!$A$35:$I$55,5,0)*VLOOKUP('Données projet'!$B$9,Paramètres!$A$1:$I$89,7,0))</f>
        <v>0.6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89.619192479332966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89.619192479332966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188</v>
      </c>
      <c r="AG23" s="13">
        <f>VLOOKUP(A23,'Données projet'!$A$61:$I$81,9,0)</f>
        <v>10</v>
      </c>
      <c r="AH23" s="13">
        <f t="array" ref="AH23">INDEX(AG:AG,MIN(IF(ISNUMBER(AG23:AG219),ROW(AG23:AG219),"")))</f>
        <v>10</v>
      </c>
      <c r="AI23" s="14">
        <f>IF('Données projet'!$A$62&gt;35,AI22+AH23-AQ22,IF(A23&lt;'Données projet'!$A$62,$AF$205^A23,IF(A23='Données projet'!$A$62,'Données projet'!$B$62,AI22+AH23-AQ22)))</f>
        <v>188</v>
      </c>
      <c r="AJ23" s="14">
        <f>AI23*VLOOKUP('Données projet'!$B$10,Paramètres!$A$1:$I$89,3,0)*VLOOKUP('Données projet'!$B$10,Paramètres!$A$1:$I$89,5,0)</f>
        <v>170.10239999999999</v>
      </c>
      <c r="AK23" s="14">
        <f t="shared" si="35"/>
        <v>43.112956975087329</v>
      </c>
      <c r="AL23" s="22">
        <f t="shared" si="4"/>
        <v>371.35008006494377</v>
      </c>
      <c r="AM23" s="62">
        <f t="shared" si="5"/>
        <v>652.46119117605485</v>
      </c>
      <c r="AN23" s="62">
        <f ca="1">AVERAGE(OFFSET($AM$3,0,0,'Données projet'!$E$10+1,1))-AVERAGE(OFFSET($H$3,0,0,'Données projet'!$E$10+1,1))</f>
        <v>395.97781616920071</v>
      </c>
      <c r="AO23" s="62">
        <f t="shared" si="36"/>
        <v>554.05128015315631</v>
      </c>
      <c r="AP23" s="16">
        <f>IF(ISNA(VLOOKUP(A23,'Données projet'!$A$61:$I$81,3,0)),0,VLOOKUP(A23,'Données projet'!$A$61:$I$81,3,0))</f>
        <v>4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0.12</v>
      </c>
      <c r="AS23" s="17">
        <f>IF(ISNA(VLOOKUP(A23,'Données projet'!$A$61:$I$81,6,0)),0%,VLOOKUP(A23,'Données projet'!$A$61:$I$81,6,0)*VLOOKUP('Données projet'!$B$10,Paramètres!$A$1:$I$89,7,0))</f>
        <v>0.09</v>
      </c>
      <c r="AT23" s="17">
        <f>IF(ISNA(VLOOKUP(A23,'Données projet'!$A$61:$I$81,7,0)),0%,VLOOKUP(A23,'Données projet'!$A$61:$I$81,7,0))</f>
        <v>0.2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72.393882557915504</v>
      </c>
      <c r="T24" s="62">
        <f t="shared" si="34"/>
        <v>321.03333748974029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87.8618147771232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87.8618147771232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8.4</v>
      </c>
      <c r="AI24" s="14">
        <f>IF('Données projet'!$A$62&gt;35,AI23+AH24-AQ23,IF(A24&lt;'Données projet'!$A$62,$AF$205^A24,IF(A24='Données projet'!$A$62,'Données projet'!$B$62,AI23+AH24-AQ23)))</f>
        <v>196.4</v>
      </c>
      <c r="AJ24" s="14">
        <f>AI24*VLOOKUP('Données projet'!$B$10,Paramètres!$A$1:$I$89,3,0)*VLOOKUP('Données projet'!$B$10,Paramètres!$A$1:$I$89,5,0)</f>
        <v>177.70272</v>
      </c>
      <c r="AK24" s="14">
        <f t="shared" si="35"/>
        <v>44.810702235717677</v>
      </c>
      <c r="AL24" s="22">
        <f t="shared" si="4"/>
        <v>387.54421039387495</v>
      </c>
      <c r="AM24" s="62">
        <f t="shared" si="5"/>
        <v>669.87754372720826</v>
      </c>
      <c r="AN24" s="62">
        <f ca="1">AVERAGE(OFFSET($AM$3,0,0,'Données projet'!$E$10+1,1))-AVERAGE(OFFSET($H$3,0,0,'Données projet'!$E$10+1,1))</f>
        <v>395.97781616920071</v>
      </c>
      <c r="AO24" s="62">
        <f t="shared" si="36"/>
        <v>554.05128015315631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72.393882557915504</v>
      </c>
      <c r="T25" s="62">
        <f t="shared" si="34"/>
        <v>321.03333748974029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86.138898179759209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86.138898179759209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8.4</v>
      </c>
      <c r="AI25" s="14">
        <f>IF('Données projet'!$A$62&gt;35,AI24+AH25-AQ24,IF(A25&lt;'Données projet'!$A$62,$AF$205^A25,IF(A25='Données projet'!$A$62,'Données projet'!$B$62,AI24+AH25-AQ24)))</f>
        <v>204.8</v>
      </c>
      <c r="AJ25" s="14">
        <f>AI25*VLOOKUP('Données projet'!$B$10,Paramètres!$A$1:$I$89,3,0)*VLOOKUP('Données projet'!$B$10,Paramètres!$A$1:$I$89,5,0)</f>
        <v>185.30303999999998</v>
      </c>
      <c r="AK25" s="14">
        <f t="shared" si="35"/>
        <v>46.500013710710547</v>
      </c>
      <c r="AL25" s="22">
        <f t="shared" si="4"/>
        <v>403.72365187948748</v>
      </c>
      <c r="AM25" s="62">
        <f t="shared" si="5"/>
        <v>687.27920743504296</v>
      </c>
      <c r="AN25" s="62">
        <f ca="1">AVERAGE(OFFSET($AM$3,0,0,'Données projet'!$E$10+1,1))-AVERAGE(OFFSET($H$3,0,0,'Données projet'!$E$10+1,1))</f>
        <v>395.97781616920071</v>
      </c>
      <c r="AO25" s="62">
        <f t="shared" si="36"/>
        <v>554.05128015315631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72.393882557915504</v>
      </c>
      <c r="T26" s="62">
        <f t="shared" si="34"/>
        <v>321.03333748974029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84.449766925994169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84.449766925994169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8.4</v>
      </c>
      <c r="AI26" s="14">
        <f>IF('Données projet'!$A$62&gt;35,AI25+AH26-AQ25,IF(A26&lt;'Données projet'!$A$62,$AF$205^A26,IF(A26='Données projet'!$A$62,'Données projet'!$B$62,AI25+AH26-AQ25)))</f>
        <v>213.20000000000002</v>
      </c>
      <c r="AJ26" s="14">
        <f>AI26*VLOOKUP('Données projet'!$B$10,Paramètres!$A$1:$I$89,3,0)*VLOOKUP('Données projet'!$B$10,Paramètres!$A$1:$I$89,5,0)</f>
        <v>192.90336000000002</v>
      </c>
      <c r="AK26" s="14">
        <f t="shared" si="35"/>
        <v>48.181276881765257</v>
      </c>
      <c r="AL26" s="22">
        <f t="shared" si="4"/>
        <v>419.88907590240791</v>
      </c>
      <c r="AM26" s="62">
        <f t="shared" si="5"/>
        <v>704.66685368018568</v>
      </c>
      <c r="AN26" s="62">
        <f ca="1">AVERAGE(OFFSET($AM$3,0,0,'Données projet'!$E$10+1,1))-AVERAGE(OFFSET($H$3,0,0,'Données projet'!$E$10+1,1))</f>
        <v>395.97781616920071</v>
      </c>
      <c r="AO26" s="62">
        <f t="shared" si="36"/>
        <v>554.05128015315631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72.393882557915504</v>
      </c>
      <c r="T27" s="62">
        <f t="shared" si="34"/>
        <v>321.03333748974029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82.793758505847123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82.793758505847123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8.4</v>
      </c>
      <c r="AI27" s="14">
        <f>IF('Données projet'!$A$62&gt;35,AI26+AH27-AQ26,IF(A27&lt;'Données projet'!$A$62,$AF$205^A27,IF(A27='Données projet'!$A$62,'Données projet'!$B$62,AI26+AH27-AQ26)))</f>
        <v>221.60000000000002</v>
      </c>
      <c r="AJ27" s="14">
        <f>AI27*VLOOKUP('Données projet'!$B$10,Paramètres!$A$1:$I$89,3,0)*VLOOKUP('Données projet'!$B$10,Paramètres!$A$1:$I$89,5,0)</f>
        <v>200.50368</v>
      </c>
      <c r="AK27" s="14">
        <f t="shared" si="35"/>
        <v>49.854845135229887</v>
      </c>
      <c r="AL27" s="22">
        <f t="shared" si="4"/>
        <v>436.04109794385869</v>
      </c>
      <c r="AM27" s="62">
        <f t="shared" si="5"/>
        <v>722.04109794385863</v>
      </c>
      <c r="AN27" s="62">
        <f ca="1">AVERAGE(OFFSET($AM$3,0,0,'Données projet'!$E$10+1,1))-AVERAGE(OFFSET($H$3,0,0,'Données projet'!$E$10+1,1))</f>
        <v>395.97781616920071</v>
      </c>
      <c r="AO27" s="62">
        <f t="shared" si="36"/>
        <v>554.05128015315631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72.393882557915504</v>
      </c>
      <c r="T28" s="62">
        <f t="shared" si="34"/>
        <v>321.03333748974029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81.17022340075377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81.17022340075377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230</v>
      </c>
      <c r="AG28" s="13">
        <f>VLOOKUP(A28,'Données projet'!$A$61:$I$81,9,0)</f>
        <v>8.4</v>
      </c>
      <c r="AH28" s="13">
        <f t="array" ref="AH28">INDEX(AG:AG,MIN(IF(ISNUMBER(AG28:AG224),ROW(AG28:AG224),"")))</f>
        <v>8.4</v>
      </c>
      <c r="AI28" s="14">
        <f>IF('Données projet'!$A$62&gt;35,AI27+AH28-AQ27,IF(A28&lt;'Données projet'!$A$62,$AF$205^A28,IF(A28='Données projet'!$A$62,'Données projet'!$B$62,AI27+AH28-AQ27)))</f>
        <v>230.00000000000003</v>
      </c>
      <c r="AJ28" s="14">
        <f>AI28*VLOOKUP('Données projet'!$B$10,Paramètres!$A$1:$I$89,3,0)*VLOOKUP('Données projet'!$B$10,Paramètres!$A$1:$I$89,5,0)</f>
        <v>208.10400000000001</v>
      </c>
      <c r="AK28" s="14">
        <f t="shared" si="35"/>
        <v>51.52104354893045</v>
      </c>
      <c r="AL28" s="22">
        <f t="shared" si="4"/>
        <v>452.18028418105388</v>
      </c>
      <c r="AM28" s="62">
        <f t="shared" si="5"/>
        <v>739.40250640327611</v>
      </c>
      <c r="AN28" s="62">
        <f ca="1">AVERAGE(OFFSET($AM$3,0,0,'Données projet'!$E$10+1,1))-AVERAGE(OFFSET($H$3,0,0,'Données projet'!$E$10+1,1))</f>
        <v>395.97781616920071</v>
      </c>
      <c r="AO28" s="62">
        <f t="shared" si="36"/>
        <v>554.05128015315631</v>
      </c>
      <c r="AP28" s="16">
        <f>IF(ISNA(VLOOKUP(A28,'Données projet'!$A$61:$I$81,3,0)),0,VLOOKUP(A28,'Données projet'!$A$61:$I$81,3,0))</f>
        <v>5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0.12</v>
      </c>
      <c r="AS28" s="17">
        <f>IF(ISNA(VLOOKUP(A28,'Données projet'!$A$61:$I$81,6,0)),0%,VLOOKUP(A28,'Données projet'!$A$61:$I$81,6,0)*VLOOKUP('Données projet'!$B$10,Paramètres!$A$1:$I$89,7,0))</f>
        <v>0.09</v>
      </c>
      <c r="AT28" s="17">
        <f>IF(ISNA(VLOOKUP(A28,'Données projet'!$A$61:$I$81,7,0)),0%,VLOOKUP(A28,'Données projet'!$A$61:$I$81,7,0))</f>
        <v>0.2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72.393882557915504</v>
      </c>
      <c r="T29" s="62">
        <f t="shared" si="34"/>
        <v>321.03333748974029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79.578524828812661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79.578524828812661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6.8</v>
      </c>
      <c r="AI29" s="14">
        <f>IF('Données projet'!$A$62&gt;35,AI28+AH29-AQ28,IF(A29&lt;'Données projet'!$A$62,$AF$205^A29,IF(A29='Données projet'!$A$62,'Données projet'!$B$62,AI28+AH29-AQ28)))</f>
        <v>236.80000000000004</v>
      </c>
      <c r="AJ29" s="14">
        <f>AI29*VLOOKUP('Données projet'!$B$10,Paramètres!$A$1:$I$89,3,0)*VLOOKUP('Données projet'!$B$10,Paramètres!$A$1:$I$89,5,0)</f>
        <v>214.25664000000003</v>
      </c>
      <c r="AK29" s="14">
        <f t="shared" si="35"/>
        <v>52.864679489007237</v>
      </c>
      <c r="AL29" s="22">
        <f t="shared" si="4"/>
        <v>465.23629811002093</v>
      </c>
      <c r="AM29" s="62">
        <f t="shared" si="5"/>
        <v>753.68074255446538</v>
      </c>
      <c r="AN29" s="62">
        <f ca="1">AVERAGE(OFFSET($AM$3,0,0,'Données projet'!$E$10+1,1))-AVERAGE(OFFSET($H$3,0,0,'Données projet'!$E$10+1,1))</f>
        <v>395.97781616920071</v>
      </c>
      <c r="AO29" s="62">
        <f t="shared" si="36"/>
        <v>554.05128015315631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72.393882557915504</v>
      </c>
      <c r="T30" s="62">
        <f t="shared" si="34"/>
        <v>321.03333748974029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78.018038495027056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78.018038495027056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6.8</v>
      </c>
      <c r="AI30" s="14">
        <f>IF('Données projet'!$A$62&gt;35,AI29+AH30-AQ29,IF(A30&lt;'Données projet'!$A$62,$AF$205^A30,IF(A30='Données projet'!$A$62,'Données projet'!$B$62,AI29+AH30-AQ29)))</f>
        <v>243.60000000000005</v>
      </c>
      <c r="AJ30" s="14">
        <f>AI30*VLOOKUP('Données projet'!$B$10,Paramètres!$A$1:$I$89,3,0)*VLOOKUP('Données projet'!$B$10,Paramètres!$A$1:$I$89,5,0)</f>
        <v>220.40928000000002</v>
      </c>
      <c r="AK30" s="14">
        <f t="shared" si="35"/>
        <v>54.203831081646577</v>
      </c>
      <c r="AL30" s="22">
        <f t="shared" si="4"/>
        <v>478.28450180053454</v>
      </c>
      <c r="AM30" s="62">
        <f t="shared" si="5"/>
        <v>767.95116846720123</v>
      </c>
      <c r="AN30" s="62">
        <f ca="1">AVERAGE(OFFSET($AM$3,0,0,'Données projet'!$E$10+1,1))-AVERAGE(OFFSET($H$3,0,0,'Données projet'!$E$10+1,1))</f>
        <v>395.97781616920071</v>
      </c>
      <c r="AO30" s="62">
        <f t="shared" si="36"/>
        <v>554.05128015315631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72.393882557915504</v>
      </c>
      <c r="T31" s="62">
        <f t="shared" si="34"/>
        <v>321.03333748974029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76.488152346444295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76.488152346444295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6.8</v>
      </c>
      <c r="AI31" s="14">
        <f>IF('Données projet'!$A$62&gt;35,AI30+AH31-AQ30,IF(A31&lt;'Données projet'!$A$62,$AF$205^A31,IF(A31='Données projet'!$A$62,'Données projet'!$B$62,AI30+AH31-AQ30)))</f>
        <v>250.40000000000006</v>
      </c>
      <c r="AJ31" s="14">
        <f>AI31*VLOOKUP('Données projet'!$B$10,Paramètres!$A$1:$I$89,3,0)*VLOOKUP('Données projet'!$B$10,Paramètres!$A$1:$I$89,5,0)</f>
        <v>226.56192000000004</v>
      </c>
      <c r="AK31" s="14">
        <f t="shared" si="35"/>
        <v>55.538637886414378</v>
      </c>
      <c r="AL31" s="22">
        <f t="shared" si="4"/>
        <v>491.32513831883836</v>
      </c>
      <c r="AM31" s="62">
        <f t="shared" si="5"/>
        <v>782.21402720772721</v>
      </c>
      <c r="AN31" s="62">
        <f ca="1">AVERAGE(OFFSET($AM$3,0,0,'Données projet'!$E$10+1,1))-AVERAGE(OFFSET($H$3,0,0,'Données projet'!$E$10+1,1))</f>
        <v>395.97781616920071</v>
      </c>
      <c r="AO31" s="62">
        <f t="shared" si="36"/>
        <v>554.05128015315631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72.393882557915504</v>
      </c>
      <c r="T32" s="62">
        <f t="shared" si="34"/>
        <v>321.03333748974029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74.988266332096842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74.988266332096842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6.8</v>
      </c>
      <c r="AI32" s="14">
        <f>IF('Données projet'!$A$62&gt;35,AI31+AH32-AQ31,IF(A32&lt;'Données projet'!$A$62,$AF$205^A32,IF(A32='Données projet'!$A$62,'Données projet'!$B$62,AI31+AH32-AQ31)))</f>
        <v>257.20000000000005</v>
      </c>
      <c r="AJ32" s="14">
        <f>AI32*VLOOKUP('Données projet'!$B$10,Paramètres!$A$1:$I$89,3,0)*VLOOKUP('Données projet'!$B$10,Paramètres!$A$1:$I$89,5,0)</f>
        <v>232.71456000000003</v>
      </c>
      <c r="AK32" s="14">
        <f t="shared" si="35"/>
        <v>56.869231451501861</v>
      </c>
      <c r="AL32" s="22">
        <f t="shared" si="4"/>
        <v>504.35843677803251</v>
      </c>
      <c r="AM32" s="62">
        <f t="shared" si="5"/>
        <v>796.46954788914366</v>
      </c>
      <c r="AN32" s="62">
        <f ca="1">AVERAGE(OFFSET($AM$3,0,0,'Données projet'!$E$10+1,1))-AVERAGE(OFFSET($H$3,0,0,'Données projet'!$E$10+1,1))</f>
        <v>395.97781616920071</v>
      </c>
      <c r="AO32" s="62">
        <f t="shared" si="36"/>
        <v>554.05128015315631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72.393882557915504</v>
      </c>
      <c r="T33" s="62">
        <f t="shared" si="34"/>
        <v>321.03333748974029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73.517792167650597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73.517792167650597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264</v>
      </c>
      <c r="AG33" s="13">
        <f>VLOOKUP(A33,'Données projet'!$A$61:$I$81,9,0)</f>
        <v>6.8</v>
      </c>
      <c r="AH33" s="13">
        <f t="array" ref="AH33">INDEX(AG:AG,MIN(IF(ISNUMBER(AG33:AG229),ROW(AG33:AG229),"")))</f>
        <v>6.8</v>
      </c>
      <c r="AI33" s="14">
        <f>IF('Données projet'!$A$62&gt;35,AI32+AH33-AQ32,IF(A33&lt;'Données projet'!$A$62,$AF$205^A33,IF(A33='Données projet'!$A$62,'Données projet'!$B$62,AI32+AH33-AQ32)))</f>
        <v>264.00000000000006</v>
      </c>
      <c r="AJ33" s="14">
        <f>AI33*VLOOKUP('Données projet'!$B$10,Paramètres!$A$1:$I$89,3,0)*VLOOKUP('Données projet'!$B$10,Paramètres!$A$1:$I$89,5,0)</f>
        <v>238.86720000000005</v>
      </c>
      <c r="AK33" s="14">
        <f t="shared" si="35"/>
        <v>58.195735973104156</v>
      </c>
      <c r="AL33" s="22">
        <f t="shared" si="4"/>
        <v>517.3846134864898</v>
      </c>
      <c r="AM33" s="62">
        <f t="shared" si="5"/>
        <v>810.71794681982306</v>
      </c>
      <c r="AN33" s="62">
        <f ca="1">AVERAGE(OFFSET($AM$3,0,0,'Données projet'!$E$10+1,1))-AVERAGE(OFFSET($H$3,0,0,'Données projet'!$E$10+1,1))</f>
        <v>395.97781616920071</v>
      </c>
      <c r="AO33" s="62">
        <f t="shared" si="36"/>
        <v>554.05128015315631</v>
      </c>
      <c r="AP33" s="16">
        <f>IF(ISNA(VLOOKUP(A33,'Données projet'!$A$61:$I$81,3,0)),0,VLOOKUP(A33,'Données projet'!$A$61:$I$81,3,0))</f>
        <v>6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0.18</v>
      </c>
      <c r="AS33" s="17">
        <f>IF(ISNA(VLOOKUP(A33,'Données projet'!$A$61:$I$81,6,0)),0%,VLOOKUP(A33,'Données projet'!$A$61:$I$81,6,0)*VLOOKUP('Données projet'!$B$10,Paramètres!$A$1:$I$89,7,0))</f>
        <v>0.06</v>
      </c>
      <c r="AT33" s="17">
        <f>IF(ISNA(VLOOKUP(A33,'Données projet'!$A$61:$I$81,7,0)),0%,VLOOKUP(A33,'Données projet'!$A$61:$I$81,7,0))</f>
        <v>0.1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72.393882557915504</v>
      </c>
      <c r="T34" s="62">
        <f t="shared" si="34"/>
        <v>321.03333748974029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72.076153104668464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72.076153104668464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5.6</v>
      </c>
      <c r="AI34" s="14">
        <f>IF('Données projet'!$A$62&gt;35,AI33+AH34-AQ33,IF(A34&lt;'Données projet'!$A$62,$AF$205^A34,IF(A34='Données projet'!$A$62,'Données projet'!$B$62,AI33+AH34-AQ33)))</f>
        <v>269.60000000000008</v>
      </c>
      <c r="AJ34" s="14">
        <f>AI34*VLOOKUP('Données projet'!$B$10,Paramètres!$A$1:$I$89,3,0)*VLOOKUP('Données projet'!$B$10,Paramètres!$A$1:$I$89,5,0)</f>
        <v>243.93408000000005</v>
      </c>
      <c r="AK34" s="14">
        <f t="shared" si="35"/>
        <v>59.28516432961765</v>
      </c>
      <c r="AL34" s="22">
        <f t="shared" si="4"/>
        <v>528.10685054075077</v>
      </c>
      <c r="AM34" s="62">
        <f t="shared" si="5"/>
        <v>821.44018387408414</v>
      </c>
      <c r="AN34" s="62">
        <f ca="1">AVERAGE(OFFSET($AM$3,0,0,'Données projet'!$E$10+1,1))-AVERAGE(OFFSET($H$3,0,0,'Données projet'!$E$10+1,1))</f>
        <v>395.97781616920071</v>
      </c>
      <c r="AO34" s="62">
        <f t="shared" si="36"/>
        <v>554.05128015315631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72.393882557915504</v>
      </c>
      <c r="T35" s="62">
        <f t="shared" si="34"/>
        <v>321.03333748974029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70.662783704398407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70.662783704398407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5.6</v>
      </c>
      <c r="AI35" s="14">
        <f>IF('Données projet'!$A$62&gt;35,AI34+AH35-AQ34,IF(A35&lt;'Données projet'!$A$62,$AF$205^A35,IF(A35='Données projet'!$A$62,'Données projet'!$B$62,AI34+AH35-AQ34)))</f>
        <v>275.2000000000001</v>
      </c>
      <c r="AJ35" s="14">
        <f>AI35*VLOOKUP('Données projet'!$B$10,Paramètres!$A$1:$I$89,3,0)*VLOOKUP('Données projet'!$B$10,Paramètres!$A$1:$I$89,5,0)</f>
        <v>249.00096000000008</v>
      </c>
      <c r="AK35" s="14">
        <f t="shared" si="35"/>
        <v>60.371961643451037</v>
      </c>
      <c r="AL35" s="22">
        <f t="shared" si="4"/>
        <v>538.82450519567738</v>
      </c>
      <c r="AM35" s="62">
        <f t="shared" si="5"/>
        <v>832.15783852901063</v>
      </c>
      <c r="AN35" s="62">
        <f ca="1">AVERAGE(OFFSET($AM$3,0,0,'Données projet'!$E$10+1,1))-AVERAGE(OFFSET($H$3,0,0,'Données projet'!$E$10+1,1))</f>
        <v>395.97781616920071</v>
      </c>
      <c r="AO35" s="62">
        <f t="shared" si="36"/>
        <v>554.05128015315631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72.393882557915504</v>
      </c>
      <c r="T36" s="62">
        <f t="shared" si="34"/>
        <v>321.03333748974029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69.277129615997438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69.277129615997438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5.6</v>
      </c>
      <c r="AI36" s="14">
        <f>IF('Données projet'!$A$62&gt;35,AI35+AH36-AQ35,IF(A36&lt;'Données projet'!$A$62,$AF$205^A36,IF(A36='Données projet'!$A$62,'Données projet'!$B$62,AI35+AH36-AQ35)))</f>
        <v>280.80000000000013</v>
      </c>
      <c r="AJ36" s="14">
        <f>AI36*VLOOKUP('Données projet'!$B$10,Paramètres!$A$1:$I$89,3,0)*VLOOKUP('Données projet'!$B$10,Paramètres!$A$1:$I$89,5,0)</f>
        <v>254.0678400000001</v>
      </c>
      <c r="AK36" s="14">
        <f t="shared" si="35"/>
        <v>61.456187622750775</v>
      </c>
      <c r="AL36" s="22">
        <f t="shared" si="4"/>
        <v>549.53768144295771</v>
      </c>
      <c r="AM36" s="62">
        <f t="shared" si="5"/>
        <v>842.87101477629108</v>
      </c>
      <c r="AN36" s="62">
        <f ca="1">AVERAGE(OFFSET($AM$3,0,0,'Données projet'!$E$10+1,1))-AVERAGE(OFFSET($H$3,0,0,'Données projet'!$E$10+1,1))</f>
        <v>395.97781616920071</v>
      </c>
      <c r="AO36" s="62">
        <f t="shared" si="36"/>
        <v>554.05128015315631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72.393882557915504</v>
      </c>
      <c r="T37" s="62">
        <f t="shared" si="34"/>
        <v>321.03333748974029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67.918647359104469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67.918647359104469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5.6</v>
      </c>
      <c r="AI37" s="14">
        <f>IF('Données projet'!$A$62&gt;35,AI36+AH37-AQ36,IF(A37&lt;'Données projet'!$A$62,$AF$205^A37,IF(A37='Données projet'!$A$62,'Données projet'!$B$62,AI36+AH37-AQ36)))</f>
        <v>286.40000000000015</v>
      </c>
      <c r="AJ37" s="14">
        <f>AI37*VLOOKUP('Données projet'!$B$10,Paramètres!$A$1:$I$89,3,0)*VLOOKUP('Données projet'!$B$10,Paramètres!$A$1:$I$89,5,0)</f>
        <v>259.13472000000013</v>
      </c>
      <c r="AK37" s="14">
        <f t="shared" si="35"/>
        <v>62.537899457959313</v>
      </c>
      <c r="AL37" s="22">
        <f t="shared" si="4"/>
        <v>560.24647888927939</v>
      </c>
      <c r="AM37" s="62">
        <f t="shared" si="5"/>
        <v>853.57981222261265</v>
      </c>
      <c r="AN37" s="62">
        <f ca="1">AVERAGE(OFFSET($AM$3,0,0,'Données projet'!$E$10+1,1))-AVERAGE(OFFSET($H$3,0,0,'Données projet'!$E$10+1,1))</f>
        <v>395.97781616920071</v>
      </c>
      <c r="AO37" s="62">
        <f t="shared" si="36"/>
        <v>554.05128015315631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72.393882557915504</v>
      </c>
      <c r="T38" s="62">
        <f t="shared" si="34"/>
        <v>321.03333748974029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66.586804110676809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66.586804110676809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292</v>
      </c>
      <c r="AG38" s="13">
        <f>VLOOKUP(A38,'Données projet'!$A$61:$I$81,9,0)</f>
        <v>5.6</v>
      </c>
      <c r="AH38" s="13">
        <f t="array" ref="AH38">INDEX(AG:AG,MIN(IF(ISNUMBER(AG38:AG234),ROW(AG38:AG234),"")))</f>
        <v>5.6</v>
      </c>
      <c r="AI38" s="14">
        <f>IF('Données projet'!$A$62&gt;35,AI37+AH38-AQ37,IF(A38&lt;'Données projet'!$A$62,$AF$205^A38,IF(A38='Données projet'!$A$62,'Données projet'!$B$62,AI37+AH38-AQ37)))</f>
        <v>292.00000000000017</v>
      </c>
      <c r="AJ38" s="14">
        <f>AI38*VLOOKUP('Données projet'!$B$10,Paramètres!$A$1:$I$89,3,0)*VLOOKUP('Données projet'!$B$10,Paramètres!$A$1:$I$89,5,0)</f>
        <v>264.20160000000016</v>
      </c>
      <c r="AK38" s="14">
        <f t="shared" si="35"/>
        <v>63.617151975096824</v>
      </c>
      <c r="AL38" s="22">
        <f t="shared" si="4"/>
        <v>570.95099302329379</v>
      </c>
      <c r="AM38" s="62">
        <f t="shared" si="5"/>
        <v>864.28432635662716</v>
      </c>
      <c r="AN38" s="62">
        <f ca="1">AVERAGE(OFFSET($AM$3,0,0,'Données projet'!$E$10+1,1))-AVERAGE(OFFSET($H$3,0,0,'Données projet'!$E$10+1,1))</f>
        <v>395.97781616920071</v>
      </c>
      <c r="AO38" s="62">
        <f t="shared" si="36"/>
        <v>554.05128015315631</v>
      </c>
      <c r="AP38" s="16">
        <f>IF(ISNA(VLOOKUP(A38,'Données projet'!$A$61:$I$81,3,0)),0,VLOOKUP(A38,'Données projet'!$A$61:$I$81,3,0))</f>
        <v>7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0.15</v>
      </c>
      <c r="AS38" s="17">
        <f>IF(ISNA(VLOOKUP(A38,'Données projet'!$A$61:$I$81,6,0)),0%,VLOOKUP(A38,'Données projet'!$A$61:$I$81,6,0)*VLOOKUP('Données projet'!$B$10,Paramètres!$A$1:$I$89,7,0))</f>
        <v>0.09</v>
      </c>
      <c r="AT38" s="17">
        <f>IF(ISNA(VLOOKUP(A38,'Données projet'!$A$61:$I$81,7,0)),0%,VLOOKUP(A38,'Données projet'!$A$61:$I$81,7,0))</f>
        <v>0.1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72.393882557915504</v>
      </c>
      <c r="T39" s="62">
        <f t="shared" si="34"/>
        <v>321.03333748974029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65.281077496006645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65.281077496006645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5</v>
      </c>
      <c r="AI39" s="14">
        <f>IF('Données projet'!$A$62&gt;35,AI38+AH39-AQ38,IF(A39&lt;'Données projet'!$A$62,$AF$205^A39,IF(A39='Données projet'!$A$62,'Données projet'!$B$62,AI38+AH39-AQ38)))</f>
        <v>297.00000000000017</v>
      </c>
      <c r="AJ39" s="14">
        <f>AI39*VLOOKUP('Données projet'!$B$10,Paramètres!$A$1:$I$89,3,0)*VLOOKUP('Données projet'!$B$10,Paramètres!$A$1:$I$89,5,0)</f>
        <v>268.72560000000016</v>
      </c>
      <c r="AK39" s="14">
        <f t="shared" si="35"/>
        <v>64.578735016913924</v>
      </c>
      <c r="AL39" s="22">
        <f t="shared" si="4"/>
        <v>580.50505015445867</v>
      </c>
      <c r="AM39" s="62">
        <f t="shared" si="5"/>
        <v>873.83838348779204</v>
      </c>
      <c r="AN39" s="62">
        <f ca="1">AVERAGE(OFFSET($AM$3,0,0,'Données projet'!$E$10+1,1))-AVERAGE(OFFSET($H$3,0,0,'Données projet'!$E$10+1,1))</f>
        <v>395.97781616920071</v>
      </c>
      <c r="AO39" s="62">
        <f t="shared" si="36"/>
        <v>554.05128015315631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72.393882557915504</v>
      </c>
      <c r="T40" s="62">
        <f t="shared" si="34"/>
        <v>321.03333748974029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64.000955383835574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64.000955383835574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5</v>
      </c>
      <c r="AI40" s="14">
        <f>IF('Données projet'!$A$62&gt;35,AI39+AH40-AQ39,IF(A40&lt;'Données projet'!$A$62,$AF$205^A40,IF(A40='Données projet'!$A$62,'Données projet'!$B$62,AI39+AH40-AQ39)))</f>
        <v>302.00000000000017</v>
      </c>
      <c r="AJ40" s="14">
        <f>AI40*VLOOKUP('Données projet'!$B$10,Paramètres!$A$1:$I$89,3,0)*VLOOKUP('Données projet'!$B$10,Paramètres!$A$1:$I$89,5,0)</f>
        <v>273.24960000000016</v>
      </c>
      <c r="AK40" s="14">
        <f t="shared" si="35"/>
        <v>65.538435495514378</v>
      </c>
      <c r="AL40" s="22">
        <f t="shared" si="4"/>
        <v>590.05582848802112</v>
      </c>
      <c r="AM40" s="62">
        <f t="shared" si="5"/>
        <v>883.38916182135449</v>
      </c>
      <c r="AN40" s="62">
        <f ca="1">AVERAGE(OFFSET($AM$3,0,0,'Données projet'!$E$10+1,1))-AVERAGE(OFFSET($H$3,0,0,'Données projet'!$E$10+1,1))</f>
        <v>395.97781616920071</v>
      </c>
      <c r="AO40" s="62">
        <f t="shared" si="36"/>
        <v>554.05128015315631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72.393882557915504</v>
      </c>
      <c r="T41" s="62">
        <f t="shared" si="34"/>
        <v>321.03333748974029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62.745935685486785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62.745935685486785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5</v>
      </c>
      <c r="AI41" s="14">
        <f>IF('Données projet'!$A$62&gt;35,AI40+AH41-AQ40,IF(A41&lt;'Données projet'!$A$62,$AF$205^A41,IF(A41='Données projet'!$A$62,'Données projet'!$B$62,AI40+AH41-AQ40)))</f>
        <v>307.00000000000017</v>
      </c>
      <c r="AJ41" s="14">
        <f>AI41*VLOOKUP('Données projet'!$B$10,Paramètres!$A$1:$I$89,3,0)*VLOOKUP('Données projet'!$B$10,Paramètres!$A$1:$I$89,5,0)</f>
        <v>277.77360000000016</v>
      </c>
      <c r="AK41" s="14">
        <f t="shared" si="35"/>
        <v>66.496288176842413</v>
      </c>
      <c r="AL41" s="22">
        <f t="shared" si="4"/>
        <v>599.60338857466741</v>
      </c>
      <c r="AM41" s="62">
        <f t="shared" si="5"/>
        <v>892.93672190800066</v>
      </c>
      <c r="AN41" s="62">
        <f ca="1">AVERAGE(OFFSET($AM$3,0,0,'Données projet'!$E$10+1,1))-AVERAGE(OFFSET($H$3,0,0,'Données projet'!$E$10+1,1))</f>
        <v>395.97781616920071</v>
      </c>
      <c r="AO41" s="62">
        <f t="shared" si="36"/>
        <v>554.05128015315631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72.393882557915504</v>
      </c>
      <c r="T42" s="62">
        <f t="shared" si="34"/>
        <v>321.03333748974029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61.515526157936186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61.515526157936186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5</v>
      </c>
      <c r="AI42" s="14">
        <f>IF('Données projet'!$A$62&gt;35,AI41+AH42-AQ41,IF(A42&lt;'Données projet'!$A$62,$AF$205^A42,IF(A42='Données projet'!$A$62,'Données projet'!$B$62,AI41+AH42-AQ41)))</f>
        <v>312.00000000000017</v>
      </c>
      <c r="AJ42" s="14">
        <f>AI42*VLOOKUP('Données projet'!$B$10,Paramètres!$A$1:$I$89,3,0)*VLOOKUP('Données projet'!$B$10,Paramètres!$A$1:$I$89,5,0)</f>
        <v>282.29760000000016</v>
      </c>
      <c r="AK42" s="14">
        <f t="shared" si="35"/>
        <v>67.452326629470235</v>
      </c>
      <c r="AL42" s="22">
        <f t="shared" si="4"/>
        <v>609.14778887966088</v>
      </c>
      <c r="AM42" s="62">
        <f t="shared" si="5"/>
        <v>902.48112221299425</v>
      </c>
      <c r="AN42" s="62">
        <f ca="1">AVERAGE(OFFSET($AM$3,0,0,'Données projet'!$E$10+1,1))-AVERAGE(OFFSET($H$3,0,0,'Données projet'!$E$10+1,1))</f>
        <v>395.97781616920071</v>
      </c>
      <c r="AO42" s="62">
        <f t="shared" si="36"/>
        <v>554.05128015315631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72.393882557915504</v>
      </c>
      <c r="T43" s="62">
        <f t="shared" si="34"/>
        <v>321.03333748974029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60.309244210745149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60.309244210745149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317</v>
      </c>
      <c r="AG43" s="13">
        <f>VLOOKUP(A43,'Données projet'!$A$61:$I$81,9,0)</f>
        <v>5</v>
      </c>
      <c r="AH43" s="13">
        <f t="array" ref="AH43">INDEX(AG:AG,MIN(IF(ISNUMBER(AG43:AG239),ROW(AG43:AG239),"")))</f>
        <v>5</v>
      </c>
      <c r="AI43" s="14">
        <f>IF('Données projet'!$A$62&gt;35,AI42+AH43-AQ42,IF(A43&lt;'Données projet'!$A$62,$AF$205^A43,IF(A43='Données projet'!$A$62,'Données projet'!$B$62,AI42+AH43-AQ42)))</f>
        <v>317.00000000000017</v>
      </c>
      <c r="AJ43" s="14">
        <f>AI43*VLOOKUP('Données projet'!$B$10,Paramètres!$A$1:$I$89,3,0)*VLOOKUP('Données projet'!$B$10,Paramètres!$A$1:$I$89,5,0)</f>
        <v>286.82160000000016</v>
      </c>
      <c r="AK43" s="14">
        <f t="shared" si="35"/>
        <v>68.406583284351484</v>
      </c>
      <c r="AL43" s="22">
        <f t="shared" si="4"/>
        <v>618.68908588691249</v>
      </c>
      <c r="AM43" s="62">
        <f t="shared" si="5"/>
        <v>912.02241922024587</v>
      </c>
      <c r="AN43" s="62">
        <f ca="1">AVERAGE(OFFSET($AM$3,0,0,'Données projet'!$E$10+1,1))-AVERAGE(OFFSET($H$3,0,0,'Données projet'!$E$10+1,1))</f>
        <v>395.97781616920071</v>
      </c>
      <c r="AO43" s="62">
        <f t="shared" si="36"/>
        <v>554.05128015315631</v>
      </c>
      <c r="AP43" s="16">
        <f>IF(ISNA(VLOOKUP(A43,'Données projet'!$A$61:$I$81,3,0)),0,VLOOKUP(A43,'Données projet'!$A$61:$I$81,3,0))</f>
        <v>8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0.12</v>
      </c>
      <c r="AS43" s="17">
        <f>IF(ISNA(VLOOKUP(A43,'Données projet'!$A$61:$I$81,6,0)),0%,VLOOKUP(A43,'Données projet'!$A$61:$I$81,6,0)*VLOOKUP('Données projet'!$B$10,Paramètres!$A$1:$I$89,7,0))</f>
        <v>0.12</v>
      </c>
      <c r="AT43" s="17">
        <f>IF(ISNA(VLOOKUP(A43,'Données projet'!$A$61:$I$81,7,0)),0%,VLOOKUP(A43,'Données projet'!$A$61:$I$81,7,0))</f>
        <v>0.1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72.393882557915504</v>
      </c>
      <c r="T44" s="62">
        <f t="shared" si="34"/>
        <v>321.03333748974029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59.126616716779189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59.126616716779189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5</v>
      </c>
      <c r="AI44" s="14">
        <f>IF('Données projet'!$A$62&gt;35,AI43+AH44-AQ43,IF(A44&lt;'Données projet'!$A$62,$AF$205^A44,IF(A44='Données projet'!$A$62,'Données projet'!$B$62,AI43+AH44-AQ43)))</f>
        <v>322.00000000000017</v>
      </c>
      <c r="AJ44" s="14">
        <f>AI44*VLOOKUP('Données projet'!$B$10,Paramètres!$A$1:$I$89,3,0)*VLOOKUP('Données projet'!$B$10,Paramètres!$A$1:$I$89,5,0)</f>
        <v>291.3456000000001</v>
      </c>
      <c r="AK44" s="14">
        <f t="shared" si="35"/>
        <v>69.359089490698707</v>
      </c>
      <c r="AL44" s="22">
        <f t="shared" si="4"/>
        <v>628.22733419630038</v>
      </c>
      <c r="AM44" s="62">
        <f t="shared" si="5"/>
        <v>921.56066752963375</v>
      </c>
      <c r="AN44" s="62">
        <f ca="1">AVERAGE(OFFSET($AM$3,0,0,'Données projet'!$E$10+1,1))-AVERAGE(OFFSET($H$3,0,0,'Données projet'!$E$10+1,1))</f>
        <v>395.97781616920071</v>
      </c>
      <c r="AO44" s="62">
        <f t="shared" si="36"/>
        <v>554.05128015315631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72.393882557915504</v>
      </c>
      <c r="T45" s="62">
        <f t="shared" si="34"/>
        <v>321.03333748974029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57.967179826638358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57.967179826638358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5</v>
      </c>
      <c r="AI45" s="14">
        <f>IF('Données projet'!$A$62&gt;35,AI44+AH45-AQ44,IF(A45&lt;'Données projet'!$A$62,$AF$205^A45,IF(A45='Données projet'!$A$62,'Données projet'!$B$62,AI44+AH45-AQ44)))</f>
        <v>327.00000000000017</v>
      </c>
      <c r="AJ45" s="14">
        <f>AI45*VLOOKUP('Données projet'!$B$10,Paramètres!$A$1:$I$89,3,0)*VLOOKUP('Données projet'!$B$10,Paramètres!$A$1:$I$89,5,0)</f>
        <v>295.86960000000016</v>
      </c>
      <c r="AK45" s="14">
        <f t="shared" si="35"/>
        <v>70.309875568291275</v>
      </c>
      <c r="AL45" s="22">
        <f t="shared" si="4"/>
        <v>637.76258661477414</v>
      </c>
      <c r="AM45" s="62">
        <f t="shared" si="5"/>
        <v>931.09591994810739</v>
      </c>
      <c r="AN45" s="62">
        <f ca="1">AVERAGE(OFFSET($AM$3,0,0,'Données projet'!$E$10+1,1))-AVERAGE(OFFSET($H$3,0,0,'Données projet'!$E$10+1,1))</f>
        <v>395.97781616920071</v>
      </c>
      <c r="AO45" s="62">
        <f t="shared" si="36"/>
        <v>554.05128015315631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72.393882557915504</v>
      </c>
      <c r="T46" s="62">
        <f t="shared" si="34"/>
        <v>321.03333748974029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56.830478786726509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56.830478786726509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5</v>
      </c>
      <c r="AI46" s="14">
        <f>IF('Données projet'!$A$62&gt;35,AI45+AH46-AQ45,IF(A46&lt;'Données projet'!$A$62,$AF$205^A46,IF(A46='Données projet'!$A$62,'Données projet'!$B$62,AI45+AH46-AQ45)))</f>
        <v>332.00000000000017</v>
      </c>
      <c r="AJ46" s="14">
        <f>AI46*VLOOKUP('Données projet'!$B$10,Paramètres!$A$1:$I$89,3,0)*VLOOKUP('Données projet'!$B$10,Paramètres!$A$1:$I$89,5,0)</f>
        <v>300.39360000000016</v>
      </c>
      <c r="AK46" s="14">
        <f t="shared" si="35"/>
        <v>71.258970856492738</v>
      </c>
      <c r="AL46" s="22">
        <f t="shared" si="4"/>
        <v>647.29489424172516</v>
      </c>
      <c r="AM46" s="62">
        <f t="shared" si="5"/>
        <v>940.62822757505842</v>
      </c>
      <c r="AN46" s="62">
        <f ca="1">AVERAGE(OFFSET($AM$3,0,0,'Données projet'!$E$10+1,1))-AVERAGE(OFFSET($H$3,0,0,'Données projet'!$E$10+1,1))</f>
        <v>395.97781616920071</v>
      </c>
      <c r="AO46" s="62">
        <f t="shared" si="36"/>
        <v>554.05128015315631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72.393882557915504</v>
      </c>
      <c r="T47" s="62">
        <f t="shared" si="34"/>
        <v>321.03333748974029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55.716067760888158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55.716067760888158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5</v>
      </c>
      <c r="AI47" s="14">
        <f>IF('Données projet'!$A$62&gt;35,AI46+AH47-AQ46,IF(A47&lt;'Données projet'!$A$62,$AF$205^A47,IF(A47='Données projet'!$A$62,'Données projet'!$B$62,AI46+AH47-AQ46)))</f>
        <v>337.00000000000017</v>
      </c>
      <c r="AJ47" s="14">
        <f>AI47*VLOOKUP('Données projet'!$B$10,Paramètres!$A$1:$I$89,3,0)*VLOOKUP('Données projet'!$B$10,Paramètres!$A$1:$I$89,5,0)</f>
        <v>304.91760000000016</v>
      </c>
      <c r="AK47" s="14">
        <f t="shared" si="35"/>
        <v>72.206403760232661</v>
      </c>
      <c r="AL47" s="22">
        <f t="shared" si="4"/>
        <v>656.82430654907216</v>
      </c>
      <c r="AM47" s="62">
        <f t="shared" si="5"/>
        <v>950.15763988240542</v>
      </c>
      <c r="AN47" s="62">
        <f ca="1">AVERAGE(OFFSET($AM$3,0,0,'Données projet'!$E$10+1,1))-AVERAGE(OFFSET($H$3,0,0,'Données projet'!$E$10+1,1))</f>
        <v>395.97781616920071</v>
      </c>
      <c r="AO47" s="62">
        <f t="shared" si="36"/>
        <v>554.05128015315631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72.393882557915504</v>
      </c>
      <c r="T48" s="62">
        <f t="shared" si="34"/>
        <v>321.03333748974029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54.62350965554289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54.62350965554289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342</v>
      </c>
      <c r="AG48" s="13">
        <f>VLOOKUP(A48,'Données projet'!$A$61:$I$81,9,0)</f>
        <v>5</v>
      </c>
      <c r="AH48" s="13">
        <f t="array" ref="AH48">INDEX(AG:AG,MIN(IF(ISNUMBER(AG48:AG244),ROW(AG48:AG244),"")))</f>
        <v>5</v>
      </c>
      <c r="AI48" s="14">
        <f>IF('Données projet'!$A$62&gt;35,AI47+AH48-AQ47,IF(A48&lt;'Données projet'!$A$62,$AF$205^A48,IF(A48='Données projet'!$A$62,'Données projet'!$B$62,AI47+AH48-AQ47)))</f>
        <v>342.00000000000017</v>
      </c>
      <c r="AJ48" s="14">
        <f>AI48*VLOOKUP('Données projet'!$B$10,Paramètres!$A$1:$I$89,3,0)*VLOOKUP('Données projet'!$B$10,Paramètres!$A$1:$I$89,5,0)</f>
        <v>309.44160000000016</v>
      </c>
      <c r="AK48" s="14">
        <f t="shared" si="35"/>
        <v>73.152201793181092</v>
      </c>
      <c r="AL48" s="22">
        <f t="shared" si="4"/>
        <v>666.3508714564573</v>
      </c>
      <c r="AM48" s="62">
        <f t="shared" si="5"/>
        <v>959.68420478979056</v>
      </c>
      <c r="AN48" s="62">
        <f ca="1">AVERAGE(OFFSET($AM$3,0,0,'Données projet'!$E$10+1,1))-AVERAGE(OFFSET($H$3,0,0,'Données projet'!$E$10+1,1))</f>
        <v>395.97781616920071</v>
      </c>
      <c r="AO48" s="62">
        <f t="shared" si="36"/>
        <v>554.05128015315631</v>
      </c>
      <c r="AP48" s="16">
        <f>IF(ISNA(VLOOKUP(A48,'Données projet'!$A$61:$I$81,3,0)),0,VLOOKUP(A48,'Données projet'!$A$61:$I$81,3,0))</f>
        <v>9</v>
      </c>
      <c r="AQ48" s="16">
        <f>IF(ISNA(VLOOKUP(A48,'Données projet'!$A$61:$I$81,4,0)),0,VLOOKUP(A48,'Données projet'!$A$61:$I$81,4,0))</f>
        <v>342</v>
      </c>
      <c r="AR48" s="17">
        <f>IF(ISNA(VLOOKUP(A48,'Données projet'!$A$61:$I$81,5,0)),0%,VLOOKUP(A48,'Données projet'!$A$61:$I$81,5,0)*VLOOKUP('Données projet'!$B$10,Paramètres!$A$1:$I$89,7,0))</f>
        <v>0.18</v>
      </c>
      <c r="AS48" s="17">
        <f>IF(ISNA(VLOOKUP(A48,'Données projet'!$A$61:$I$81,6,0)),0%,VLOOKUP(A48,'Données projet'!$A$61:$I$81,6,0)*VLOOKUP('Données projet'!$B$10,Paramètres!$A$1:$I$89,7,0))</f>
        <v>0.06</v>
      </c>
      <c r="AT48" s="17">
        <f>IF(ISNA(VLOOKUP(A48,'Données projet'!$A$61:$I$81,7,0)),0%,VLOOKUP(A48,'Données projet'!$A$61:$I$81,7,0))</f>
        <v>0.1</v>
      </c>
      <c r="AU48" s="23">
        <f>EXP(-LN(2)/35)*AU47+(1-EXP(-LN(2)/35))/(LN(2)/35)*AQ48*AR48*VLOOKUP('Données projet'!$B$10,Paramètres!$A$1:$I$89,3,0)*0.475*44/12</f>
        <v>61.574134139150999</v>
      </c>
      <c r="AV48" s="23">
        <f>EXP(-LN(2)/25)*AV47+(1-EXP(-LN(2)/25))/(LN(2)/25)*Calculateur!AQ48*Calculateur!AS48*VLOOKUP('Données projet'!$B$10,Paramètres!$A$1:$I$89,3,0)*0.475*44/12</f>
        <v>20.443897770486895</v>
      </c>
      <c r="AW48" s="23">
        <f>EXP(-LN(2)/2)*AW47+(1-EXP(-LN(2)/2))/(LN(2)/2)*AQ48*AT48*VLOOKUP('Données projet'!$B$10,Paramètres!$A$1:$I$89,3,0)*0.475*44/12</f>
        <v>29.196647809855467</v>
      </c>
      <c r="AX48" s="23">
        <f t="shared" si="6"/>
        <v>111.21467971949336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72.393882557915504</v>
      </c>
      <c r="T49" s="62">
        <f t="shared" si="34"/>
        <v>321.03333748974029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53.552375948248795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53.552375948248795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1.7053025658242404E-13</v>
      </c>
      <c r="AJ49" s="14">
        <f>AI49*VLOOKUP('Données projet'!$B$10,Paramètres!$A$1:$I$89,3,0)*VLOOKUP('Données projet'!$B$10,Paramètres!$A$1:$I$89,5,0)</f>
        <v>1.5429577615577727E-13</v>
      </c>
      <c r="AK49" s="14">
        <f t="shared" si="35"/>
        <v>2.2038482767263348E-12</v>
      </c>
      <c r="AL49" s="22">
        <f t="shared" si="4"/>
        <v>4.107100892103012E-12</v>
      </c>
      <c r="AM49" s="62">
        <f t="shared" si="5"/>
        <v>293.33333333333741</v>
      </c>
      <c r="AN49" s="62">
        <f ca="1">AVERAGE(OFFSET($AM$3,0,0,'Données projet'!$E$10+1,1))-AVERAGE(OFFSET($H$3,0,0,'Données projet'!$E$10+1,1))</f>
        <v>395.97781616920071</v>
      </c>
      <c r="AO49" s="62">
        <f t="shared" si="36"/>
        <v>554.05128015315631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60.366702925195675</v>
      </c>
      <c r="AV49" s="23">
        <f>EXP(-LN(2)/25)*AV48+(1-EXP(-LN(2)/25))/(LN(2)/25)*Calculateur!AQ49*Calculateur!AS49*VLOOKUP('Données projet'!$B$10,Paramètres!$A$1:$I$89,3,0)*0.475*44/12</f>
        <v>19.884858310855073</v>
      </c>
      <c r="AW49" s="23">
        <f>EXP(-LN(2)/2)*AW48+(1-EXP(-LN(2)/2))/(LN(2)/2)*AQ49*AT49*VLOOKUP('Données projet'!$B$10,Paramètres!$A$1:$I$89,3,0)*0.475*44/12</f>
        <v>20.645147654264164</v>
      </c>
      <c r="AX49" s="23">
        <f t="shared" si="6"/>
        <v>100.89670889031491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72.393882557915504</v>
      </c>
      <c r="T50" s="62">
        <f t="shared" si="34"/>
        <v>321.03333748974029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52.50224651962769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52.50224651962769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1.7053025658242404E-13</v>
      </c>
      <c r="AJ50" s="14">
        <f>AI50*VLOOKUP('Données projet'!$B$10,Paramètres!$A$1:$I$89,3,0)*VLOOKUP('Données projet'!$B$10,Paramètres!$A$1:$I$89,5,0)</f>
        <v>1.5429577615577727E-13</v>
      </c>
      <c r="AK50" s="14">
        <f t="shared" si="35"/>
        <v>2.2038482767263348E-12</v>
      </c>
      <c r="AL50" s="22">
        <f t="shared" si="4"/>
        <v>4.107100892103012E-12</v>
      </c>
      <c r="AM50" s="62">
        <f t="shared" si="5"/>
        <v>293.33333333333741</v>
      </c>
      <c r="AN50" s="62">
        <f ca="1">AVERAGE(OFFSET($AM$3,0,0,'Données projet'!$E$10+1,1))-AVERAGE(OFFSET($H$3,0,0,'Données projet'!$E$10+1,1))</f>
        <v>395.97781616920071</v>
      </c>
      <c r="AO50" s="62">
        <f t="shared" si="36"/>
        <v>554.05128015315631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59.182948700885696</v>
      </c>
      <c r="AV50" s="23">
        <f>EXP(-LN(2)/25)*AV49+(1-EXP(-LN(2)/25))/(LN(2)/25)*Calculateur!AQ50*Calculateur!AS50*VLOOKUP('Données projet'!$B$10,Paramètres!$A$1:$I$89,3,0)*0.475*44/12</f>
        <v>19.341105814645491</v>
      </c>
      <c r="AW50" s="23">
        <f>EXP(-LN(2)/2)*AW49+(1-EXP(-LN(2)/2))/(LN(2)/2)*AQ50*AT50*VLOOKUP('Données projet'!$B$10,Paramètres!$A$1:$I$89,3,0)*0.475*44/12</f>
        <v>14.598323904927737</v>
      </c>
      <c r="AX50" s="23">
        <f t="shared" si="6"/>
        <v>93.122378420458929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72.393882557915504</v>
      </c>
      <c r="T51" s="62">
        <f t="shared" si="34"/>
        <v>321.03333748974029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51.47270948858614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51.47270948858614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1.7053025658242404E-13</v>
      </c>
      <c r="AJ51" s="14">
        <f>AI51*VLOOKUP('Données projet'!$B$10,Paramètres!$A$1:$I$89,3,0)*VLOOKUP('Données projet'!$B$10,Paramètres!$A$1:$I$89,5,0)</f>
        <v>1.5429577615577727E-13</v>
      </c>
      <c r="AK51" s="14">
        <f t="shared" si="35"/>
        <v>2.2038482767263348E-12</v>
      </c>
      <c r="AL51" s="22">
        <f t="shared" si="4"/>
        <v>4.107100892103012E-12</v>
      </c>
      <c r="AM51" s="62">
        <f t="shared" si="5"/>
        <v>293.33333333333741</v>
      </c>
      <c r="AN51" s="62">
        <f ca="1">AVERAGE(OFFSET($AM$3,0,0,'Données projet'!$E$10+1,1))-AVERAGE(OFFSET($H$3,0,0,'Données projet'!$E$10+1,1))</f>
        <v>395.97781616920071</v>
      </c>
      <c r="AO51" s="62">
        <f t="shared" si="36"/>
        <v>554.05128015315631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58.022407174895648</v>
      </c>
      <c r="AV51" s="23">
        <f>EXP(-LN(2)/25)*AV50+(1-EXP(-LN(2)/25))/(LN(2)/25)*Calculateur!AQ51*Calculateur!AS51*VLOOKUP('Données projet'!$B$10,Paramètres!$A$1:$I$89,3,0)*0.475*44/12</f>
        <v>18.812222259039459</v>
      </c>
      <c r="AW51" s="23">
        <f>EXP(-LN(2)/2)*AW50+(1-EXP(-LN(2)/2))/(LN(2)/2)*AQ51*AT51*VLOOKUP('Données projet'!$B$10,Paramètres!$A$1:$I$89,3,0)*0.475*44/12</f>
        <v>10.322573827132084</v>
      </c>
      <c r="AX51" s="23">
        <f t="shared" si="6"/>
        <v>87.157203261067195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72.393882557915504</v>
      </c>
      <c r="T52" s="62">
        <f t="shared" si="34"/>
        <v>321.03333748974029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50.46336105076773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50.46336105076773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1.7053025658242404E-13</v>
      </c>
      <c r="AJ52" s="14">
        <f>AI52*VLOOKUP('Données projet'!$B$10,Paramètres!$A$1:$I$89,3,0)*VLOOKUP('Données projet'!$B$10,Paramètres!$A$1:$I$89,5,0)</f>
        <v>1.5429577615577727E-13</v>
      </c>
      <c r="AK52" s="14">
        <f t="shared" si="35"/>
        <v>2.2038482767263348E-12</v>
      </c>
      <c r="AL52" s="22">
        <f t="shared" si="4"/>
        <v>4.107100892103012E-12</v>
      </c>
      <c r="AM52" s="62">
        <f t="shared" si="5"/>
        <v>293.33333333333741</v>
      </c>
      <c r="AN52" s="62">
        <f ca="1">AVERAGE(OFFSET($AM$3,0,0,'Données projet'!$E$10+1,1))-AVERAGE(OFFSET($H$3,0,0,'Données projet'!$E$10+1,1))</f>
        <v>395.97781616920071</v>
      </c>
      <c r="AO52" s="62">
        <f t="shared" si="36"/>
        <v>554.05128015315631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56.884623160369834</v>
      </c>
      <c r="AV52" s="23">
        <f>EXP(-LN(2)/25)*AV51+(1-EXP(-LN(2)/25))/(LN(2)/25)*Calculateur!AQ52*Calculateur!AS52*VLOOKUP('Données projet'!$B$10,Paramètres!$A$1:$I$89,3,0)*0.475*44/12</f>
        <v>18.297801052074252</v>
      </c>
      <c r="AW52" s="23">
        <f>EXP(-LN(2)/2)*AW51+(1-EXP(-LN(2)/2))/(LN(2)/2)*AQ52*AT52*VLOOKUP('Données projet'!$B$10,Paramètres!$A$1:$I$89,3,0)*0.475*44/12</f>
        <v>7.2991619524638693</v>
      </c>
      <c r="AX52" s="23">
        <f t="shared" si="6"/>
        <v>82.481586164907952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72.393882557915504</v>
      </c>
      <c r="T53" s="62">
        <f t="shared" si="34"/>
        <v>321.03333748974029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49.473805320173184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49.473805320173184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1.7053025658242404E-13</v>
      </c>
      <c r="AJ53" s="14">
        <f>AI53*VLOOKUP('Données projet'!$B$10,Paramètres!$A$1:$I$89,3,0)*VLOOKUP('Données projet'!$B$10,Paramètres!$A$1:$I$89,5,0)</f>
        <v>1.5429577615577727E-13</v>
      </c>
      <c r="AK53" s="14">
        <f t="shared" si="35"/>
        <v>2.2038482767263348E-12</v>
      </c>
      <c r="AL53" s="22">
        <f t="shared" si="4"/>
        <v>4.107100892103012E-12</v>
      </c>
      <c r="AM53" s="62">
        <f t="shared" si="5"/>
        <v>293.33333333333741</v>
      </c>
      <c r="AN53" s="62">
        <f ca="1">AVERAGE(OFFSET($AM$3,0,0,'Données projet'!$E$10+1,1))-AVERAGE(OFFSET($H$3,0,0,'Données projet'!$E$10+1,1))</f>
        <v>395.97781616920071</v>
      </c>
      <c r="AO53" s="62">
        <f t="shared" si="36"/>
        <v>554.05128015315631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55.769150396389144</v>
      </c>
      <c r="AV53" s="23">
        <f>EXP(-LN(2)/25)*AV52+(1-EXP(-LN(2)/25))/(LN(2)/25)*Calculateur!AQ53*Calculateur!AS53*VLOOKUP('Données projet'!$B$10,Paramètres!$A$1:$I$89,3,0)*0.475*44/12</f>
        <v>17.797446720065743</v>
      </c>
      <c r="AW53" s="23">
        <f>EXP(-LN(2)/2)*AW52+(1-EXP(-LN(2)/2))/(LN(2)/2)*AQ53*AT53*VLOOKUP('Données projet'!$B$10,Paramètres!$A$1:$I$89,3,0)*0.475*44/12</f>
        <v>5.1612869135660429</v>
      </c>
      <c r="AX53" s="23">
        <f t="shared" si="6"/>
        <v>78.727884030020931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72.393882557915504</v>
      </c>
      <c r="T54" s="62">
        <f t="shared" si="34"/>
        <v>321.03333748974029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48.503654173886197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48.503654173886197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1.7053025658242404E-13</v>
      </c>
      <c r="AJ54" s="14">
        <f>AI54*VLOOKUP('Données projet'!$B$10,Paramètres!$A$1:$I$89,3,0)*VLOOKUP('Données projet'!$B$10,Paramètres!$A$1:$I$89,5,0)</f>
        <v>1.5429577615577727E-13</v>
      </c>
      <c r="AK54" s="14">
        <f t="shared" si="35"/>
        <v>2.2038482767263348E-12</v>
      </c>
      <c r="AL54" s="22">
        <f t="shared" si="4"/>
        <v>4.107100892103012E-12</v>
      </c>
      <c r="AM54" s="62">
        <f t="shared" si="5"/>
        <v>293.33333333333741</v>
      </c>
      <c r="AN54" s="62">
        <f ca="1">AVERAGE(OFFSET($AM$3,0,0,'Données projet'!$E$10+1,1))-AVERAGE(OFFSET($H$3,0,0,'Données projet'!$E$10+1,1))</f>
        <v>395.97781616920071</v>
      </c>
      <c r="AO54" s="62">
        <f t="shared" si="36"/>
        <v>554.05128015315631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54.675551372938912</v>
      </c>
      <c r="AV54" s="23">
        <f>EXP(-LN(2)/25)*AV53+(1-EXP(-LN(2)/25))/(LN(2)/25)*Calculateur!AQ54*Calculateur!AS54*VLOOKUP('Données projet'!$B$10,Paramètres!$A$1:$I$89,3,0)*0.475*44/12</f>
        <v>17.310774603578498</v>
      </c>
      <c r="AW54" s="23">
        <f>EXP(-LN(2)/2)*AW53+(1-EXP(-LN(2)/2))/(LN(2)/2)*AQ54*AT54*VLOOKUP('Données projet'!$B$10,Paramètres!$A$1:$I$89,3,0)*0.475*44/12</f>
        <v>3.6495809762319356</v>
      </c>
      <c r="AX54" s="23">
        <f t="shared" si="6"/>
        <v>75.635906952749338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72.393882557915504</v>
      </c>
      <c r="T55" s="62">
        <f t="shared" si="34"/>
        <v>321.03333748974029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47.552527099844127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47.552527099844127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1.7053025658242404E-13</v>
      </c>
      <c r="AJ55" s="14">
        <f>AI55*VLOOKUP('Données projet'!$B$10,Paramètres!$A$1:$I$89,3,0)*VLOOKUP('Données projet'!$B$10,Paramètres!$A$1:$I$89,5,0)</f>
        <v>1.5429577615577727E-13</v>
      </c>
      <c r="AK55" s="14">
        <f t="shared" si="35"/>
        <v>2.2038482767263348E-12</v>
      </c>
      <c r="AL55" s="22">
        <f t="shared" si="4"/>
        <v>4.107100892103012E-12</v>
      </c>
      <c r="AM55" s="62">
        <f t="shared" si="5"/>
        <v>293.33333333333741</v>
      </c>
      <c r="AN55" s="62">
        <f ca="1">AVERAGE(OFFSET($AM$3,0,0,'Données projet'!$E$10+1,1))-AVERAGE(OFFSET($H$3,0,0,'Données projet'!$E$10+1,1))</f>
        <v>395.97781616920071</v>
      </c>
      <c r="AO55" s="62">
        <f t="shared" si="36"/>
        <v>554.05128015315631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53.603397159308997</v>
      </c>
      <c r="AV55" s="23">
        <f>EXP(-LN(2)/25)*AV54+(1-EXP(-LN(2)/25))/(LN(2)/25)*Calculateur!AQ55*Calculateur!AS55*VLOOKUP('Données projet'!$B$10,Paramètres!$A$1:$I$89,3,0)*0.475*44/12</f>
        <v>16.837410561709572</v>
      </c>
      <c r="AW55" s="23">
        <f>EXP(-LN(2)/2)*AW54+(1-EXP(-LN(2)/2))/(LN(2)/2)*AQ55*AT55*VLOOKUP('Données projet'!$B$10,Paramètres!$A$1:$I$89,3,0)*0.475*44/12</f>
        <v>2.5806434567830219</v>
      </c>
      <c r="AX55" s="23">
        <f t="shared" si="6"/>
        <v>73.021451177801595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72.393882557915504</v>
      </c>
      <c r="T56" s="62">
        <f t="shared" si="34"/>
        <v>321.03333748974029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46.62005104759379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46.62005104759379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1.7053025658242404E-13</v>
      </c>
      <c r="AJ56" s="14">
        <f>AI56*VLOOKUP('Données projet'!$B$10,Paramètres!$A$1:$I$89,3,0)*VLOOKUP('Données projet'!$B$10,Paramètres!$A$1:$I$89,5,0)</f>
        <v>1.5429577615577727E-13</v>
      </c>
      <c r="AK56" s="14">
        <f t="shared" si="35"/>
        <v>2.2038482767263348E-12</v>
      </c>
      <c r="AL56" s="22">
        <f t="shared" si="4"/>
        <v>4.107100892103012E-12</v>
      </c>
      <c r="AM56" s="62">
        <f t="shared" si="5"/>
        <v>293.33333333333741</v>
      </c>
      <c r="AN56" s="62">
        <f ca="1">AVERAGE(OFFSET($AM$3,0,0,'Données projet'!$E$10+1,1))-AVERAGE(OFFSET($H$3,0,0,'Données projet'!$E$10+1,1))</f>
        <v>395.97781616920071</v>
      </c>
      <c r="AO56" s="62">
        <f t="shared" si="36"/>
        <v>554.05128015315631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52.552267235858871</v>
      </c>
      <c r="AV56" s="23">
        <f>EXP(-LN(2)/25)*AV55+(1-EXP(-LN(2)/25))/(LN(2)/25)*Calculateur!AQ56*Calculateur!AS56*VLOOKUP('Données projet'!$B$10,Paramètres!$A$1:$I$89,3,0)*0.475*44/12</f>
        <v>16.376990684458683</v>
      </c>
      <c r="AW56" s="23">
        <f>EXP(-LN(2)/2)*AW55+(1-EXP(-LN(2)/2))/(LN(2)/2)*AQ56*AT56*VLOOKUP('Données projet'!$B$10,Paramètres!$A$1:$I$89,3,0)*0.475*44/12</f>
        <v>1.824790488115968</v>
      </c>
      <c r="AX56" s="23">
        <f t="shared" si="6"/>
        <v>70.754048408433519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72.393882557915504</v>
      </c>
      <c r="T57" s="62">
        <f t="shared" si="34"/>
        <v>321.03333748974029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45.705860281973848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45.705860281973848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1.7053025658242404E-13</v>
      </c>
      <c r="AJ57" s="14">
        <f>AI57*VLOOKUP('Données projet'!$B$10,Paramètres!$A$1:$I$89,3,0)*VLOOKUP('Données projet'!$B$10,Paramètres!$A$1:$I$89,5,0)</f>
        <v>1.5429577615577727E-13</v>
      </c>
      <c r="AK57" s="14">
        <f t="shared" si="35"/>
        <v>2.2038482767263348E-12</v>
      </c>
      <c r="AL57" s="22">
        <f t="shared" si="4"/>
        <v>4.107100892103012E-12</v>
      </c>
      <c r="AM57" s="62">
        <f t="shared" si="5"/>
        <v>293.33333333333741</v>
      </c>
      <c r="AN57" s="62">
        <f ca="1">AVERAGE(OFFSET($AM$3,0,0,'Données projet'!$E$10+1,1))-AVERAGE(OFFSET($H$3,0,0,'Données projet'!$E$10+1,1))</f>
        <v>395.97781616920071</v>
      </c>
      <c r="AO57" s="62">
        <f t="shared" si="36"/>
        <v>554.05128015315631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51.521749329081651</v>
      </c>
      <c r="AV57" s="23">
        <f>EXP(-LN(2)/25)*AV56+(1-EXP(-LN(2)/25))/(LN(2)/25)*Calculateur!AQ57*Calculateur!AS57*VLOOKUP('Données projet'!$B$10,Paramètres!$A$1:$I$89,3,0)*0.475*44/12</f>
        <v>15.92916101296365</v>
      </c>
      <c r="AW57" s="23">
        <f>EXP(-LN(2)/2)*AW56+(1-EXP(-LN(2)/2))/(LN(2)/2)*AQ57*AT57*VLOOKUP('Données projet'!$B$10,Paramètres!$A$1:$I$89,3,0)*0.475*44/12</f>
        <v>1.2903217283915112</v>
      </c>
      <c r="AX57" s="23">
        <f t="shared" si="6"/>
        <v>68.741232070436808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72.393882557915504</v>
      </c>
      <c r="T58" s="62">
        <f t="shared" si="34"/>
        <v>321.03333748974029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44.809596239666405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44.809596239666405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1.7053025658242404E-13</v>
      </c>
      <c r="AJ58" s="14">
        <f>AI58*VLOOKUP('Données projet'!$B$10,Paramètres!$A$1:$I$89,3,0)*VLOOKUP('Données projet'!$B$10,Paramètres!$A$1:$I$89,5,0)</f>
        <v>1.5429577615577727E-13</v>
      </c>
      <c r="AK58" s="14">
        <f t="shared" si="35"/>
        <v>2.2038482767263348E-12</v>
      </c>
      <c r="AL58" s="22">
        <f t="shared" si="4"/>
        <v>4.107100892103012E-12</v>
      </c>
      <c r="AM58" s="62">
        <f t="shared" si="5"/>
        <v>293.33333333333741</v>
      </c>
      <c r="AN58" s="62">
        <f ca="1">AVERAGE(OFFSET($AM$3,0,0,'Données projet'!$E$10+1,1))-AVERAGE(OFFSET($H$3,0,0,'Données projet'!$E$10+1,1))</f>
        <v>395.97781616920071</v>
      </c>
      <c r="AO58" s="62">
        <f t="shared" si="36"/>
        <v>554.05128015315631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50.511439249902473</v>
      </c>
      <c r="AV58" s="23">
        <f>EXP(-LN(2)/25)*AV57+(1-EXP(-LN(2)/25))/(LN(2)/25)*Calculateur!AQ58*Calculateur!AS58*VLOOKUP('Données projet'!$B$10,Paramètres!$A$1:$I$89,3,0)*0.475*44/12</f>
        <v>15.493577267385989</v>
      </c>
      <c r="AW58" s="23">
        <f>EXP(-LN(2)/2)*AW57+(1-EXP(-LN(2)/2))/(LN(2)/2)*AQ58*AT58*VLOOKUP('Données projet'!$B$10,Paramètres!$A$1:$I$89,3,0)*0.475*44/12</f>
        <v>0.91239524405798411</v>
      </c>
      <c r="AX58" s="23">
        <f t="shared" si="6"/>
        <v>66.917411761346457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72.393882557915504</v>
      </c>
      <c r="T59" s="62">
        <f t="shared" si="34"/>
        <v>321.03333748974029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43.930907388561522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43.930907388561522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1.7053025658242404E-13</v>
      </c>
      <c r="AJ59" s="14">
        <f>AI59*VLOOKUP('Données projet'!$B$10,Paramètres!$A$1:$I$89,3,0)*VLOOKUP('Données projet'!$B$10,Paramètres!$A$1:$I$89,5,0)</f>
        <v>1.5429577615577727E-13</v>
      </c>
      <c r="AK59" s="14">
        <f t="shared" si="35"/>
        <v>2.2038482767263348E-12</v>
      </c>
      <c r="AL59" s="22">
        <f t="shared" si="4"/>
        <v>4.107100892103012E-12</v>
      </c>
      <c r="AM59" s="62">
        <f t="shared" si="5"/>
        <v>293.33333333333741</v>
      </c>
      <c r="AN59" s="62">
        <f ca="1">AVERAGE(OFFSET($AM$3,0,0,'Données projet'!$E$10+1,1))-AVERAGE(OFFSET($H$3,0,0,'Données projet'!$E$10+1,1))</f>
        <v>395.97781616920071</v>
      </c>
      <c r="AO59" s="62">
        <f t="shared" si="36"/>
        <v>554.05128015315631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49.520940735147697</v>
      </c>
      <c r="AV59" s="23">
        <f>EXP(-LN(2)/25)*AV58+(1-EXP(-LN(2)/25))/(LN(2)/25)*Calculateur!AQ59*Calculateur!AS59*VLOOKUP('Données projet'!$B$10,Paramètres!$A$1:$I$89,3,0)*0.475*44/12</f>
        <v>15.069904582237502</v>
      </c>
      <c r="AW59" s="23">
        <f>EXP(-LN(2)/2)*AW58+(1-EXP(-LN(2)/2))/(LN(2)/2)*AQ59*AT59*VLOOKUP('Données projet'!$B$10,Paramètres!$A$1:$I$89,3,0)*0.475*44/12</f>
        <v>0.64516086419575569</v>
      </c>
      <c r="AX59" s="23">
        <f t="shared" si="6"/>
        <v>65.236006181580962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72.393882557915504</v>
      </c>
      <c r="T60" s="62">
        <f t="shared" si="34"/>
        <v>321.03333748974029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43.069449089879534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43.069449089879534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1.7053025658242404E-13</v>
      </c>
      <c r="AJ60" s="14">
        <f>AI60*VLOOKUP('Données projet'!$B$10,Paramètres!$A$1:$I$89,3,0)*VLOOKUP('Données projet'!$B$10,Paramètres!$A$1:$I$89,5,0)</f>
        <v>1.5429577615577727E-13</v>
      </c>
      <c r="AK60" s="14">
        <f t="shared" si="35"/>
        <v>2.2038482767263348E-12</v>
      </c>
      <c r="AL60" s="22">
        <f t="shared" si="4"/>
        <v>4.107100892103012E-12</v>
      </c>
      <c r="AM60" s="62">
        <f t="shared" si="5"/>
        <v>293.33333333333741</v>
      </c>
      <c r="AN60" s="62">
        <f ca="1">AVERAGE(OFFSET($AM$3,0,0,'Données projet'!$E$10+1,1))-AVERAGE(OFFSET($H$3,0,0,'Données projet'!$E$10+1,1))</f>
        <v>395.97781616920071</v>
      </c>
      <c r="AO60" s="62">
        <f t="shared" si="36"/>
        <v>554.05128015315631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48.549865292122824</v>
      </c>
      <c r="AV60" s="23">
        <f>EXP(-LN(2)/25)*AV59+(1-EXP(-LN(2)/25))/(LN(2)/25)*Calculateur!AQ60*Calculateur!AS60*VLOOKUP('Données projet'!$B$10,Paramètres!$A$1:$I$89,3,0)*0.475*44/12</f>
        <v>14.657817248944378</v>
      </c>
      <c r="AW60" s="23">
        <f>EXP(-LN(2)/2)*AW59+(1-EXP(-LN(2)/2))/(LN(2)/2)*AQ60*AT60*VLOOKUP('Données projet'!$B$10,Paramètres!$A$1:$I$89,3,0)*0.475*44/12</f>
        <v>0.45619762202899217</v>
      </c>
      <c r="AX60" s="23">
        <f t="shared" si="6"/>
        <v>63.663880163096195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72.393882557915504</v>
      </c>
      <c r="T61" s="62">
        <f t="shared" si="34"/>
        <v>321.03333748974029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42.224883462997013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42.224883462997013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1.7053025658242404E-13</v>
      </c>
      <c r="AJ61" s="14">
        <f>AI61*VLOOKUP('Données projet'!$B$10,Paramètres!$A$1:$I$89,3,0)*VLOOKUP('Données projet'!$B$10,Paramètres!$A$1:$I$89,5,0)</f>
        <v>1.5429577615577727E-13</v>
      </c>
      <c r="AK61" s="14">
        <f t="shared" si="35"/>
        <v>2.2038482767263348E-12</v>
      </c>
      <c r="AL61" s="22">
        <f t="shared" si="4"/>
        <v>4.107100892103012E-12</v>
      </c>
      <c r="AM61" s="62">
        <f t="shared" si="5"/>
        <v>293.33333333333741</v>
      </c>
      <c r="AN61" s="62">
        <f ca="1">AVERAGE(OFFSET($AM$3,0,0,'Données projet'!$E$10+1,1))-AVERAGE(OFFSET($H$3,0,0,'Données projet'!$E$10+1,1))</f>
        <v>395.97781616920071</v>
      </c>
      <c r="AO61" s="62">
        <f t="shared" si="36"/>
        <v>554.05128015315631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47.597832046238132</v>
      </c>
      <c r="AV61" s="23">
        <f>EXP(-LN(2)/25)*AV60+(1-EXP(-LN(2)/25))/(LN(2)/25)*Calculateur!AQ61*Calculateur!AS61*VLOOKUP('Données projet'!$B$10,Paramètres!$A$1:$I$89,3,0)*0.475*44/12</f>
        <v>14.256998465450886</v>
      </c>
      <c r="AW61" s="23">
        <f>EXP(-LN(2)/2)*AW60+(1-EXP(-LN(2)/2))/(LN(2)/2)*AQ61*AT61*VLOOKUP('Données projet'!$B$10,Paramètres!$A$1:$I$89,3,0)*0.475*44/12</f>
        <v>0.3225804320978779</v>
      </c>
      <c r="AX61" s="23">
        <f t="shared" si="6"/>
        <v>62.177410943786896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72.393882557915504</v>
      </c>
      <c r="T62" s="62">
        <f t="shared" si="34"/>
        <v>321.03333748974029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41.396879252923497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41.396879252923497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1.7053025658242404E-13</v>
      </c>
      <c r="AJ62" s="14">
        <f>AI62*VLOOKUP('Données projet'!$B$10,Paramètres!$A$1:$I$89,3,0)*VLOOKUP('Données projet'!$B$10,Paramètres!$A$1:$I$89,5,0)</f>
        <v>1.5429577615577727E-13</v>
      </c>
      <c r="AK62" s="14">
        <f t="shared" si="35"/>
        <v>2.2038482767263348E-12</v>
      </c>
      <c r="AL62" s="22">
        <f t="shared" si="4"/>
        <v>4.107100892103012E-12</v>
      </c>
      <c r="AM62" s="62">
        <f t="shared" si="5"/>
        <v>293.33333333333741</v>
      </c>
      <c r="AN62" s="62">
        <f ca="1">AVERAGE(OFFSET($AM$3,0,0,'Données projet'!$E$10+1,1))-AVERAGE(OFFSET($H$3,0,0,'Données projet'!$E$10+1,1))</f>
        <v>395.97781616920071</v>
      </c>
      <c r="AO62" s="62">
        <f t="shared" si="36"/>
        <v>554.05128015315631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46.664467591622298</v>
      </c>
      <c r="AV62" s="23">
        <f>EXP(-LN(2)/25)*AV61+(1-EXP(-LN(2)/25))/(LN(2)/25)*Calculateur!AQ62*Calculateur!AS62*VLOOKUP('Données projet'!$B$10,Paramètres!$A$1:$I$89,3,0)*0.475*44/12</f>
        <v>13.867140092670168</v>
      </c>
      <c r="AW62" s="23">
        <f>EXP(-LN(2)/2)*AW61+(1-EXP(-LN(2)/2))/(LN(2)/2)*AQ62*AT62*VLOOKUP('Données projet'!$B$10,Paramètres!$A$1:$I$89,3,0)*0.475*44/12</f>
        <v>0.22809881101449611</v>
      </c>
      <c r="AX62" s="23">
        <f t="shared" si="6"/>
        <v>60.759706495306965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72.393882557915504</v>
      </c>
      <c r="T63" s="62">
        <f t="shared" si="34"/>
        <v>321.03333748974029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40.585111700376821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40.585111700376821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1.7053025658242404E-13</v>
      </c>
      <c r="AJ63" s="14">
        <f>AI63*VLOOKUP('Données projet'!$B$10,Paramètres!$A$1:$I$89,3,0)*VLOOKUP('Données projet'!$B$10,Paramètres!$A$1:$I$89,5,0)</f>
        <v>1.5429577615577727E-13</v>
      </c>
      <c r="AK63" s="14">
        <f t="shared" si="35"/>
        <v>2.2038482767263348E-12</v>
      </c>
      <c r="AL63" s="22">
        <f t="shared" si="4"/>
        <v>4.107100892103012E-12</v>
      </c>
      <c r="AM63" s="62">
        <f t="shared" si="5"/>
        <v>293.33333333333741</v>
      </c>
      <c r="AN63" s="62">
        <f ca="1">AVERAGE(OFFSET($AM$3,0,0,'Données projet'!$E$10+1,1))-AVERAGE(OFFSET($H$3,0,0,'Données projet'!$E$10+1,1))</f>
        <v>395.97781616920071</v>
      </c>
      <c r="AO63" s="62">
        <f t="shared" si="36"/>
        <v>554.05128015315631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45.749405844665375</v>
      </c>
      <c r="AV63" s="23">
        <f>EXP(-LN(2)/25)*AV62+(1-EXP(-LN(2)/25))/(LN(2)/25)*Calculateur!AQ63*Calculateur!AS63*VLOOKUP('Données projet'!$B$10,Paramètres!$A$1:$I$89,3,0)*0.475*44/12</f>
        <v>13.487942417594898</v>
      </c>
      <c r="AW63" s="23">
        <f>EXP(-LN(2)/2)*AW62+(1-EXP(-LN(2)/2))/(LN(2)/2)*AQ63*AT63*VLOOKUP('Données projet'!$B$10,Paramètres!$A$1:$I$89,3,0)*0.475*44/12</f>
        <v>0.16129021604893898</v>
      </c>
      <c r="AX63" s="23">
        <f t="shared" si="6"/>
        <v>59.398638478309209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72.393882557915504</v>
      </c>
      <c r="T64" s="62">
        <f t="shared" si="34"/>
        <v>321.03333748974029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39.789262414406267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39.789262414406267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1.7053025658242404E-13</v>
      </c>
      <c r="AJ64" s="14">
        <f>AI64*VLOOKUP('Données projet'!$B$10,Paramètres!$A$1:$I$89,3,0)*VLOOKUP('Données projet'!$B$10,Paramètres!$A$1:$I$89,5,0)</f>
        <v>1.5429577615577727E-13</v>
      </c>
      <c r="AK64" s="14">
        <f t="shared" si="35"/>
        <v>2.2038482767263348E-12</v>
      </c>
      <c r="AL64" s="22">
        <f t="shared" si="4"/>
        <v>4.107100892103012E-12</v>
      </c>
      <c r="AM64" s="62">
        <f t="shared" si="5"/>
        <v>293.33333333333741</v>
      </c>
      <c r="AN64" s="62">
        <f ca="1">AVERAGE(OFFSET($AM$3,0,0,'Données projet'!$E$10+1,1))-AVERAGE(OFFSET($H$3,0,0,'Données projet'!$E$10+1,1))</f>
        <v>395.97781616920071</v>
      </c>
      <c r="AO64" s="62">
        <f t="shared" si="36"/>
        <v>554.05128015315631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44.852287900433723</v>
      </c>
      <c r="AV64" s="23">
        <f>EXP(-LN(2)/25)*AV63+(1-EXP(-LN(2)/25))/(LN(2)/25)*Calculateur!AQ64*Calculateur!AS64*VLOOKUP('Données projet'!$B$10,Paramètres!$A$1:$I$89,3,0)*0.475*44/12</f>
        <v>13.119113922885701</v>
      </c>
      <c r="AW64" s="23">
        <f>EXP(-LN(2)/2)*AW63+(1-EXP(-LN(2)/2))/(LN(2)/2)*AQ64*AT64*VLOOKUP('Données projet'!$B$10,Paramètres!$A$1:$I$89,3,0)*0.475*44/12</f>
        <v>0.11404940550724808</v>
      </c>
      <c r="AX64" s="23">
        <f t="shared" si="6"/>
        <v>58.08545122882667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72.393882557915504</v>
      </c>
      <c r="T65" s="62">
        <f t="shared" si="34"/>
        <v>321.03333748974029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39.009019247513464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39.009019247513464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1.7053025658242404E-13</v>
      </c>
      <c r="AJ65" s="14">
        <f>AI65*VLOOKUP('Données projet'!$B$10,Paramètres!$A$1:$I$89,3,0)*VLOOKUP('Données projet'!$B$10,Paramètres!$A$1:$I$89,5,0)</f>
        <v>1.5429577615577727E-13</v>
      </c>
      <c r="AK65" s="14">
        <f t="shared" si="35"/>
        <v>2.2038482767263348E-12</v>
      </c>
      <c r="AL65" s="22">
        <f t="shared" si="4"/>
        <v>4.107100892103012E-12</v>
      </c>
      <c r="AM65" s="62">
        <f t="shared" si="5"/>
        <v>293.33333333333741</v>
      </c>
      <c r="AN65" s="62">
        <f ca="1">AVERAGE(OFFSET($AM$3,0,0,'Données projet'!$E$10+1,1))-AVERAGE(OFFSET($H$3,0,0,'Données projet'!$E$10+1,1))</f>
        <v>395.97781616920071</v>
      </c>
      <c r="AO65" s="62">
        <f t="shared" si="36"/>
        <v>554.05128015315631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43.972761891900539</v>
      </c>
      <c r="AV65" s="23">
        <f>EXP(-LN(2)/25)*AV64+(1-EXP(-LN(2)/25))/(LN(2)/25)*Calculateur!AQ65*Calculateur!AS65*VLOOKUP('Données projet'!$B$10,Paramètres!$A$1:$I$89,3,0)*0.475*44/12</f>
        <v>12.760371062760175</v>
      </c>
      <c r="AW65" s="23">
        <f>EXP(-LN(2)/2)*AW64+(1-EXP(-LN(2)/2))/(LN(2)/2)*AQ65*AT65*VLOOKUP('Données projet'!$B$10,Paramètres!$A$1:$I$89,3,0)*0.475*44/12</f>
        <v>8.0645108024469503E-2</v>
      </c>
      <c r="AX65" s="23">
        <f t="shared" si="6"/>
        <v>56.813778062685188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72.393882557915504</v>
      </c>
      <c r="T66" s="62">
        <f t="shared" si="34"/>
        <v>321.03333748974029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38.244076173222091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38.244076173222091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1.7053025658242404E-13</v>
      </c>
      <c r="AJ66" s="14">
        <f>AI66*VLOOKUP('Données projet'!$B$10,Paramètres!$A$1:$I$89,3,0)*VLOOKUP('Données projet'!$B$10,Paramètres!$A$1:$I$89,5,0)</f>
        <v>1.5429577615577727E-13</v>
      </c>
      <c r="AK66" s="14">
        <f t="shared" si="35"/>
        <v>2.2038482767263348E-12</v>
      </c>
      <c r="AL66" s="22">
        <f t="shared" si="4"/>
        <v>4.107100892103012E-12</v>
      </c>
      <c r="AM66" s="62">
        <f t="shared" si="5"/>
        <v>293.33333333333741</v>
      </c>
      <c r="AN66" s="62">
        <f ca="1">AVERAGE(OFFSET($AM$3,0,0,'Données projet'!$E$10+1,1))-AVERAGE(OFFSET($H$3,0,0,'Données projet'!$E$10+1,1))</f>
        <v>395.97781616920071</v>
      </c>
      <c r="AO66" s="62">
        <f t="shared" si="36"/>
        <v>554.05128015315631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43.110482851936794</v>
      </c>
      <c r="AV66" s="23">
        <f>EXP(-LN(2)/25)*AV65+(1-EXP(-LN(2)/25))/(LN(2)/25)*Calculateur!AQ66*Calculateur!AS66*VLOOKUP('Données projet'!$B$10,Paramètres!$A$1:$I$89,3,0)*0.475*44/12</f>
        <v>12.411438045010248</v>
      </c>
      <c r="AW66" s="23">
        <f>EXP(-LN(2)/2)*AW65+(1-EXP(-LN(2)/2))/(LN(2)/2)*AQ66*AT66*VLOOKUP('Données projet'!$B$10,Paramètres!$A$1:$I$89,3,0)*0.475*44/12</f>
        <v>5.7024702753624049E-2</v>
      </c>
      <c r="AX66" s="23">
        <f t="shared" si="6"/>
        <v>55.578945599700667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72.393882557915504</v>
      </c>
      <c r="T67" s="62">
        <f t="shared" si="34"/>
        <v>321.03333748974029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37.494133166048364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37.494133166048364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1.7053025658242404E-13</v>
      </c>
      <c r="AJ67" s="14">
        <f>AI67*VLOOKUP('Données projet'!$B$10,Paramètres!$A$1:$I$89,3,0)*VLOOKUP('Données projet'!$B$10,Paramètres!$A$1:$I$89,5,0)</f>
        <v>1.5429577615577727E-13</v>
      </c>
      <c r="AK67" s="14">
        <f t="shared" si="35"/>
        <v>2.2038482767263348E-12</v>
      </c>
      <c r="AL67" s="22">
        <f t="shared" si="4"/>
        <v>4.107100892103012E-12</v>
      </c>
      <c r="AM67" s="62">
        <f t="shared" si="5"/>
        <v>293.33333333333741</v>
      </c>
      <c r="AN67" s="62">
        <f ca="1">AVERAGE(OFFSET($AM$3,0,0,'Données projet'!$E$10+1,1))-AVERAGE(OFFSET($H$3,0,0,'Données projet'!$E$10+1,1))</f>
        <v>395.97781616920071</v>
      </c>
      <c r="AO67" s="62">
        <f t="shared" si="36"/>
        <v>554.05128015315631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42.265112578008456</v>
      </c>
      <c r="AV67" s="23">
        <f>EXP(-LN(2)/25)*AV66+(1-EXP(-LN(2)/25))/(LN(2)/25)*Calculateur!AQ67*Calculateur!AS67*VLOOKUP('Données projet'!$B$10,Paramètres!$A$1:$I$89,3,0)*0.475*44/12</f>
        <v>12.072046618980282</v>
      </c>
      <c r="AW67" s="23">
        <f>EXP(-LN(2)/2)*AW66+(1-EXP(-LN(2)/2))/(LN(2)/2)*AQ67*AT67*VLOOKUP('Données projet'!$B$10,Paramètres!$A$1:$I$89,3,0)*0.475*44/12</f>
        <v>4.0322554012234758E-2</v>
      </c>
      <c r="AX67" s="23">
        <f t="shared" si="6"/>
        <v>54.377481751000971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72.393882557915504</v>
      </c>
      <c r="T68" s="62">
        <f t="shared" si="34"/>
        <v>321.03333748974029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36.758896083825242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36.758896083825242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1.7053025658242404E-13</v>
      </c>
      <c r="AJ68" s="14">
        <f>AI68*VLOOKUP('Données projet'!$B$10,Paramètres!$A$1:$I$89,3,0)*VLOOKUP('Données projet'!$B$10,Paramètres!$A$1:$I$89,5,0)</f>
        <v>1.5429577615577727E-13</v>
      </c>
      <c r="AK68" s="14">
        <f t="shared" si="35"/>
        <v>2.2038482767263348E-12</v>
      </c>
      <c r="AL68" s="22">
        <f t="shared" ref="AL68:AL131" si="58">(AJ68+AK68)*0.475*44/12</f>
        <v>4.107100892103012E-12</v>
      </c>
      <c r="AM68" s="62">
        <f t="shared" ref="AM68:AM131" si="59">AL68+(AD68+AE68)*44/12</f>
        <v>293.33333333333741</v>
      </c>
      <c r="AN68" s="62">
        <f ca="1">AVERAGE(OFFSET($AM$3,0,0,'Données projet'!$E$10+1,1))-AVERAGE(OFFSET($H$3,0,0,'Données projet'!$E$10+1,1))</f>
        <v>395.97781616920071</v>
      </c>
      <c r="AO68" s="62">
        <f t="shared" si="36"/>
        <v>554.05128015315631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41.436319499526903</v>
      </c>
      <c r="AV68" s="23">
        <f>EXP(-LN(2)/25)*AV67+(1-EXP(-LN(2)/25))/(LN(2)/25)*Calculateur!AQ68*Calculateur!AS68*VLOOKUP('Données projet'!$B$10,Paramètres!$A$1:$I$89,3,0)*0.475*44/12</f>
        <v>11.741935869342926</v>
      </c>
      <c r="AW68" s="23">
        <f>EXP(-LN(2)/2)*AW67+(1-EXP(-LN(2)/2))/(LN(2)/2)*AQ68*AT68*VLOOKUP('Données projet'!$B$10,Paramètres!$A$1:$I$89,3,0)*0.475*44/12</f>
        <v>2.8512351376812028E-2</v>
      </c>
      <c r="AX68" s="23">
        <f t="shared" ref="AX68:AX131" si="60">SUM(AU68:AW68)</f>
        <v>53.206767720246638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72.393882557915504</v>
      </c>
      <c r="T69" s="62">
        <f t="shared" ref="T69:T132" si="88">$T$3</f>
        <v>321.03333748974029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36.038076552334175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36.038076552334175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1.7053025658242404E-13</v>
      </c>
      <c r="AJ69" s="14">
        <f>AI69*VLOOKUP('Données projet'!$B$10,Paramètres!$A$1:$I$89,3,0)*VLOOKUP('Données projet'!$B$10,Paramètres!$A$1:$I$89,5,0)</f>
        <v>1.5429577615577727E-13</v>
      </c>
      <c r="AK69" s="14">
        <f t="shared" ref="AK69:AK132" si="89">EXP(-1.0587+0.8836*LN(AJ69)+0.284)</f>
        <v>2.2038482767263348E-12</v>
      </c>
      <c r="AL69" s="22">
        <f t="shared" si="58"/>
        <v>4.107100892103012E-12</v>
      </c>
      <c r="AM69" s="62">
        <f t="shared" si="59"/>
        <v>293.33333333333741</v>
      </c>
      <c r="AN69" s="62">
        <f ca="1">AVERAGE(OFFSET($AM$3,0,0,'Données projet'!$E$10+1,1))-AVERAGE(OFFSET($H$3,0,0,'Données projet'!$E$10+1,1))</f>
        <v>395.97781616920071</v>
      </c>
      <c r="AO69" s="62">
        <f t="shared" ref="AO69:AO132" si="90">$AO$3</f>
        <v>554.05128015315631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40.623778547800505</v>
      </c>
      <c r="AV69" s="23">
        <f>EXP(-LN(2)/25)*AV68+(1-EXP(-LN(2)/25))/(LN(2)/25)*Calculateur!AQ69*Calculateur!AS69*VLOOKUP('Données projet'!$B$10,Paramètres!$A$1:$I$89,3,0)*0.475*44/12</f>
        <v>11.420852015514173</v>
      </c>
      <c r="AW69" s="23">
        <f>EXP(-LN(2)/2)*AW68+(1-EXP(-LN(2)/2))/(LN(2)/2)*AQ69*AT69*VLOOKUP('Données projet'!$B$10,Paramètres!$A$1:$I$89,3,0)*0.475*44/12</f>
        <v>2.0161277006117383E-2</v>
      </c>
      <c r="AX69" s="23">
        <f t="shared" si="60"/>
        <v>52.064791840320794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72.393882557915504</v>
      </c>
      <c r="T70" s="62">
        <f t="shared" si="88"/>
        <v>321.03333748974029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35.331391852199147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35.331391852199147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1.7053025658242404E-13</v>
      </c>
      <c r="AJ70" s="14">
        <f>AI70*VLOOKUP('Données projet'!$B$10,Paramètres!$A$1:$I$89,3,0)*VLOOKUP('Données projet'!$B$10,Paramètres!$A$1:$I$89,5,0)</f>
        <v>1.5429577615577727E-13</v>
      </c>
      <c r="AK70" s="14">
        <f t="shared" si="89"/>
        <v>2.2038482767263348E-12</v>
      </c>
      <c r="AL70" s="22">
        <f t="shared" si="58"/>
        <v>4.107100892103012E-12</v>
      </c>
      <c r="AM70" s="62">
        <f t="shared" si="59"/>
        <v>293.33333333333741</v>
      </c>
      <c r="AN70" s="62">
        <f ca="1">AVERAGE(OFFSET($AM$3,0,0,'Données projet'!$E$10+1,1))-AVERAGE(OFFSET($H$3,0,0,'Données projet'!$E$10+1,1))</f>
        <v>395.97781616920071</v>
      </c>
      <c r="AO70" s="62">
        <f t="shared" si="90"/>
        <v>554.05128015315631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39.827171028536419</v>
      </c>
      <c r="AV70" s="23">
        <f>EXP(-LN(2)/25)*AV69+(1-EXP(-LN(2)/25))/(LN(2)/25)*Calculateur!AQ70*Calculateur!AS70*VLOOKUP('Données projet'!$B$10,Paramètres!$A$1:$I$89,3,0)*0.475*44/12</f>
        <v>11.108548216553434</v>
      </c>
      <c r="AW70" s="23">
        <f>EXP(-LN(2)/2)*AW69+(1-EXP(-LN(2)/2))/(LN(2)/2)*AQ70*AT70*VLOOKUP('Données projet'!$B$10,Paramètres!$A$1:$I$89,3,0)*0.475*44/12</f>
        <v>1.4256175688406017E-2</v>
      </c>
      <c r="AX70" s="23">
        <f t="shared" si="60"/>
        <v>50.949975420778266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72.393882557915504</v>
      </c>
      <c r="T71" s="62">
        <f t="shared" si="88"/>
        <v>321.03333748974029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34.638564807998662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34.638564807998662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1.7053025658242404E-13</v>
      </c>
      <c r="AJ71" s="14">
        <f>AI71*VLOOKUP('Données projet'!$B$10,Paramètres!$A$1:$I$89,3,0)*VLOOKUP('Données projet'!$B$10,Paramètres!$A$1:$I$89,5,0)</f>
        <v>1.5429577615577727E-13</v>
      </c>
      <c r="AK71" s="14">
        <f t="shared" si="89"/>
        <v>2.2038482767263348E-12</v>
      </c>
      <c r="AL71" s="22">
        <f t="shared" si="58"/>
        <v>4.107100892103012E-12</v>
      </c>
      <c r="AM71" s="62">
        <f t="shared" si="59"/>
        <v>293.33333333333741</v>
      </c>
      <c r="AN71" s="62">
        <f ca="1">AVERAGE(OFFSET($AM$3,0,0,'Données projet'!$E$10+1,1))-AVERAGE(OFFSET($H$3,0,0,'Données projet'!$E$10+1,1))</f>
        <v>395.97781616920071</v>
      </c>
      <c r="AO71" s="62">
        <f t="shared" si="90"/>
        <v>554.05128015315631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39.046184496842493</v>
      </c>
      <c r="AV71" s="23">
        <f>EXP(-LN(2)/25)*AV70+(1-EXP(-LN(2)/25))/(LN(2)/25)*Calculateur!AQ71*Calculateur!AS71*VLOOKUP('Données projet'!$B$10,Paramètres!$A$1:$I$89,3,0)*0.475*44/12</f>
        <v>10.804784381398619</v>
      </c>
      <c r="AW71" s="23">
        <f>EXP(-LN(2)/2)*AW70+(1-EXP(-LN(2)/2))/(LN(2)/2)*AQ71*AT71*VLOOKUP('Données projet'!$B$10,Paramètres!$A$1:$I$89,3,0)*0.475*44/12</f>
        <v>1.0080638503058693E-2</v>
      </c>
      <c r="AX71" s="23">
        <f t="shared" si="60"/>
        <v>49.861049516744167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72.393882557915504</v>
      </c>
      <c r="T72" s="62">
        <f t="shared" si="88"/>
        <v>321.03333748974029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33.959323679552178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33.959323679552178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1.7053025658242404E-13</v>
      </c>
      <c r="AJ72" s="14">
        <f>AI72*VLOOKUP('Données projet'!$B$10,Paramètres!$A$1:$I$89,3,0)*VLOOKUP('Données projet'!$B$10,Paramètres!$A$1:$I$89,5,0)</f>
        <v>1.5429577615577727E-13</v>
      </c>
      <c r="AK72" s="14">
        <f t="shared" si="89"/>
        <v>2.2038482767263348E-12</v>
      </c>
      <c r="AL72" s="22">
        <f t="shared" si="58"/>
        <v>4.107100892103012E-12</v>
      </c>
      <c r="AM72" s="62">
        <f t="shared" si="59"/>
        <v>293.33333333333741</v>
      </c>
      <c r="AN72" s="62">
        <f ca="1">AVERAGE(OFFSET($AM$3,0,0,'Données projet'!$E$10+1,1))-AVERAGE(OFFSET($H$3,0,0,'Données projet'!$E$10+1,1))</f>
        <v>395.97781616920071</v>
      </c>
      <c r="AO72" s="62">
        <f t="shared" si="90"/>
        <v>554.05128015315631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38.280512634680335</v>
      </c>
      <c r="AV72" s="23">
        <f>EXP(-LN(2)/25)*AV71+(1-EXP(-LN(2)/25))/(LN(2)/25)*Calculateur!AQ72*Calculateur!AS72*VLOOKUP('Données projet'!$B$10,Paramètres!$A$1:$I$89,3,0)*0.475*44/12</f>
        <v>10.509326984290357</v>
      </c>
      <c r="AW72" s="23">
        <f>EXP(-LN(2)/2)*AW71+(1-EXP(-LN(2)/2))/(LN(2)/2)*AQ72*AT72*VLOOKUP('Données projet'!$B$10,Paramètres!$A$1:$I$89,3,0)*0.475*44/12</f>
        <v>7.1280878442030095E-3</v>
      </c>
      <c r="AX72" s="23">
        <f t="shared" si="60"/>
        <v>48.79696770681489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72.393882557915504</v>
      </c>
      <c r="T73" s="62">
        <f t="shared" si="88"/>
        <v>321.03333748974029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33.293402055338348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33.293402055338348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1.7053025658242404E-13</v>
      </c>
      <c r="AJ73" s="14">
        <f>AI73*VLOOKUP('Données projet'!$B$10,Paramètres!$A$1:$I$89,3,0)*VLOOKUP('Données projet'!$B$10,Paramètres!$A$1:$I$89,5,0)</f>
        <v>1.5429577615577727E-13</v>
      </c>
      <c r="AK73" s="14">
        <f t="shared" si="89"/>
        <v>2.2038482767263348E-12</v>
      </c>
      <c r="AL73" s="22">
        <f t="shared" si="58"/>
        <v>4.107100892103012E-12</v>
      </c>
      <c r="AM73" s="62">
        <f t="shared" si="59"/>
        <v>293.33333333333741</v>
      </c>
      <c r="AN73" s="62">
        <f ca="1">AVERAGE(OFFSET($AM$3,0,0,'Données projet'!$E$10+1,1))-AVERAGE(OFFSET($H$3,0,0,'Données projet'!$E$10+1,1))</f>
        <v>395.97781616920071</v>
      </c>
      <c r="AO73" s="62">
        <f t="shared" si="90"/>
        <v>554.05128015315631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37.529855130721458</v>
      </c>
      <c r="AV73" s="23">
        <f>EXP(-LN(2)/25)*AV72+(1-EXP(-LN(2)/25))/(LN(2)/25)*Calculateur!AQ73*Calculateur!AS73*VLOOKUP('Données projet'!$B$10,Paramètres!$A$1:$I$89,3,0)*0.475*44/12</f>
        <v>10.221948885243451</v>
      </c>
      <c r="AW73" s="23">
        <f>EXP(-LN(2)/2)*AW72+(1-EXP(-LN(2)/2))/(LN(2)/2)*AQ73*AT73*VLOOKUP('Données projet'!$B$10,Paramètres!$A$1:$I$89,3,0)*0.475*44/12</f>
        <v>5.0403192515293474E-3</v>
      </c>
      <c r="AX73" s="23">
        <f t="shared" si="60"/>
        <v>47.756844335216435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72.393882557915504</v>
      </c>
      <c r="T74" s="62">
        <f t="shared" si="88"/>
        <v>321.03333748974029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32.640538748003273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32.640538748003273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1.7053025658242404E-13</v>
      </c>
      <c r="AJ74" s="14">
        <f>AI74*VLOOKUP('Données projet'!$B$10,Paramètres!$A$1:$I$89,3,0)*VLOOKUP('Données projet'!$B$10,Paramètres!$A$1:$I$89,5,0)</f>
        <v>1.5429577615577727E-13</v>
      </c>
      <c r="AK74" s="14">
        <f t="shared" si="89"/>
        <v>2.2038482767263348E-12</v>
      </c>
      <c r="AL74" s="22">
        <f t="shared" si="58"/>
        <v>4.107100892103012E-12</v>
      </c>
      <c r="AM74" s="62">
        <f t="shared" si="59"/>
        <v>293.33333333333741</v>
      </c>
      <c r="AN74" s="62">
        <f ca="1">AVERAGE(OFFSET($AM$3,0,0,'Données projet'!$E$10+1,1))-AVERAGE(OFFSET($H$3,0,0,'Données projet'!$E$10+1,1))</f>
        <v>395.97781616920071</v>
      </c>
      <c r="AO74" s="62">
        <f t="shared" si="90"/>
        <v>554.05128015315631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36.793917562559344</v>
      </c>
      <c r="AV74" s="23">
        <f>EXP(-LN(2)/25)*AV73+(1-EXP(-LN(2)/25))/(LN(2)/25)*Calculateur!AQ74*Calculateur!AS74*VLOOKUP('Données projet'!$B$10,Paramètres!$A$1:$I$89,3,0)*0.475*44/12</f>
        <v>9.9424291554275399</v>
      </c>
      <c r="AW74" s="23">
        <f>EXP(-LN(2)/2)*AW73+(1-EXP(-LN(2)/2))/(LN(2)/2)*AQ74*AT74*VLOOKUP('Données projet'!$B$10,Paramètres!$A$1:$I$89,3,0)*0.475*44/12</f>
        <v>3.5640439221015056E-3</v>
      </c>
      <c r="AX74" s="23">
        <f t="shared" si="60"/>
        <v>46.739910761908988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72.393882557915504</v>
      </c>
      <c r="T75" s="62">
        <f t="shared" si="88"/>
        <v>321.03333748974029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32.000477691917737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32.000477691917737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1.7053025658242404E-13</v>
      </c>
      <c r="AJ75" s="14">
        <f>AI75*VLOOKUP('Données projet'!$B$10,Paramètres!$A$1:$I$89,3,0)*VLOOKUP('Données projet'!$B$10,Paramètres!$A$1:$I$89,5,0)</f>
        <v>1.5429577615577727E-13</v>
      </c>
      <c r="AK75" s="14">
        <f t="shared" si="89"/>
        <v>2.2038482767263348E-12</v>
      </c>
      <c r="AL75" s="22">
        <f t="shared" si="58"/>
        <v>4.107100892103012E-12</v>
      </c>
      <c r="AM75" s="62">
        <f t="shared" si="59"/>
        <v>293.33333333333741</v>
      </c>
      <c r="AN75" s="62">
        <f ca="1">AVERAGE(OFFSET($AM$3,0,0,'Données projet'!$E$10+1,1))-AVERAGE(OFFSET($H$3,0,0,'Données projet'!$E$10+1,1))</f>
        <v>395.97781616920071</v>
      </c>
      <c r="AO75" s="62">
        <f t="shared" si="90"/>
        <v>554.05128015315631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36.072411281231297</v>
      </c>
      <c r="AV75" s="23">
        <f>EXP(-LN(2)/25)*AV74+(1-EXP(-LN(2)/25))/(LN(2)/25)*Calculateur!AQ75*Calculateur!AS75*VLOOKUP('Données projet'!$B$10,Paramètres!$A$1:$I$89,3,0)*0.475*44/12</f>
        <v>9.6705529073227474</v>
      </c>
      <c r="AW75" s="23">
        <f>EXP(-LN(2)/2)*AW74+(1-EXP(-LN(2)/2))/(LN(2)/2)*AQ75*AT75*VLOOKUP('Données projet'!$B$10,Paramètres!$A$1:$I$89,3,0)*0.475*44/12</f>
        <v>2.5201596257646741E-3</v>
      </c>
      <c r="AX75" s="23">
        <f t="shared" si="60"/>
        <v>45.745484348179808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72.393882557915504</v>
      </c>
      <c r="T76" s="62">
        <f t="shared" si="88"/>
        <v>321.03333748974029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31.372967842743343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31.372967842743343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1.7053025658242404E-13</v>
      </c>
      <c r="AJ76" s="14">
        <f>AI76*VLOOKUP('Données projet'!$B$10,Paramètres!$A$1:$I$89,3,0)*VLOOKUP('Données projet'!$B$10,Paramètres!$A$1:$I$89,5,0)</f>
        <v>1.5429577615577727E-13</v>
      </c>
      <c r="AK76" s="14">
        <f t="shared" si="89"/>
        <v>2.2038482767263348E-12</v>
      </c>
      <c r="AL76" s="22">
        <f t="shared" si="58"/>
        <v>4.107100892103012E-12</v>
      </c>
      <c r="AM76" s="62">
        <f t="shared" si="59"/>
        <v>293.33333333333741</v>
      </c>
      <c r="AN76" s="62">
        <f ca="1">AVERAGE(OFFSET($AM$3,0,0,'Données projet'!$E$10+1,1))-AVERAGE(OFFSET($H$3,0,0,'Données projet'!$E$10+1,1))</f>
        <v>395.97781616920071</v>
      </c>
      <c r="AO76" s="62">
        <f t="shared" si="90"/>
        <v>554.05128015315631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35.365053298004717</v>
      </c>
      <c r="AV76" s="23">
        <f>EXP(-LN(2)/25)*AV75+(1-EXP(-LN(2)/25))/(LN(2)/25)*Calculateur!AQ76*Calculateur!AS76*VLOOKUP('Données projet'!$B$10,Paramètres!$A$1:$I$89,3,0)*0.475*44/12</f>
        <v>9.4061111295197311</v>
      </c>
      <c r="AW76" s="23">
        <f>EXP(-LN(2)/2)*AW75+(1-EXP(-LN(2)/2))/(LN(2)/2)*AQ76*AT76*VLOOKUP('Données projet'!$B$10,Paramètres!$A$1:$I$89,3,0)*0.475*44/12</f>
        <v>1.782021961050753E-3</v>
      </c>
      <c r="AX76" s="23">
        <f t="shared" si="60"/>
        <v>44.772946449485495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72.393882557915504</v>
      </c>
      <c r="T77" s="62">
        <f t="shared" si="88"/>
        <v>321.03333748974029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30.757763078968043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30.757763078968043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1.7053025658242404E-13</v>
      </c>
      <c r="AJ77" s="14">
        <f>AI77*VLOOKUP('Données projet'!$B$10,Paramètres!$A$1:$I$89,3,0)*VLOOKUP('Données projet'!$B$10,Paramètres!$A$1:$I$89,5,0)</f>
        <v>1.5429577615577727E-13</v>
      </c>
      <c r="AK77" s="14">
        <f t="shared" si="89"/>
        <v>2.2038482767263348E-12</v>
      </c>
      <c r="AL77" s="22">
        <f t="shared" si="58"/>
        <v>4.107100892103012E-12</v>
      </c>
      <c r="AM77" s="62">
        <f t="shared" si="59"/>
        <v>293.33333333333741</v>
      </c>
      <c r="AN77" s="62">
        <f ca="1">AVERAGE(OFFSET($AM$3,0,0,'Données projet'!$E$10+1,1))-AVERAGE(OFFSET($H$3,0,0,'Données projet'!$E$10+1,1))</f>
        <v>395.97781616920071</v>
      </c>
      <c r="AO77" s="62">
        <f t="shared" si="90"/>
        <v>554.05128015315631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34.671566173383439</v>
      </c>
      <c r="AV77" s="23">
        <f>EXP(-LN(2)/25)*AV76+(1-EXP(-LN(2)/25))/(LN(2)/25)*Calculateur!AQ77*Calculateur!AS77*VLOOKUP('Données projet'!$B$10,Paramètres!$A$1:$I$89,3,0)*0.475*44/12</f>
        <v>9.1489005260371279</v>
      </c>
      <c r="AW77" s="23">
        <f>EXP(-LN(2)/2)*AW76+(1-EXP(-LN(2)/2))/(LN(2)/2)*AQ77*AT77*VLOOKUP('Données projet'!$B$10,Paramètres!$A$1:$I$89,3,0)*0.475*44/12</f>
        <v>1.2600798128823373E-3</v>
      </c>
      <c r="AX77" s="23">
        <f t="shared" si="60"/>
        <v>43.821726779233444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72.393882557915504</v>
      </c>
      <c r="T78" s="62">
        <f t="shared" si="88"/>
        <v>321.03333748974029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30.154622105372525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30.154622105372525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1.7053025658242404E-13</v>
      </c>
      <c r="AJ78" s="14">
        <f>AI78*VLOOKUP('Données projet'!$B$10,Paramètres!$A$1:$I$89,3,0)*VLOOKUP('Données projet'!$B$10,Paramètres!$A$1:$I$89,5,0)</f>
        <v>1.5429577615577727E-13</v>
      </c>
      <c r="AK78" s="14">
        <f t="shared" si="89"/>
        <v>2.2038482767263348E-12</v>
      </c>
      <c r="AL78" s="22">
        <f t="shared" si="58"/>
        <v>4.107100892103012E-12</v>
      </c>
      <c r="AM78" s="62">
        <f t="shared" si="59"/>
        <v>293.33333333333741</v>
      </c>
      <c r="AN78" s="62">
        <f ca="1">AVERAGE(OFFSET($AM$3,0,0,'Données projet'!$E$10+1,1))-AVERAGE(OFFSET($H$3,0,0,'Données projet'!$E$10+1,1))</f>
        <v>395.97781616920071</v>
      </c>
      <c r="AO78" s="62">
        <f t="shared" si="90"/>
        <v>554.05128015315631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33.991677908290605</v>
      </c>
      <c r="AV78" s="23">
        <f>EXP(-LN(2)/25)*AV77+(1-EXP(-LN(2)/25))/(LN(2)/25)*Calculateur!AQ78*Calculateur!AS78*VLOOKUP('Données projet'!$B$10,Paramètres!$A$1:$I$89,3,0)*0.475*44/12</f>
        <v>8.8987233600328732</v>
      </c>
      <c r="AW78" s="23">
        <f>EXP(-LN(2)/2)*AW77+(1-EXP(-LN(2)/2))/(LN(2)/2)*AQ78*AT78*VLOOKUP('Données projet'!$B$10,Paramètres!$A$1:$I$89,3,0)*0.475*44/12</f>
        <v>8.9101098052537663E-4</v>
      </c>
      <c r="AX78" s="23">
        <f t="shared" si="60"/>
        <v>42.891292279304004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72.393882557915504</v>
      </c>
      <c r="T79" s="62">
        <f t="shared" si="88"/>
        <v>321.03333748974029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29.563308358389545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29.563308358389545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1.7053025658242404E-13</v>
      </c>
      <c r="AJ79" s="14">
        <f>AI79*VLOOKUP('Données projet'!$B$10,Paramètres!$A$1:$I$89,3,0)*VLOOKUP('Données projet'!$B$10,Paramètres!$A$1:$I$89,5,0)</f>
        <v>1.5429577615577727E-13</v>
      </c>
      <c r="AK79" s="14">
        <f t="shared" si="89"/>
        <v>2.2038482767263348E-12</v>
      </c>
      <c r="AL79" s="22">
        <f t="shared" si="58"/>
        <v>4.107100892103012E-12</v>
      </c>
      <c r="AM79" s="62">
        <f t="shared" si="59"/>
        <v>293.33333333333741</v>
      </c>
      <c r="AN79" s="62">
        <f ca="1">AVERAGE(OFFSET($AM$3,0,0,'Données projet'!$E$10+1,1))-AVERAGE(OFFSET($H$3,0,0,'Données projet'!$E$10+1,1))</f>
        <v>395.97781616920071</v>
      </c>
      <c r="AO79" s="62">
        <f t="shared" si="90"/>
        <v>554.05128015315631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33.325121837385346</v>
      </c>
      <c r="AV79" s="23">
        <f>EXP(-LN(2)/25)*AV78+(1-EXP(-LN(2)/25))/(LN(2)/25)*Calculateur!AQ79*Calculateur!AS79*VLOOKUP('Données projet'!$B$10,Paramètres!$A$1:$I$89,3,0)*0.475*44/12</f>
        <v>8.6553873017892506</v>
      </c>
      <c r="AW79" s="23">
        <f>EXP(-LN(2)/2)*AW78+(1-EXP(-LN(2)/2))/(LN(2)/2)*AQ79*AT79*VLOOKUP('Données projet'!$B$10,Paramètres!$A$1:$I$89,3,0)*0.475*44/12</f>
        <v>6.3003990644116864E-4</v>
      </c>
      <c r="AX79" s="23">
        <f t="shared" si="60"/>
        <v>41.98113917908104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72.393882557915504</v>
      </c>
      <c r="T80" s="62">
        <f t="shared" si="88"/>
        <v>321.03333748974029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28.983589913319129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28.983589913319129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1.7053025658242404E-13</v>
      </c>
      <c r="AJ80" s="14">
        <f>AI80*VLOOKUP('Données projet'!$B$10,Paramètres!$A$1:$I$89,3,0)*VLOOKUP('Données projet'!$B$10,Paramètres!$A$1:$I$89,5,0)</f>
        <v>1.5429577615577727E-13</v>
      </c>
      <c r="AK80" s="14">
        <f t="shared" si="89"/>
        <v>2.2038482767263348E-12</v>
      </c>
      <c r="AL80" s="22">
        <f t="shared" si="58"/>
        <v>4.107100892103012E-12</v>
      </c>
      <c r="AM80" s="62">
        <f t="shared" si="59"/>
        <v>293.33333333333741</v>
      </c>
      <c r="AN80" s="62">
        <f ca="1">AVERAGE(OFFSET($AM$3,0,0,'Données projet'!$E$10+1,1))-AVERAGE(OFFSET($H$3,0,0,'Données projet'!$E$10+1,1))</f>
        <v>395.97781616920071</v>
      </c>
      <c r="AO80" s="62">
        <f t="shared" si="90"/>
        <v>554.05128015315631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32.671636524471481</v>
      </c>
      <c r="AV80" s="23">
        <f>EXP(-LN(2)/25)*AV79+(1-EXP(-LN(2)/25))/(LN(2)/25)*Calculateur!AQ80*Calculateur!AS80*VLOOKUP('Données projet'!$B$10,Paramètres!$A$1:$I$89,3,0)*0.475*44/12</f>
        <v>8.4187052808547875</v>
      </c>
      <c r="AW80" s="23">
        <f>EXP(-LN(2)/2)*AW79+(1-EXP(-LN(2)/2))/(LN(2)/2)*AQ80*AT80*VLOOKUP('Données projet'!$B$10,Paramètres!$A$1:$I$89,3,0)*0.475*44/12</f>
        <v>4.4550549026268831E-4</v>
      </c>
      <c r="AX80" s="23">
        <f t="shared" si="60"/>
        <v>41.09078731081653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72.393882557915504</v>
      </c>
      <c r="T81" s="62">
        <f t="shared" si="88"/>
        <v>321.03333748974029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28.415239393363205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28.415239393363205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1.7053025658242404E-13</v>
      </c>
      <c r="AJ81" s="14">
        <f>AI81*VLOOKUP('Données projet'!$B$10,Paramètres!$A$1:$I$89,3,0)*VLOOKUP('Données projet'!$B$10,Paramètres!$A$1:$I$89,5,0)</f>
        <v>1.5429577615577727E-13</v>
      </c>
      <c r="AK81" s="14">
        <f t="shared" si="89"/>
        <v>2.2038482767263348E-12</v>
      </c>
      <c r="AL81" s="22">
        <f t="shared" si="58"/>
        <v>4.107100892103012E-12</v>
      </c>
      <c r="AM81" s="62">
        <f t="shared" si="59"/>
        <v>293.33333333333741</v>
      </c>
      <c r="AN81" s="62">
        <f ca="1">AVERAGE(OFFSET($AM$3,0,0,'Données projet'!$E$10+1,1))-AVERAGE(OFFSET($H$3,0,0,'Données projet'!$E$10+1,1))</f>
        <v>395.97781616920071</v>
      </c>
      <c r="AO81" s="62">
        <f t="shared" si="90"/>
        <v>554.05128015315631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32.030965659957175</v>
      </c>
      <c r="AV81" s="23">
        <f>EXP(-LN(2)/25)*AV80+(1-EXP(-LN(2)/25))/(LN(2)/25)*Calculateur!AQ81*Calculateur!AS81*VLOOKUP('Données projet'!$B$10,Paramètres!$A$1:$I$89,3,0)*0.475*44/12</f>
        <v>8.1884953422293432</v>
      </c>
      <c r="AW81" s="23">
        <f>EXP(-LN(2)/2)*AW80+(1-EXP(-LN(2)/2))/(LN(2)/2)*AQ81*AT81*VLOOKUP('Données projet'!$B$10,Paramètres!$A$1:$I$89,3,0)*0.475*44/12</f>
        <v>3.1501995322058432E-4</v>
      </c>
      <c r="AX81" s="23">
        <f t="shared" si="60"/>
        <v>40.21977602213974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72.393882557915504</v>
      </c>
      <c r="T82" s="62">
        <f t="shared" si="88"/>
        <v>321.03333748974029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27.85803388044403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27.85803388044403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1.7053025658242404E-13</v>
      </c>
      <c r="AJ82" s="14">
        <f>AI82*VLOOKUP('Données projet'!$B$10,Paramètres!$A$1:$I$89,3,0)*VLOOKUP('Données projet'!$B$10,Paramètres!$A$1:$I$89,5,0)</f>
        <v>1.5429577615577727E-13</v>
      </c>
      <c r="AK82" s="14">
        <f t="shared" si="89"/>
        <v>2.2038482767263348E-12</v>
      </c>
      <c r="AL82" s="22">
        <f t="shared" si="58"/>
        <v>4.107100892103012E-12</v>
      </c>
      <c r="AM82" s="62">
        <f t="shared" si="59"/>
        <v>293.33333333333741</v>
      </c>
      <c r="AN82" s="62">
        <f ca="1">AVERAGE(OFFSET($AM$3,0,0,'Données projet'!$E$10+1,1))-AVERAGE(OFFSET($H$3,0,0,'Données projet'!$E$10+1,1))</f>
        <v>395.97781616920071</v>
      </c>
      <c r="AO82" s="62">
        <f t="shared" si="90"/>
        <v>554.05128015315631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31.402857960325353</v>
      </c>
      <c r="AV82" s="23">
        <f>EXP(-LN(2)/25)*AV81+(1-EXP(-LN(2)/25))/(LN(2)/25)*Calculateur!AQ82*Calculateur!AS82*VLOOKUP('Données projet'!$B$10,Paramètres!$A$1:$I$89,3,0)*0.475*44/12</f>
        <v>7.9645805064818269</v>
      </c>
      <c r="AW82" s="23">
        <f>EXP(-LN(2)/2)*AW81+(1-EXP(-LN(2)/2))/(LN(2)/2)*AQ82*AT82*VLOOKUP('Données projet'!$B$10,Paramètres!$A$1:$I$89,3,0)*0.475*44/12</f>
        <v>2.2275274513134416E-4</v>
      </c>
      <c r="AX82" s="23">
        <f t="shared" si="60"/>
        <v>39.367661219552311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72.393882557915504</v>
      </c>
      <c r="T83" s="62">
        <f t="shared" si="88"/>
        <v>321.03333748974029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27.311754827771395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27.311754827771395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1.7053025658242404E-13</v>
      </c>
      <c r="AJ83" s="14">
        <f>AI83*VLOOKUP('Données projet'!$B$10,Paramètres!$A$1:$I$89,3,0)*VLOOKUP('Données projet'!$B$10,Paramètres!$A$1:$I$89,5,0)</f>
        <v>1.5429577615577727E-13</v>
      </c>
      <c r="AK83" s="14">
        <f t="shared" si="89"/>
        <v>2.2038482767263348E-12</v>
      </c>
      <c r="AL83" s="22">
        <f t="shared" si="58"/>
        <v>4.107100892103012E-12</v>
      </c>
      <c r="AM83" s="62">
        <f t="shared" si="59"/>
        <v>293.33333333333741</v>
      </c>
      <c r="AN83" s="62">
        <f ca="1">AVERAGE(OFFSET($AM$3,0,0,'Données projet'!$E$10+1,1))-AVERAGE(OFFSET($H$3,0,0,'Données projet'!$E$10+1,1))</f>
        <v>395.97781616920071</v>
      </c>
      <c r="AO83" s="62">
        <f t="shared" si="90"/>
        <v>554.05128015315631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30.787067069575443</v>
      </c>
      <c r="AV83" s="23">
        <f>EXP(-LN(2)/25)*AV82+(1-EXP(-LN(2)/25))/(LN(2)/25)*Calculateur!AQ83*Calculateur!AS83*VLOOKUP('Données projet'!$B$10,Paramètres!$A$1:$I$89,3,0)*0.475*44/12</f>
        <v>7.7467886336929954</v>
      </c>
      <c r="AW83" s="23">
        <f>EXP(-LN(2)/2)*AW82+(1-EXP(-LN(2)/2))/(LN(2)/2)*AQ83*AT83*VLOOKUP('Données projet'!$B$10,Paramètres!$A$1:$I$89,3,0)*0.475*44/12</f>
        <v>1.5750997661029216E-4</v>
      </c>
      <c r="AX83" s="23">
        <f t="shared" si="60"/>
        <v>38.534013213245046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72.393882557915504</v>
      </c>
      <c r="T84" s="62">
        <f t="shared" si="88"/>
        <v>321.03333748974029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26.776187974124351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26.776187974124351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1.7053025658242404E-13</v>
      </c>
      <c r="AJ84" s="14">
        <f>AI84*VLOOKUP('Données projet'!$B$10,Paramètres!$A$1:$I$89,3,0)*VLOOKUP('Données projet'!$B$10,Paramètres!$A$1:$I$89,5,0)</f>
        <v>1.5429577615577727E-13</v>
      </c>
      <c r="AK84" s="14">
        <f t="shared" si="89"/>
        <v>2.2038482767263348E-12</v>
      </c>
      <c r="AL84" s="22">
        <f t="shared" si="58"/>
        <v>4.107100892103012E-12</v>
      </c>
      <c r="AM84" s="62">
        <f t="shared" si="59"/>
        <v>293.33333333333741</v>
      </c>
      <c r="AN84" s="62">
        <f ca="1">AVERAGE(OFFSET($AM$3,0,0,'Données projet'!$E$10+1,1))-AVERAGE(OFFSET($H$3,0,0,'Données projet'!$E$10+1,1))</f>
        <v>395.97781616920071</v>
      </c>
      <c r="AO84" s="62">
        <f t="shared" si="90"/>
        <v>554.05128015315631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30.183351462597781</v>
      </c>
      <c r="AV84" s="23">
        <f>EXP(-LN(2)/25)*AV83+(1-EXP(-LN(2)/25))/(LN(2)/25)*Calculateur!AQ84*Calculateur!AS84*VLOOKUP('Données projet'!$B$10,Paramètres!$A$1:$I$89,3,0)*0.475*44/12</f>
        <v>7.5349522911187519</v>
      </c>
      <c r="AW84" s="23">
        <f>EXP(-LN(2)/2)*AW83+(1-EXP(-LN(2)/2))/(LN(2)/2)*AQ84*AT84*VLOOKUP('Données projet'!$B$10,Paramètres!$A$1:$I$89,3,0)*0.475*44/12</f>
        <v>1.1137637256567208E-4</v>
      </c>
      <c r="AX84" s="23">
        <f t="shared" si="60"/>
        <v>37.718415130089099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72.393882557915504</v>
      </c>
      <c r="T85" s="62">
        <f t="shared" si="88"/>
        <v>321.03333748974029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26.251123259813799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26.251123259813799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1.7053025658242404E-13</v>
      </c>
      <c r="AJ85" s="14">
        <f>AI85*VLOOKUP('Données projet'!$B$10,Paramètres!$A$1:$I$89,3,0)*VLOOKUP('Données projet'!$B$10,Paramètres!$A$1:$I$89,5,0)</f>
        <v>1.5429577615577727E-13</v>
      </c>
      <c r="AK85" s="14">
        <f t="shared" si="89"/>
        <v>2.2038482767263348E-12</v>
      </c>
      <c r="AL85" s="22">
        <f t="shared" si="58"/>
        <v>4.107100892103012E-12</v>
      </c>
      <c r="AM85" s="62">
        <f t="shared" si="59"/>
        <v>293.33333333333741</v>
      </c>
      <c r="AN85" s="62">
        <f ca="1">AVERAGE(OFFSET($AM$3,0,0,'Données projet'!$E$10+1,1))-AVERAGE(OFFSET($H$3,0,0,'Données projet'!$E$10+1,1))</f>
        <v>395.97781616920071</v>
      </c>
      <c r="AO85" s="62">
        <f t="shared" si="90"/>
        <v>554.05128015315631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29.591474350442791</v>
      </c>
      <c r="AV85" s="23">
        <f>EXP(-LN(2)/25)*AV84+(1-EXP(-LN(2)/25))/(LN(2)/25)*Calculateur!AQ85*Calculateur!AS85*VLOOKUP('Données projet'!$B$10,Paramètres!$A$1:$I$89,3,0)*0.475*44/12</f>
        <v>7.3289086244721897</v>
      </c>
      <c r="AW85" s="23">
        <f>EXP(-LN(2)/2)*AW84+(1-EXP(-LN(2)/2))/(LN(2)/2)*AQ85*AT85*VLOOKUP('Données projet'!$B$10,Paramètres!$A$1:$I$89,3,0)*0.475*44/12</f>
        <v>7.875498830514608E-5</v>
      </c>
      <c r="AX85" s="23">
        <f t="shared" si="60"/>
        <v>36.920461729903288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72.393882557915504</v>
      </c>
      <c r="T86" s="62">
        <f t="shared" si="88"/>
        <v>321.03333748974029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25.736354744293024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25.736354744293024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1.7053025658242404E-13</v>
      </c>
      <c r="AJ86" s="14">
        <f>AI86*VLOOKUP('Données projet'!$B$10,Paramètres!$A$1:$I$89,3,0)*VLOOKUP('Données projet'!$B$10,Paramètres!$A$1:$I$89,5,0)</f>
        <v>1.5429577615577727E-13</v>
      </c>
      <c r="AK86" s="14">
        <f t="shared" si="89"/>
        <v>2.2038482767263348E-12</v>
      </c>
      <c r="AL86" s="22">
        <f t="shared" si="58"/>
        <v>4.107100892103012E-12</v>
      </c>
      <c r="AM86" s="62">
        <f t="shared" si="59"/>
        <v>293.33333333333741</v>
      </c>
      <c r="AN86" s="62">
        <f ca="1">AVERAGE(OFFSET($AM$3,0,0,'Données projet'!$E$10+1,1))-AVERAGE(OFFSET($H$3,0,0,'Données projet'!$E$10+1,1))</f>
        <v>395.97781616920071</v>
      </c>
      <c r="AO86" s="62">
        <f t="shared" si="90"/>
        <v>554.05128015315631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29.011203587447771</v>
      </c>
      <c r="AV86" s="23">
        <f>EXP(-LN(2)/25)*AV85+(1-EXP(-LN(2)/25))/(LN(2)/25)*Calculateur!AQ86*Calculateur!AS86*VLOOKUP('Données projet'!$B$10,Paramètres!$A$1:$I$89,3,0)*0.475*44/12</f>
        <v>7.1284992327254439</v>
      </c>
      <c r="AW86" s="23">
        <f>EXP(-LN(2)/2)*AW85+(1-EXP(-LN(2)/2))/(LN(2)/2)*AQ86*AT86*VLOOKUP('Données projet'!$B$10,Paramètres!$A$1:$I$89,3,0)*0.475*44/12</f>
        <v>5.5688186282836039E-5</v>
      </c>
      <c r="AX86" s="23">
        <f t="shared" si="60"/>
        <v>36.139758508359499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72.393882557915504</v>
      </c>
      <c r="T87" s="62">
        <f t="shared" si="88"/>
        <v>321.03333748974029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25.231680525383819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25.231680525383819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1.7053025658242404E-13</v>
      </c>
      <c r="AJ87" s="14">
        <f>AI87*VLOOKUP('Données projet'!$B$10,Paramètres!$A$1:$I$89,3,0)*VLOOKUP('Données projet'!$B$10,Paramètres!$A$1:$I$89,5,0)</f>
        <v>1.5429577615577727E-13</v>
      </c>
      <c r="AK87" s="14">
        <f t="shared" si="89"/>
        <v>2.2038482767263348E-12</v>
      </c>
      <c r="AL87" s="22">
        <f t="shared" si="58"/>
        <v>4.107100892103012E-12</v>
      </c>
      <c r="AM87" s="62">
        <f t="shared" si="59"/>
        <v>293.33333333333741</v>
      </c>
      <c r="AN87" s="62">
        <f ca="1">AVERAGE(OFFSET($AM$3,0,0,'Données projet'!$E$10+1,1))-AVERAGE(OFFSET($H$3,0,0,'Données projet'!$E$10+1,1))</f>
        <v>395.97781616920071</v>
      </c>
      <c r="AO87" s="62">
        <f t="shared" si="90"/>
        <v>554.05128015315631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28.442311580184864</v>
      </c>
      <c r="AV87" s="23">
        <f>EXP(-LN(2)/25)*AV86+(1-EXP(-LN(2)/25))/(LN(2)/25)*Calculateur!AQ87*Calculateur!AS87*VLOOKUP('Données projet'!$B$10,Paramètres!$A$1:$I$89,3,0)*0.475*44/12</f>
        <v>6.9335700463350847</v>
      </c>
      <c r="AW87" s="23">
        <f>EXP(-LN(2)/2)*AW86+(1-EXP(-LN(2)/2))/(LN(2)/2)*AQ87*AT87*VLOOKUP('Données projet'!$B$10,Paramètres!$A$1:$I$89,3,0)*0.475*44/12</f>
        <v>3.937749415257304E-5</v>
      </c>
      <c r="AX87" s="23">
        <f t="shared" si="60"/>
        <v>35.375921004014103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72.393882557915504</v>
      </c>
      <c r="T88" s="62">
        <f t="shared" si="88"/>
        <v>321.03333748974029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24.736902660086546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24.736902660086546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1.7053025658242404E-13</v>
      </c>
      <c r="AJ88" s="14">
        <f>AI88*VLOOKUP('Données projet'!$B$10,Paramètres!$A$1:$I$89,3,0)*VLOOKUP('Données projet'!$B$10,Paramètres!$A$1:$I$89,5,0)</f>
        <v>1.5429577615577727E-13</v>
      </c>
      <c r="AK88" s="14">
        <f t="shared" si="89"/>
        <v>2.2038482767263348E-12</v>
      </c>
      <c r="AL88" s="22">
        <f t="shared" si="58"/>
        <v>4.107100892103012E-12</v>
      </c>
      <c r="AM88" s="62">
        <f t="shared" si="59"/>
        <v>293.33333333333741</v>
      </c>
      <c r="AN88" s="62">
        <f ca="1">AVERAGE(OFFSET($AM$3,0,0,'Données projet'!$E$10+1,1))-AVERAGE(OFFSET($H$3,0,0,'Données projet'!$E$10+1,1))</f>
        <v>395.97781616920071</v>
      </c>
      <c r="AO88" s="62">
        <f t="shared" si="90"/>
        <v>554.05128015315631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27.884575198194522</v>
      </c>
      <c r="AV88" s="23">
        <f>EXP(-LN(2)/25)*AV87+(1-EXP(-LN(2)/25))/(LN(2)/25)*Calculateur!AQ88*Calculateur!AS88*VLOOKUP('Données projet'!$B$10,Paramètres!$A$1:$I$89,3,0)*0.475*44/12</f>
        <v>6.7439712087974497</v>
      </c>
      <c r="AW88" s="23">
        <f>EXP(-LN(2)/2)*AW87+(1-EXP(-LN(2)/2))/(LN(2)/2)*AQ88*AT88*VLOOKUP('Données projet'!$B$10,Paramètres!$A$1:$I$89,3,0)*0.475*44/12</f>
        <v>2.784409314141802E-5</v>
      </c>
      <c r="AX88" s="23">
        <f t="shared" si="60"/>
        <v>34.628574251085112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72.393882557915504</v>
      </c>
      <c r="T89" s="62">
        <f t="shared" si="88"/>
        <v>321.03333748974029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24.251827086943052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24.251827086943052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1.7053025658242404E-13</v>
      </c>
      <c r="AJ89" s="14">
        <f>AI89*VLOOKUP('Données projet'!$B$10,Paramètres!$A$1:$I$89,3,0)*VLOOKUP('Données projet'!$B$10,Paramètres!$A$1:$I$89,5,0)</f>
        <v>1.5429577615577727E-13</v>
      </c>
      <c r="AK89" s="14">
        <f t="shared" si="89"/>
        <v>2.2038482767263348E-12</v>
      </c>
      <c r="AL89" s="22">
        <f t="shared" si="58"/>
        <v>4.107100892103012E-12</v>
      </c>
      <c r="AM89" s="62">
        <f t="shared" si="59"/>
        <v>293.33333333333741</v>
      </c>
      <c r="AN89" s="62">
        <f ca="1">AVERAGE(OFFSET($AM$3,0,0,'Données projet'!$E$10+1,1))-AVERAGE(OFFSET($H$3,0,0,'Données projet'!$E$10+1,1))</f>
        <v>395.97781616920071</v>
      </c>
      <c r="AO89" s="62">
        <f t="shared" si="90"/>
        <v>554.05128015315631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27.337775686469406</v>
      </c>
      <c r="AV89" s="23">
        <f>EXP(-LN(2)/25)*AV88+(1-EXP(-LN(2)/25))/(LN(2)/25)*Calculateur!AQ89*Calculateur!AS89*VLOOKUP('Données projet'!$B$10,Paramètres!$A$1:$I$89,3,0)*0.475*44/12</f>
        <v>6.5595569614428513</v>
      </c>
      <c r="AW89" s="23">
        <f>EXP(-LN(2)/2)*AW88+(1-EXP(-LN(2)/2))/(LN(2)/2)*AQ89*AT89*VLOOKUP('Données projet'!$B$10,Paramètres!$A$1:$I$89,3,0)*0.475*44/12</f>
        <v>1.968874707628652E-5</v>
      </c>
      <c r="AX89" s="23">
        <f t="shared" si="60"/>
        <v>33.897352336659331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72.393882557915504</v>
      </c>
      <c r="T90" s="62">
        <f t="shared" si="88"/>
        <v>321.03333748974029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23.776263549922017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23.776263549922017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1.7053025658242404E-13</v>
      </c>
      <c r="AJ90" s="14">
        <f>AI90*VLOOKUP('Données projet'!$B$10,Paramètres!$A$1:$I$89,3,0)*VLOOKUP('Données projet'!$B$10,Paramètres!$A$1:$I$89,5,0)</f>
        <v>1.5429577615577727E-13</v>
      </c>
      <c r="AK90" s="14">
        <f t="shared" si="89"/>
        <v>2.2038482767263348E-12</v>
      </c>
      <c r="AL90" s="22">
        <f t="shared" si="58"/>
        <v>4.107100892103012E-12</v>
      </c>
      <c r="AM90" s="62">
        <f t="shared" si="59"/>
        <v>293.33333333333741</v>
      </c>
      <c r="AN90" s="62">
        <f ca="1">AVERAGE(OFFSET($AM$3,0,0,'Données projet'!$E$10+1,1))-AVERAGE(OFFSET($H$3,0,0,'Données projet'!$E$10+1,1))</f>
        <v>395.97781616920071</v>
      </c>
      <c r="AO90" s="62">
        <f t="shared" si="90"/>
        <v>554.05128015315631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26.801698579654449</v>
      </c>
      <c r="AV90" s="23">
        <f>EXP(-LN(2)/25)*AV89+(1-EXP(-LN(2)/25))/(LN(2)/25)*Calculateur!AQ90*Calculateur!AS90*VLOOKUP('Données projet'!$B$10,Paramètres!$A$1:$I$89,3,0)*0.475*44/12</f>
        <v>6.3801855313800884</v>
      </c>
      <c r="AW90" s="23">
        <f>EXP(-LN(2)/2)*AW89+(1-EXP(-LN(2)/2))/(LN(2)/2)*AQ90*AT90*VLOOKUP('Données projet'!$B$10,Paramètres!$A$1:$I$89,3,0)*0.475*44/12</f>
        <v>1.392204657070901E-5</v>
      </c>
      <c r="AX90" s="23">
        <f t="shared" si="60"/>
        <v>33.181898033081104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72.393882557915504</v>
      </c>
      <c r="T91" s="62">
        <f t="shared" si="88"/>
        <v>321.03333748974029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23.310025523796849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23.310025523796849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1.7053025658242404E-13</v>
      </c>
      <c r="AJ91" s="14">
        <f>AI91*VLOOKUP('Données projet'!$B$10,Paramètres!$A$1:$I$89,3,0)*VLOOKUP('Données projet'!$B$10,Paramètres!$A$1:$I$89,5,0)</f>
        <v>1.5429577615577727E-13</v>
      </c>
      <c r="AK91" s="14">
        <f t="shared" si="89"/>
        <v>2.2038482767263348E-12</v>
      </c>
      <c r="AL91" s="22">
        <f t="shared" si="58"/>
        <v>4.107100892103012E-12</v>
      </c>
      <c r="AM91" s="62">
        <f t="shared" si="59"/>
        <v>293.33333333333741</v>
      </c>
      <c r="AN91" s="62">
        <f ca="1">AVERAGE(OFFSET($AM$3,0,0,'Données projet'!$E$10+1,1))-AVERAGE(OFFSET($H$3,0,0,'Données projet'!$E$10+1,1))</f>
        <v>395.97781616920071</v>
      </c>
      <c r="AO91" s="62">
        <f t="shared" si="90"/>
        <v>554.05128015315631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26.276133617929386</v>
      </c>
      <c r="AV91" s="23">
        <f>EXP(-LN(2)/25)*AV90+(1-EXP(-LN(2)/25))/(LN(2)/25)*Calculateur!AQ91*Calculateur!AS91*VLOOKUP('Données projet'!$B$10,Paramètres!$A$1:$I$89,3,0)*0.475*44/12</f>
        <v>6.2057190225051251</v>
      </c>
      <c r="AW91" s="23">
        <f>EXP(-LN(2)/2)*AW90+(1-EXP(-LN(2)/2))/(LN(2)/2)*AQ91*AT91*VLOOKUP('Données projet'!$B$10,Paramètres!$A$1:$I$89,3,0)*0.475*44/12</f>
        <v>9.84437353814326E-6</v>
      </c>
      <c r="AX91" s="23">
        <f t="shared" si="60"/>
        <v>32.481862484808047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72.393882557915504</v>
      </c>
      <c r="T92" s="62">
        <f t="shared" si="88"/>
        <v>321.03333748974029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22.852930140986881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22.852930140986881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1.7053025658242404E-13</v>
      </c>
      <c r="AJ92" s="14">
        <f>AI92*VLOOKUP('Données projet'!$B$10,Paramètres!$A$1:$I$89,3,0)*VLOOKUP('Données projet'!$B$10,Paramètres!$A$1:$I$89,5,0)</f>
        <v>1.5429577615577727E-13</v>
      </c>
      <c r="AK92" s="14">
        <f t="shared" si="89"/>
        <v>2.2038482767263348E-12</v>
      </c>
      <c r="AL92" s="22">
        <f t="shared" si="58"/>
        <v>4.107100892103012E-12</v>
      </c>
      <c r="AM92" s="62">
        <f t="shared" si="59"/>
        <v>293.33333333333741</v>
      </c>
      <c r="AN92" s="62">
        <f ca="1">AVERAGE(OFFSET($AM$3,0,0,'Données projet'!$E$10+1,1))-AVERAGE(OFFSET($H$3,0,0,'Données projet'!$E$10+1,1))</f>
        <v>395.97781616920071</v>
      </c>
      <c r="AO92" s="62">
        <f t="shared" si="90"/>
        <v>554.05128015315631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25.760874664540776</v>
      </c>
      <c r="AV92" s="23">
        <f>EXP(-LN(2)/25)*AV91+(1-EXP(-LN(2)/25))/(LN(2)/25)*Calculateur!AQ92*Calculateur!AS92*VLOOKUP('Données projet'!$B$10,Paramètres!$A$1:$I$89,3,0)*0.475*44/12</f>
        <v>6.0360233094901421</v>
      </c>
      <c r="AW92" s="23">
        <f>EXP(-LN(2)/2)*AW91+(1-EXP(-LN(2)/2))/(LN(2)/2)*AQ92*AT92*VLOOKUP('Données projet'!$B$10,Paramètres!$A$1:$I$89,3,0)*0.475*44/12</f>
        <v>6.9610232853545049E-6</v>
      </c>
      <c r="AX92" s="23">
        <f t="shared" si="60"/>
        <v>31.796904935054204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72.393882557915504</v>
      </c>
      <c r="T93" s="62">
        <f t="shared" si="88"/>
        <v>321.03333748974029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22.40479811983316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22.40479811983316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1.7053025658242404E-13</v>
      </c>
      <c r="AJ93" s="14">
        <f>AI93*VLOOKUP('Données projet'!$B$10,Paramètres!$A$1:$I$89,3,0)*VLOOKUP('Données projet'!$B$10,Paramètres!$A$1:$I$89,5,0)</f>
        <v>1.5429577615577727E-13</v>
      </c>
      <c r="AK93" s="14">
        <f t="shared" si="89"/>
        <v>2.2038482767263348E-12</v>
      </c>
      <c r="AL93" s="22">
        <f t="shared" si="58"/>
        <v>4.107100892103012E-12</v>
      </c>
      <c r="AM93" s="62">
        <f t="shared" si="59"/>
        <v>293.33333333333741</v>
      </c>
      <c r="AN93" s="62">
        <f ca="1">AVERAGE(OFFSET($AM$3,0,0,'Données projet'!$E$10+1,1))-AVERAGE(OFFSET($H$3,0,0,'Données projet'!$E$10+1,1))</f>
        <v>395.97781616920071</v>
      </c>
      <c r="AO93" s="62">
        <f t="shared" si="90"/>
        <v>554.05128015315631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25.255719624951187</v>
      </c>
      <c r="AV93" s="23">
        <f>EXP(-LN(2)/25)*AV92+(1-EXP(-LN(2)/25))/(LN(2)/25)*Calculateur!AQ93*Calculateur!AS93*VLOOKUP('Données projet'!$B$10,Paramètres!$A$1:$I$89,3,0)*0.475*44/12</f>
        <v>5.8709679346714641</v>
      </c>
      <c r="AW93" s="23">
        <f>EXP(-LN(2)/2)*AW92+(1-EXP(-LN(2)/2))/(LN(2)/2)*AQ93*AT93*VLOOKUP('Données projet'!$B$10,Paramètres!$A$1:$I$89,3,0)*0.475*44/12</f>
        <v>4.92218676907163E-6</v>
      </c>
      <c r="AX93" s="23">
        <f t="shared" si="60"/>
        <v>31.126692481809421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72.393882557915504</v>
      </c>
      <c r="T94" s="62">
        <f t="shared" si="88"/>
        <v>321.03333748974029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21.965453694280722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21.965453694280722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1.7053025658242404E-13</v>
      </c>
      <c r="AJ94" s="14">
        <f>AI94*VLOOKUP('Données projet'!$B$10,Paramètres!$A$1:$I$89,3,0)*VLOOKUP('Données projet'!$B$10,Paramètres!$A$1:$I$89,5,0)</f>
        <v>1.5429577615577727E-13</v>
      </c>
      <c r="AK94" s="14">
        <f t="shared" si="89"/>
        <v>2.2038482767263348E-12</v>
      </c>
      <c r="AL94" s="22">
        <f t="shared" si="58"/>
        <v>4.107100892103012E-12</v>
      </c>
      <c r="AM94" s="62">
        <f t="shared" si="59"/>
        <v>293.33333333333741</v>
      </c>
      <c r="AN94" s="62">
        <f ca="1">AVERAGE(OFFSET($AM$3,0,0,'Données projet'!$E$10+1,1))-AVERAGE(OFFSET($H$3,0,0,'Données projet'!$E$10+1,1))</f>
        <v>395.97781616920071</v>
      </c>
      <c r="AO94" s="62">
        <f t="shared" si="90"/>
        <v>554.05128015315631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24.760470367573799</v>
      </c>
      <c r="AV94" s="23">
        <f>EXP(-LN(2)/25)*AV93+(1-EXP(-LN(2)/25))/(LN(2)/25)*Calculateur!AQ94*Calculateur!AS94*VLOOKUP('Données projet'!$B$10,Paramètres!$A$1:$I$89,3,0)*0.475*44/12</f>
        <v>5.7104260077570874</v>
      </c>
      <c r="AW94" s="23">
        <f>EXP(-LN(2)/2)*AW93+(1-EXP(-LN(2)/2))/(LN(2)/2)*AQ94*AT94*VLOOKUP('Données projet'!$B$10,Paramètres!$A$1:$I$89,3,0)*0.475*44/12</f>
        <v>3.4805116426772524E-6</v>
      </c>
      <c r="AX94" s="23">
        <f t="shared" si="60"/>
        <v>30.470899855842532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72.393882557915504</v>
      </c>
      <c r="T95" s="62">
        <f t="shared" si="88"/>
        <v>321.03333748974029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21.534724544939728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21.534724544939728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1.7053025658242404E-13</v>
      </c>
      <c r="AJ95" s="14">
        <f>AI95*VLOOKUP('Données projet'!$B$10,Paramètres!$A$1:$I$89,3,0)*VLOOKUP('Données projet'!$B$10,Paramètres!$A$1:$I$89,5,0)</f>
        <v>1.5429577615577727E-13</v>
      </c>
      <c r="AK95" s="14">
        <f t="shared" si="89"/>
        <v>2.2038482767263348E-12</v>
      </c>
      <c r="AL95" s="22">
        <f t="shared" si="58"/>
        <v>4.107100892103012E-12</v>
      </c>
      <c r="AM95" s="62">
        <f t="shared" si="59"/>
        <v>293.33333333333741</v>
      </c>
      <c r="AN95" s="62">
        <f ca="1">AVERAGE(OFFSET($AM$3,0,0,'Données projet'!$E$10+1,1))-AVERAGE(OFFSET($H$3,0,0,'Données projet'!$E$10+1,1))</f>
        <v>395.97781616920071</v>
      </c>
      <c r="AO95" s="62">
        <f t="shared" si="90"/>
        <v>554.05128015315631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24.274932646061362</v>
      </c>
      <c r="AV95" s="23">
        <f>EXP(-LN(2)/25)*AV94+(1-EXP(-LN(2)/25))/(LN(2)/25)*Calculateur!AQ95*Calculateur!AS95*VLOOKUP('Données projet'!$B$10,Paramètres!$A$1:$I$89,3,0)*0.475*44/12</f>
        <v>5.5542741082767177</v>
      </c>
      <c r="AW95" s="23">
        <f>EXP(-LN(2)/2)*AW94+(1-EXP(-LN(2)/2))/(LN(2)/2)*AQ95*AT95*VLOOKUP('Données projet'!$B$10,Paramètres!$A$1:$I$89,3,0)*0.475*44/12</f>
        <v>2.461093384535815E-6</v>
      </c>
      <c r="AX95" s="23">
        <f t="shared" si="60"/>
        <v>29.829209215431465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72.393882557915504</v>
      </c>
      <c r="T96" s="62">
        <f t="shared" si="88"/>
        <v>321.03333748974029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21.112441731498471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21.112441731498471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1.7053025658242404E-13</v>
      </c>
      <c r="AJ96" s="14">
        <f>AI96*VLOOKUP('Données projet'!$B$10,Paramètres!$A$1:$I$89,3,0)*VLOOKUP('Données projet'!$B$10,Paramètres!$A$1:$I$89,5,0)</f>
        <v>1.5429577615577727E-13</v>
      </c>
      <c r="AK96" s="14">
        <f t="shared" si="89"/>
        <v>2.2038482767263348E-12</v>
      </c>
      <c r="AL96" s="22">
        <f t="shared" si="58"/>
        <v>4.107100892103012E-12</v>
      </c>
      <c r="AM96" s="62">
        <f t="shared" si="59"/>
        <v>293.33333333333741</v>
      </c>
      <c r="AN96" s="62">
        <f ca="1">AVERAGE(OFFSET($AM$3,0,0,'Données projet'!$E$10+1,1))-AVERAGE(OFFSET($H$3,0,0,'Données projet'!$E$10+1,1))</f>
        <v>395.97781616920071</v>
      </c>
      <c r="AO96" s="62">
        <f t="shared" si="90"/>
        <v>554.05128015315631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23.798916023119016</v>
      </c>
      <c r="AV96" s="23">
        <f>EXP(-LN(2)/25)*AV95+(1-EXP(-LN(2)/25))/(LN(2)/25)*Calculateur!AQ96*Calculateur!AS96*VLOOKUP('Données projet'!$B$10,Paramètres!$A$1:$I$89,3,0)*0.475*44/12</f>
        <v>5.4023921906993104</v>
      </c>
      <c r="AW96" s="23">
        <f>EXP(-LN(2)/2)*AW95+(1-EXP(-LN(2)/2))/(LN(2)/2)*AQ96*AT96*VLOOKUP('Données projet'!$B$10,Paramètres!$A$1:$I$89,3,0)*0.475*44/12</f>
        <v>1.7402558213386262E-6</v>
      </c>
      <c r="AX96" s="23">
        <f t="shared" si="60"/>
        <v>29.201309954074148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72.393882557915504</v>
      </c>
      <c r="T97" s="62">
        <f t="shared" si="88"/>
        <v>321.03333748974029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20.698439626461713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20.698439626461713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1.7053025658242404E-13</v>
      </c>
      <c r="AJ97" s="14">
        <f>AI97*VLOOKUP('Données projet'!$B$10,Paramètres!$A$1:$I$89,3,0)*VLOOKUP('Données projet'!$B$10,Paramètres!$A$1:$I$89,5,0)</f>
        <v>1.5429577615577727E-13</v>
      </c>
      <c r="AK97" s="14">
        <f t="shared" si="89"/>
        <v>2.2038482767263348E-12</v>
      </c>
      <c r="AL97" s="22">
        <f t="shared" si="58"/>
        <v>4.107100892103012E-12</v>
      </c>
      <c r="AM97" s="62">
        <f t="shared" si="59"/>
        <v>293.33333333333741</v>
      </c>
      <c r="AN97" s="62">
        <f ca="1">AVERAGE(OFFSET($AM$3,0,0,'Données projet'!$E$10+1,1))-AVERAGE(OFFSET($H$3,0,0,'Données projet'!$E$10+1,1))</f>
        <v>395.97781616920071</v>
      </c>
      <c r="AO97" s="62">
        <f t="shared" si="90"/>
        <v>554.05128015315631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23.332233795811099</v>
      </c>
      <c r="AV97" s="23">
        <f>EXP(-LN(2)/25)*AV96+(1-EXP(-LN(2)/25))/(LN(2)/25)*Calculateur!AQ97*Calculateur!AS97*VLOOKUP('Données projet'!$B$10,Paramètres!$A$1:$I$89,3,0)*0.475*44/12</f>
        <v>5.2546634921451796</v>
      </c>
      <c r="AW97" s="23">
        <f>EXP(-LN(2)/2)*AW96+(1-EXP(-LN(2)/2))/(LN(2)/2)*AQ97*AT97*VLOOKUP('Données projet'!$B$10,Paramètres!$A$1:$I$89,3,0)*0.475*44/12</f>
        <v>1.2305466922679075E-6</v>
      </c>
      <c r="AX97" s="23">
        <f t="shared" si="60"/>
        <v>28.586898518502974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72.393882557915504</v>
      </c>
      <c r="T98" s="62">
        <f t="shared" si="88"/>
        <v>321.03333748974029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20.292555850188375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20.292555850188375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1.7053025658242404E-13</v>
      </c>
      <c r="AJ98" s="14">
        <f>AI98*VLOOKUP('Données projet'!$B$10,Paramètres!$A$1:$I$89,3,0)*VLOOKUP('Données projet'!$B$10,Paramètres!$A$1:$I$89,5,0)</f>
        <v>1.5429577615577727E-13</v>
      </c>
      <c r="AK98" s="14">
        <f t="shared" si="89"/>
        <v>2.2038482767263348E-12</v>
      </c>
      <c r="AL98" s="22">
        <f t="shared" si="58"/>
        <v>4.107100892103012E-12</v>
      </c>
      <c r="AM98" s="62">
        <f t="shared" si="59"/>
        <v>293.33333333333741</v>
      </c>
      <c r="AN98" s="62">
        <f ca="1">AVERAGE(OFFSET($AM$3,0,0,'Données projet'!$E$10+1,1))-AVERAGE(OFFSET($H$3,0,0,'Données projet'!$E$10+1,1))</f>
        <v>395.97781616920071</v>
      </c>
      <c r="AO98" s="62">
        <f t="shared" si="90"/>
        <v>554.05128015315631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22.874702922332638</v>
      </c>
      <c r="AV98" s="23">
        <f>EXP(-LN(2)/25)*AV97+(1-EXP(-LN(2)/25))/(LN(2)/25)*Calculateur!AQ98*Calculateur!AS98*VLOOKUP('Données projet'!$B$10,Paramètres!$A$1:$I$89,3,0)*0.475*44/12</f>
        <v>5.1109744426217265</v>
      </c>
      <c r="AW98" s="23">
        <f>EXP(-LN(2)/2)*AW97+(1-EXP(-LN(2)/2))/(LN(2)/2)*AQ98*AT98*VLOOKUP('Données projet'!$B$10,Paramètres!$A$1:$I$89,3,0)*0.475*44/12</f>
        <v>8.7012791066931311E-7</v>
      </c>
      <c r="AX98" s="23">
        <f t="shared" si="60"/>
        <v>27.985678235082272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72.393882557915504</v>
      </c>
      <c r="T99" s="62">
        <f t="shared" si="88"/>
        <v>321.03333748974029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19.894631207203098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19.894631207203098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1.7053025658242404E-13</v>
      </c>
      <c r="AJ99" s="14">
        <f>AI99*VLOOKUP('Données projet'!$B$10,Paramètres!$A$1:$I$89,3,0)*VLOOKUP('Données projet'!$B$10,Paramètres!$A$1:$I$89,5,0)</f>
        <v>1.5429577615577727E-13</v>
      </c>
      <c r="AK99" s="14">
        <f t="shared" si="89"/>
        <v>2.2038482767263348E-12</v>
      </c>
      <c r="AL99" s="22">
        <f t="shared" si="58"/>
        <v>4.107100892103012E-12</v>
      </c>
      <c r="AM99" s="62">
        <f t="shared" si="59"/>
        <v>293.33333333333741</v>
      </c>
      <c r="AN99" s="62">
        <f ca="1">AVERAGE(OFFSET($AM$3,0,0,'Données projet'!$E$10+1,1))-AVERAGE(OFFSET($H$3,0,0,'Données projet'!$E$10+1,1))</f>
        <v>395.97781616920071</v>
      </c>
      <c r="AO99" s="62">
        <f t="shared" si="90"/>
        <v>554.05128015315631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22.426143950216812</v>
      </c>
      <c r="AV99" s="23">
        <f>EXP(-LN(2)/25)*AV98+(1-EXP(-LN(2)/25))/(LN(2)/25)*Calculateur!AQ99*Calculateur!AS99*VLOOKUP('Données projet'!$B$10,Paramètres!$A$1:$I$89,3,0)*0.475*44/12</f>
        <v>4.9712145777137708</v>
      </c>
      <c r="AW99" s="23">
        <f>EXP(-LN(2)/2)*AW98+(1-EXP(-LN(2)/2))/(LN(2)/2)*AQ99*AT99*VLOOKUP('Données projet'!$B$10,Paramètres!$A$1:$I$89,3,0)*0.475*44/12</f>
        <v>6.1527334613395375E-7</v>
      </c>
      <c r="AX99" s="23">
        <f t="shared" si="60"/>
        <v>27.397359143203929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72.393882557915504</v>
      </c>
      <c r="T100" s="62">
        <f t="shared" si="88"/>
        <v>321.03333748974029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19.504509623756697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19.504509623756697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1.7053025658242404E-13</v>
      </c>
      <c r="AJ100" s="14">
        <f>AI100*VLOOKUP('Données projet'!$B$10,Paramètres!$A$1:$I$89,3,0)*VLOOKUP('Données projet'!$B$10,Paramètres!$A$1:$I$89,5,0)</f>
        <v>1.5429577615577727E-13</v>
      </c>
      <c r="AK100" s="14">
        <f t="shared" si="89"/>
        <v>2.2038482767263348E-12</v>
      </c>
      <c r="AL100" s="22">
        <f t="shared" si="58"/>
        <v>4.107100892103012E-12</v>
      </c>
      <c r="AM100" s="62">
        <f t="shared" si="59"/>
        <v>293.33333333333741</v>
      </c>
      <c r="AN100" s="62">
        <f ca="1">AVERAGE(OFFSET($AM$3,0,0,'Données projet'!$E$10+1,1))-AVERAGE(OFFSET($H$3,0,0,'Données projet'!$E$10+1,1))</f>
        <v>395.97781616920071</v>
      </c>
      <c r="AO100" s="62">
        <f t="shared" si="90"/>
        <v>554.05128015315631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21.98638094595022</v>
      </c>
      <c r="AV100" s="23">
        <f>EXP(-LN(2)/25)*AV99+(1-EXP(-LN(2)/25))/(LN(2)/25)*Calculateur!AQ100*Calculateur!AS100*VLOOKUP('Données projet'!$B$10,Paramètres!$A$1:$I$89,3,0)*0.475*44/12</f>
        <v>4.8352764536613746</v>
      </c>
      <c r="AW100" s="23">
        <f>EXP(-LN(2)/2)*AW99+(1-EXP(-LN(2)/2))/(LN(2)/2)*AQ100*AT100*VLOOKUP('Données projet'!$B$10,Paramètres!$A$1:$I$89,3,0)*0.475*44/12</f>
        <v>4.3506395533465656E-7</v>
      </c>
      <c r="AX100" s="23">
        <f t="shared" si="60"/>
        <v>26.821657834675552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72.393882557915504</v>
      </c>
      <c r="T101" s="62">
        <f t="shared" si="88"/>
        <v>321.03333748974029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19.12203808661101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19.12203808661101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1.7053025658242404E-13</v>
      </c>
      <c r="AJ101" s="14">
        <f>AI101*VLOOKUP('Données projet'!$B$10,Paramètres!$A$1:$I$89,3,0)*VLOOKUP('Données projet'!$B$10,Paramètres!$A$1:$I$89,5,0)</f>
        <v>1.5429577615577727E-13</v>
      </c>
      <c r="AK101" s="14">
        <f t="shared" si="89"/>
        <v>2.2038482767263348E-12</v>
      </c>
      <c r="AL101" s="22">
        <f t="shared" si="58"/>
        <v>4.107100892103012E-12</v>
      </c>
      <c r="AM101" s="62">
        <f t="shared" si="59"/>
        <v>293.33333333333741</v>
      </c>
      <c r="AN101" s="62">
        <f ca="1">AVERAGE(OFFSET($AM$3,0,0,'Données projet'!$E$10+1,1))-AVERAGE(OFFSET($H$3,0,0,'Données projet'!$E$10+1,1))</f>
        <v>395.97781616920071</v>
      </c>
      <c r="AO101" s="62">
        <f t="shared" si="90"/>
        <v>554.05128015315631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21.555241425968351</v>
      </c>
      <c r="AV101" s="23">
        <f>EXP(-LN(2)/25)*AV100+(1-EXP(-LN(2)/25))/(LN(2)/25)*Calculateur!AQ101*Calculateur!AS101*VLOOKUP('Données projet'!$B$10,Paramètres!$A$1:$I$89,3,0)*0.475*44/12</f>
        <v>4.7030555647598664</v>
      </c>
      <c r="AW101" s="23">
        <f>EXP(-LN(2)/2)*AW100+(1-EXP(-LN(2)/2))/(LN(2)/2)*AQ101*AT101*VLOOKUP('Données projet'!$B$10,Paramètres!$A$1:$I$89,3,0)*0.475*44/12</f>
        <v>3.0763667306697688E-7</v>
      </c>
      <c r="AX101" s="23">
        <f t="shared" si="60"/>
        <v>26.258297298364891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72.393882557915504</v>
      </c>
      <c r="T102" s="62">
        <f t="shared" si="88"/>
        <v>321.03333748974029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18.747066583024147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18.747066583024147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1.7053025658242404E-13</v>
      </c>
      <c r="AJ102" s="14">
        <f>AI102*VLOOKUP('Données projet'!$B$10,Paramètres!$A$1:$I$89,3,0)*VLOOKUP('Données projet'!$B$10,Paramètres!$A$1:$I$89,5,0)</f>
        <v>1.5429577615577727E-13</v>
      </c>
      <c r="AK102" s="14">
        <f t="shared" si="89"/>
        <v>2.2038482767263348E-12</v>
      </c>
      <c r="AL102" s="22">
        <f t="shared" si="58"/>
        <v>4.107100892103012E-12</v>
      </c>
      <c r="AM102" s="62">
        <f t="shared" si="59"/>
        <v>293.33333333333741</v>
      </c>
      <c r="AN102" s="62">
        <f ca="1">AVERAGE(OFFSET($AM$3,0,0,'Données projet'!$E$10+1,1))-AVERAGE(OFFSET($H$3,0,0,'Données projet'!$E$10+1,1))</f>
        <v>395.97781616920071</v>
      </c>
      <c r="AO102" s="62">
        <f t="shared" si="90"/>
        <v>554.05128015315631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21.132556289004185</v>
      </c>
      <c r="AV102" s="23">
        <f>EXP(-LN(2)/25)*AV101+(1-EXP(-LN(2)/25))/(LN(2)/25)*Calculateur!AQ102*Calculateur!AS102*VLOOKUP('Données projet'!$B$10,Paramètres!$A$1:$I$89,3,0)*0.475*44/12</f>
        <v>4.5744502630185648</v>
      </c>
      <c r="AW102" s="23">
        <f>EXP(-LN(2)/2)*AW101+(1-EXP(-LN(2)/2))/(LN(2)/2)*AQ102*AT102*VLOOKUP('Données projet'!$B$10,Paramètres!$A$1:$I$89,3,0)*0.475*44/12</f>
        <v>2.1753197766732828E-7</v>
      </c>
      <c r="AX102" s="23">
        <f t="shared" si="60"/>
        <v>25.707006769554727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72.393882557915504</v>
      </c>
      <c r="T103" s="62">
        <f t="shared" si="88"/>
        <v>321.03333748974029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18.379448041912589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18.379448041912589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1.7053025658242404E-13</v>
      </c>
      <c r="AJ103" s="14">
        <f>AI103*VLOOKUP('Données projet'!$B$10,Paramètres!$A$1:$I$89,3,0)*VLOOKUP('Données projet'!$B$10,Paramètres!$A$1:$I$89,5,0)</f>
        <v>1.5429577615577727E-13</v>
      </c>
      <c r="AK103" s="14">
        <f t="shared" si="89"/>
        <v>2.2038482767263348E-12</v>
      </c>
      <c r="AL103" s="22">
        <f t="shared" si="58"/>
        <v>4.107100892103012E-12</v>
      </c>
      <c r="AM103" s="62">
        <f t="shared" si="59"/>
        <v>293.33333333333741</v>
      </c>
      <c r="AN103" s="62">
        <f ca="1">AVERAGE(OFFSET($AM$3,0,0,'Données projet'!$E$10+1,1))-AVERAGE(OFFSET($H$3,0,0,'Données projet'!$E$10+1,1))</f>
        <v>395.97781616920071</v>
      </c>
      <c r="AO103" s="62">
        <f t="shared" si="90"/>
        <v>554.05128015315631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20.718159749763409</v>
      </c>
      <c r="AV103" s="23">
        <f>EXP(-LN(2)/25)*AV102+(1-EXP(-LN(2)/25))/(LN(2)/25)*Calculateur!AQ103*Calculateur!AS103*VLOOKUP('Données projet'!$B$10,Paramètres!$A$1:$I$89,3,0)*0.475*44/12</f>
        <v>4.4493616800164375</v>
      </c>
      <c r="AW103" s="23">
        <f>EXP(-LN(2)/2)*AW102+(1-EXP(-LN(2)/2))/(LN(2)/2)*AQ103*AT103*VLOOKUP('Données projet'!$B$10,Paramètres!$A$1:$I$89,3,0)*0.475*44/12</f>
        <v>1.5381833653348844E-7</v>
      </c>
      <c r="AX103" s="23">
        <f t="shared" si="60"/>
        <v>25.167521583598184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72.393882557915504</v>
      </c>
      <c r="T104" s="62">
        <f t="shared" si="88"/>
        <v>321.03333748974029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18.019038276167059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18.019038276167059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1.7053025658242404E-13</v>
      </c>
      <c r="AJ104" s="14">
        <f>AI104*VLOOKUP('Données projet'!$B$10,Paramètres!$A$1:$I$89,3,0)*VLOOKUP('Données projet'!$B$10,Paramètres!$A$1:$I$89,5,0)</f>
        <v>1.5429577615577727E-13</v>
      </c>
      <c r="AK104" s="14">
        <f t="shared" si="89"/>
        <v>2.2038482767263348E-12</v>
      </c>
      <c r="AL104" s="22">
        <f t="shared" si="58"/>
        <v>4.107100892103012E-12</v>
      </c>
      <c r="AM104" s="62">
        <f t="shared" si="59"/>
        <v>293.33333333333741</v>
      </c>
      <c r="AN104" s="62">
        <f ca="1">AVERAGE(OFFSET($AM$3,0,0,'Données projet'!$E$10+1,1))-AVERAGE(OFFSET($H$3,0,0,'Données projet'!$E$10+1,1))</f>
        <v>395.97781616920071</v>
      </c>
      <c r="AO104" s="62">
        <f t="shared" si="90"/>
        <v>554.05128015315631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20.311889273900213</v>
      </c>
      <c r="AV104" s="23">
        <f>EXP(-LN(2)/25)*AV103+(1-EXP(-LN(2)/25))/(LN(2)/25)*Calculateur!AQ104*Calculateur!AS104*VLOOKUP('Données projet'!$B$10,Paramètres!$A$1:$I$89,3,0)*0.475*44/12</f>
        <v>4.3276936508946262</v>
      </c>
      <c r="AW104" s="23">
        <f>EXP(-LN(2)/2)*AW103+(1-EXP(-LN(2)/2))/(LN(2)/2)*AQ104*AT104*VLOOKUP('Données projet'!$B$10,Paramètres!$A$1:$I$89,3,0)*0.475*44/12</f>
        <v>1.0876598883366414E-7</v>
      </c>
      <c r="AX104" s="23">
        <f t="shared" si="60"/>
        <v>24.639583033560829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72.393882557915504</v>
      </c>
      <c r="T105" s="62">
        <f t="shared" si="88"/>
        <v>321.03333748974029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17.665695926099549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17.665695926099549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1.7053025658242404E-13</v>
      </c>
      <c r="AJ105" s="14">
        <f>AI105*VLOOKUP('Données projet'!$B$10,Paramètres!$A$1:$I$89,3,0)*VLOOKUP('Données projet'!$B$10,Paramètres!$A$1:$I$89,5,0)</f>
        <v>1.5429577615577727E-13</v>
      </c>
      <c r="AK105" s="14">
        <f t="shared" si="89"/>
        <v>2.2038482767263348E-12</v>
      </c>
      <c r="AL105" s="22">
        <f t="shared" si="58"/>
        <v>4.107100892103012E-12</v>
      </c>
      <c r="AM105" s="62">
        <f t="shared" si="59"/>
        <v>293.33333333333741</v>
      </c>
      <c r="AN105" s="62">
        <f ca="1">AVERAGE(OFFSET($AM$3,0,0,'Données projet'!$E$10+1,1))-AVERAGE(OFFSET($H$3,0,0,'Données projet'!$E$10+1,1))</f>
        <v>395.97781616920071</v>
      </c>
      <c r="AO105" s="62">
        <f t="shared" si="90"/>
        <v>554.05128015315631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19.913585514268171</v>
      </c>
      <c r="AV105" s="23">
        <f>EXP(-LN(2)/25)*AV104+(1-EXP(-LN(2)/25))/(LN(2)/25)*Calculateur!AQ105*Calculateur!AS105*VLOOKUP('Données projet'!$B$10,Paramètres!$A$1:$I$89,3,0)*0.475*44/12</f>
        <v>4.2093526404273947</v>
      </c>
      <c r="AW105" s="23">
        <f>EXP(-LN(2)/2)*AW104+(1-EXP(-LN(2)/2))/(LN(2)/2)*AQ105*AT105*VLOOKUP('Données projet'!$B$10,Paramètres!$A$1:$I$89,3,0)*0.475*44/12</f>
        <v>7.6909168266744219E-8</v>
      </c>
      <c r="AX105" s="23">
        <f t="shared" si="60"/>
        <v>24.122938231604731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72.393882557915504</v>
      </c>
      <c r="T106" s="62">
        <f t="shared" si="88"/>
        <v>321.03333748974029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17.319282403999306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17.319282403999306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1.7053025658242404E-13</v>
      </c>
      <c r="AJ106" s="14">
        <f>AI106*VLOOKUP('Données projet'!$B$10,Paramètres!$A$1:$I$89,3,0)*VLOOKUP('Données projet'!$B$10,Paramètres!$A$1:$I$89,5,0)</f>
        <v>1.5429577615577727E-13</v>
      </c>
      <c r="AK106" s="14">
        <f t="shared" si="89"/>
        <v>2.2038482767263348E-12</v>
      </c>
      <c r="AL106" s="22">
        <f t="shared" si="58"/>
        <v>4.107100892103012E-12</v>
      </c>
      <c r="AM106" s="62">
        <f t="shared" si="59"/>
        <v>293.33333333333741</v>
      </c>
      <c r="AN106" s="62">
        <f ca="1">AVERAGE(OFFSET($AM$3,0,0,'Données projet'!$E$10+1,1))-AVERAGE(OFFSET($H$3,0,0,'Données projet'!$E$10+1,1))</f>
        <v>395.97781616920071</v>
      </c>
      <c r="AO106" s="62">
        <f t="shared" si="90"/>
        <v>554.05128015315631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19.523092248421207</v>
      </c>
      <c r="AV106" s="23">
        <f>EXP(-LN(2)/25)*AV105+(1-EXP(-LN(2)/25))/(LN(2)/25)*Calculateur!AQ106*Calculateur!AS106*VLOOKUP('Données projet'!$B$10,Paramètres!$A$1:$I$89,3,0)*0.475*44/12</f>
        <v>4.0942476711146725</v>
      </c>
      <c r="AW106" s="23">
        <f>EXP(-LN(2)/2)*AW105+(1-EXP(-LN(2)/2))/(LN(2)/2)*AQ106*AT106*VLOOKUP('Données projet'!$B$10,Paramètres!$A$1:$I$89,3,0)*0.475*44/12</f>
        <v>5.438299441683207E-8</v>
      </c>
      <c r="AX106" s="23">
        <f t="shared" si="60"/>
        <v>23.617339973918874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72.393882557915504</v>
      </c>
      <c r="T107" s="62">
        <f t="shared" si="88"/>
        <v>321.03333748974029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16.979661839776067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16.979661839776067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1.7053025658242404E-13</v>
      </c>
      <c r="AJ107" s="14">
        <f>AI107*VLOOKUP('Données projet'!$B$10,Paramètres!$A$1:$I$89,3,0)*VLOOKUP('Données projet'!$B$10,Paramètres!$A$1:$I$89,5,0)</f>
        <v>1.5429577615577727E-13</v>
      </c>
      <c r="AK107" s="14">
        <f t="shared" si="89"/>
        <v>2.2038482767263348E-12</v>
      </c>
      <c r="AL107" s="22">
        <f t="shared" si="58"/>
        <v>4.107100892103012E-12</v>
      </c>
      <c r="AM107" s="62">
        <f t="shared" si="59"/>
        <v>293.33333333333741</v>
      </c>
      <c r="AN107" s="62">
        <f ca="1">AVERAGE(OFFSET($AM$3,0,0,'Données projet'!$E$10+1,1))-AVERAGE(OFFSET($H$3,0,0,'Données projet'!$E$10+1,1))</f>
        <v>395.97781616920071</v>
      </c>
      <c r="AO107" s="62">
        <f t="shared" si="90"/>
        <v>554.05128015315631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19.140256317340132</v>
      </c>
      <c r="AV107" s="23">
        <f>EXP(-LN(2)/25)*AV106+(1-EXP(-LN(2)/25))/(LN(2)/25)*Calculateur!AQ107*Calculateur!AS107*VLOOKUP('Données projet'!$B$10,Paramètres!$A$1:$I$89,3,0)*0.475*44/12</f>
        <v>3.9822902532409143</v>
      </c>
      <c r="AW107" s="23">
        <f>EXP(-LN(2)/2)*AW106+(1-EXP(-LN(2)/2))/(LN(2)/2)*AQ107*AT107*VLOOKUP('Données projet'!$B$10,Paramètres!$A$1:$I$89,3,0)*0.475*44/12</f>
        <v>3.8454584133372109E-8</v>
      </c>
      <c r="AX107" s="23">
        <f t="shared" si="60"/>
        <v>23.122546609035631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72.393882557915504</v>
      </c>
      <c r="T108" s="62">
        <f t="shared" si="88"/>
        <v>321.03333748974029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16.646701027669156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16.646701027669156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1.7053025658242404E-13</v>
      </c>
      <c r="AJ108" s="14">
        <f>AI108*VLOOKUP('Données projet'!$B$10,Paramètres!$A$1:$I$89,3,0)*VLOOKUP('Données projet'!$B$10,Paramètres!$A$1:$I$89,5,0)</f>
        <v>1.5429577615577727E-13</v>
      </c>
      <c r="AK108" s="14">
        <f t="shared" si="89"/>
        <v>2.2038482767263348E-12</v>
      </c>
      <c r="AL108" s="22">
        <f t="shared" si="58"/>
        <v>4.107100892103012E-12</v>
      </c>
      <c r="AM108" s="62">
        <f t="shared" si="59"/>
        <v>293.33333333333741</v>
      </c>
      <c r="AN108" s="62">
        <f ca="1">AVERAGE(OFFSET($AM$3,0,0,'Données projet'!$E$10+1,1))-AVERAGE(OFFSET($H$3,0,0,'Données projet'!$E$10+1,1))</f>
        <v>395.97781616920071</v>
      </c>
      <c r="AO108" s="62">
        <f t="shared" si="90"/>
        <v>554.05128015315631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18.764927565360694</v>
      </c>
      <c r="AV108" s="23">
        <f>EXP(-LN(2)/25)*AV107+(1-EXP(-LN(2)/25))/(LN(2)/25)*Calculateur!AQ108*Calculateur!AS108*VLOOKUP('Données projet'!$B$10,Paramètres!$A$1:$I$89,3,0)*0.475*44/12</f>
        <v>3.8733943168464986</v>
      </c>
      <c r="AW108" s="23">
        <f>EXP(-LN(2)/2)*AW107+(1-EXP(-LN(2)/2))/(LN(2)/2)*AQ108*AT108*VLOOKUP('Données projet'!$B$10,Paramètres!$A$1:$I$89,3,0)*0.475*44/12</f>
        <v>2.7191497208416035E-8</v>
      </c>
      <c r="AX108" s="23">
        <f t="shared" si="60"/>
        <v>22.638321909398691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72.393882557915504</v>
      </c>
      <c r="T109" s="62">
        <f t="shared" si="88"/>
        <v>321.03333748974029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16.320269374001619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16.320269374001619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1.7053025658242404E-13</v>
      </c>
      <c r="AJ109" s="14">
        <f>AI109*VLOOKUP('Données projet'!$B$10,Paramètres!$A$1:$I$89,3,0)*VLOOKUP('Données projet'!$B$10,Paramètres!$A$1:$I$89,5,0)</f>
        <v>1.5429577615577727E-13</v>
      </c>
      <c r="AK109" s="14">
        <f t="shared" si="89"/>
        <v>2.2038482767263348E-12</v>
      </c>
      <c r="AL109" s="22">
        <f t="shared" si="58"/>
        <v>4.107100892103012E-12</v>
      </c>
      <c r="AM109" s="62">
        <f t="shared" si="59"/>
        <v>293.33333333333741</v>
      </c>
      <c r="AN109" s="62">
        <f ca="1">AVERAGE(OFFSET($AM$3,0,0,'Données projet'!$E$10+1,1))-AVERAGE(OFFSET($H$3,0,0,'Données projet'!$E$10+1,1))</f>
        <v>395.97781616920071</v>
      </c>
      <c r="AO109" s="62">
        <f t="shared" si="90"/>
        <v>554.05128015315631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18.39695878127964</v>
      </c>
      <c r="AV109" s="23">
        <f>EXP(-LN(2)/25)*AV108+(1-EXP(-LN(2)/25))/(LN(2)/25)*Calculateur!AQ109*Calculateur!AS109*VLOOKUP('Données projet'!$B$10,Paramètres!$A$1:$I$89,3,0)*0.475*44/12</f>
        <v>3.7674761455593768</v>
      </c>
      <c r="AW109" s="23">
        <f>EXP(-LN(2)/2)*AW108+(1-EXP(-LN(2)/2))/(LN(2)/2)*AQ109*AT109*VLOOKUP('Données projet'!$B$10,Paramètres!$A$1:$I$89,3,0)*0.475*44/12</f>
        <v>1.9227292066686055E-8</v>
      </c>
      <c r="AX109" s="23">
        <f t="shared" si="60"/>
        <v>22.164434946066311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72.393882557915504</v>
      </c>
      <c r="T110" s="62">
        <f t="shared" si="88"/>
        <v>321.03333748974029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16.000238845958851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16.000238845958851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1.7053025658242404E-13</v>
      </c>
      <c r="AJ110" s="14">
        <f>AI110*VLOOKUP('Données projet'!$B$10,Paramètres!$A$1:$I$89,3,0)*VLOOKUP('Données projet'!$B$10,Paramètres!$A$1:$I$89,5,0)</f>
        <v>1.5429577615577727E-13</v>
      </c>
      <c r="AK110" s="14">
        <f t="shared" si="89"/>
        <v>2.2038482767263348E-12</v>
      </c>
      <c r="AL110" s="22">
        <f t="shared" si="58"/>
        <v>4.107100892103012E-12</v>
      </c>
      <c r="AM110" s="62">
        <f t="shared" si="59"/>
        <v>293.33333333333741</v>
      </c>
      <c r="AN110" s="62">
        <f ca="1">AVERAGE(OFFSET($AM$3,0,0,'Données projet'!$E$10+1,1))-AVERAGE(OFFSET($H$3,0,0,'Données projet'!$E$10+1,1))</f>
        <v>395.97781616920071</v>
      </c>
      <c r="AO110" s="62">
        <f t="shared" si="90"/>
        <v>554.05128015315631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18.036205640615616</v>
      </c>
      <c r="AV110" s="23">
        <f>EXP(-LN(2)/25)*AV109+(1-EXP(-LN(2)/25))/(LN(2)/25)*Calculateur!AQ110*Calculateur!AS110*VLOOKUP('Données projet'!$B$10,Paramètres!$A$1:$I$89,3,0)*0.475*44/12</f>
        <v>3.6644543122360957</v>
      </c>
      <c r="AW110" s="23">
        <f>EXP(-LN(2)/2)*AW109+(1-EXP(-LN(2)/2))/(LN(2)/2)*AQ110*AT110*VLOOKUP('Données projet'!$B$10,Paramètres!$A$1:$I$89,3,0)*0.475*44/12</f>
        <v>1.3595748604208017E-8</v>
      </c>
      <c r="AX110" s="23">
        <f t="shared" si="60"/>
        <v>21.700659966447461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72.393882557915504</v>
      </c>
      <c r="T111" s="62">
        <f t="shared" si="88"/>
        <v>321.03333748974029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15.686483921371655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15.686483921371655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1.7053025658242404E-13</v>
      </c>
      <c r="AJ111" s="14">
        <f>AI111*VLOOKUP('Données projet'!$B$10,Paramètres!$A$1:$I$89,3,0)*VLOOKUP('Données projet'!$B$10,Paramètres!$A$1:$I$89,5,0)</f>
        <v>1.5429577615577727E-13</v>
      </c>
      <c r="AK111" s="14">
        <f t="shared" si="89"/>
        <v>2.2038482767263348E-12</v>
      </c>
      <c r="AL111" s="22">
        <f t="shared" si="58"/>
        <v>4.107100892103012E-12</v>
      </c>
      <c r="AM111" s="62">
        <f t="shared" si="59"/>
        <v>293.33333333333741</v>
      </c>
      <c r="AN111" s="62">
        <f ca="1">AVERAGE(OFFSET($AM$3,0,0,'Données projet'!$E$10+1,1))-AVERAGE(OFFSET($H$3,0,0,'Données projet'!$E$10+1,1))</f>
        <v>395.97781616920071</v>
      </c>
      <c r="AO111" s="62">
        <f t="shared" si="90"/>
        <v>554.05128015315631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17.682526649002327</v>
      </c>
      <c r="AV111" s="23">
        <f>EXP(-LN(2)/25)*AV110+(1-EXP(-LN(2)/25))/(LN(2)/25)*Calculateur!AQ111*Calculateur!AS111*VLOOKUP('Données projet'!$B$10,Paramètres!$A$1:$I$89,3,0)*0.475*44/12</f>
        <v>3.5642496163627229</v>
      </c>
      <c r="AW111" s="23">
        <f>EXP(-LN(2)/2)*AW110+(1-EXP(-LN(2)/2))/(LN(2)/2)*AQ111*AT111*VLOOKUP('Données projet'!$B$10,Paramètres!$A$1:$I$89,3,0)*0.475*44/12</f>
        <v>9.6136460333430274E-9</v>
      </c>
      <c r="AX111" s="23">
        <f t="shared" si="60"/>
        <v>21.246776274978696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72.393882557915504</v>
      </c>
      <c r="T112" s="62">
        <f t="shared" si="88"/>
        <v>321.03333748974029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15.378881539484006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15.378881539484006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1.7053025658242404E-13</v>
      </c>
      <c r="AJ112" s="14">
        <f>AI112*VLOOKUP('Données projet'!$B$10,Paramètres!$A$1:$I$89,3,0)*VLOOKUP('Données projet'!$B$10,Paramètres!$A$1:$I$89,5,0)</f>
        <v>1.5429577615577727E-13</v>
      </c>
      <c r="AK112" s="14">
        <f t="shared" si="89"/>
        <v>2.2038482767263348E-12</v>
      </c>
      <c r="AL112" s="22">
        <f t="shared" si="58"/>
        <v>4.107100892103012E-12</v>
      </c>
      <c r="AM112" s="62">
        <f t="shared" si="59"/>
        <v>293.33333333333741</v>
      </c>
      <c r="AN112" s="62">
        <f ca="1">AVERAGE(OFFSET($AM$3,0,0,'Données projet'!$E$10+1,1))-AVERAGE(OFFSET($H$3,0,0,'Données projet'!$E$10+1,1))</f>
        <v>395.97781616920071</v>
      </c>
      <c r="AO112" s="62">
        <f t="shared" si="90"/>
        <v>554.05128015315631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17.335783086691688</v>
      </c>
      <c r="AV112" s="23">
        <f>EXP(-LN(2)/25)*AV111+(1-EXP(-LN(2)/25))/(LN(2)/25)*Calculateur!AQ112*Calculateur!AS112*VLOOKUP('Données projet'!$B$10,Paramètres!$A$1:$I$89,3,0)*0.475*44/12</f>
        <v>3.4667850231675432</v>
      </c>
      <c r="AW112" s="23">
        <f>EXP(-LN(2)/2)*AW111+(1-EXP(-LN(2)/2))/(LN(2)/2)*AQ112*AT112*VLOOKUP('Données projet'!$B$10,Paramètres!$A$1:$I$89,3,0)*0.475*44/12</f>
        <v>6.7978743021040087E-9</v>
      </c>
      <c r="AX112" s="23">
        <f t="shared" si="60"/>
        <v>20.802568116657106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72.393882557915504</v>
      </c>
      <c r="T113" s="62">
        <f t="shared" si="88"/>
        <v>321.03333748974029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15.077311052686246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15.077311052686246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1.7053025658242404E-13</v>
      </c>
      <c r="AJ113" s="14">
        <f>AI113*VLOOKUP('Données projet'!$B$10,Paramètres!$A$1:$I$89,3,0)*VLOOKUP('Données projet'!$B$10,Paramètres!$A$1:$I$89,5,0)</f>
        <v>1.5429577615577727E-13</v>
      </c>
      <c r="AK113" s="14">
        <f t="shared" si="89"/>
        <v>2.2038482767263348E-12</v>
      </c>
      <c r="AL113" s="22">
        <f t="shared" si="58"/>
        <v>4.107100892103012E-12</v>
      </c>
      <c r="AM113" s="62">
        <f t="shared" si="59"/>
        <v>293.33333333333741</v>
      </c>
      <c r="AN113" s="62">
        <f ca="1">AVERAGE(OFFSET($AM$3,0,0,'Données projet'!$E$10+1,1))-AVERAGE(OFFSET($H$3,0,0,'Données projet'!$E$10+1,1))</f>
        <v>395.97781616920071</v>
      </c>
      <c r="AO113" s="62">
        <f t="shared" si="90"/>
        <v>554.05128015315631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16.995838954145274</v>
      </c>
      <c r="AV113" s="23">
        <f>EXP(-LN(2)/25)*AV112+(1-EXP(-LN(2)/25))/(LN(2)/25)*Calculateur!AQ113*Calculateur!AS113*VLOOKUP('Données projet'!$B$10,Paramètres!$A$1:$I$89,3,0)*0.475*44/12</f>
        <v>3.3719856043987257</v>
      </c>
      <c r="AW113" s="23">
        <f>EXP(-LN(2)/2)*AW112+(1-EXP(-LN(2)/2))/(LN(2)/2)*AQ113*AT113*VLOOKUP('Données projet'!$B$10,Paramètres!$A$1:$I$89,3,0)*0.475*44/12</f>
        <v>4.8068230166715137E-9</v>
      </c>
      <c r="AX113" s="23">
        <f t="shared" si="60"/>
        <v>20.367824563350823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72.393882557915504</v>
      </c>
      <c r="T114" s="62">
        <f t="shared" si="88"/>
        <v>321.03333748974029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14.781654179194756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14.781654179194756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1.7053025658242404E-13</v>
      </c>
      <c r="AJ114" s="14">
        <f>AI114*VLOOKUP('Données projet'!$B$10,Paramètres!$A$1:$I$89,3,0)*VLOOKUP('Données projet'!$B$10,Paramètres!$A$1:$I$89,5,0)</f>
        <v>1.5429577615577727E-13</v>
      </c>
      <c r="AK114" s="14">
        <f t="shared" si="89"/>
        <v>2.2038482767263348E-12</v>
      </c>
      <c r="AL114" s="22">
        <f t="shared" si="58"/>
        <v>4.107100892103012E-12</v>
      </c>
      <c r="AM114" s="62">
        <f t="shared" si="59"/>
        <v>293.33333333333741</v>
      </c>
      <c r="AN114" s="62">
        <f ca="1">AVERAGE(OFFSET($AM$3,0,0,'Données projet'!$E$10+1,1))-AVERAGE(OFFSET($H$3,0,0,'Données projet'!$E$10+1,1))</f>
        <v>395.97781616920071</v>
      </c>
      <c r="AO114" s="62">
        <f t="shared" si="90"/>
        <v>554.05128015315631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16.662560918692645</v>
      </c>
      <c r="AV114" s="23">
        <f>EXP(-LN(2)/25)*AV113+(1-EXP(-LN(2)/25))/(LN(2)/25)*Calculateur!AQ114*Calculateur!AS114*VLOOKUP('Données projet'!$B$10,Paramètres!$A$1:$I$89,3,0)*0.475*44/12</f>
        <v>3.2797784807214265</v>
      </c>
      <c r="AW114" s="23">
        <f>EXP(-LN(2)/2)*AW113+(1-EXP(-LN(2)/2))/(LN(2)/2)*AQ114*AT114*VLOOKUP('Données projet'!$B$10,Paramètres!$A$1:$I$89,3,0)*0.475*44/12</f>
        <v>3.3989371510520043E-9</v>
      </c>
      <c r="AX114" s="23">
        <f t="shared" si="60"/>
        <v>19.942339402813008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72.393882557915504</v>
      </c>
      <c r="T115" s="62">
        <f t="shared" si="88"/>
        <v>321.03333748974029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14.491794956659549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14.491794956659549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1.7053025658242404E-13</v>
      </c>
      <c r="AJ115" s="14">
        <f>AI115*VLOOKUP('Données projet'!$B$10,Paramètres!$A$1:$I$89,3,0)*VLOOKUP('Données projet'!$B$10,Paramètres!$A$1:$I$89,5,0)</f>
        <v>1.5429577615577727E-13</v>
      </c>
      <c r="AK115" s="14">
        <f t="shared" si="89"/>
        <v>2.2038482767263348E-12</v>
      </c>
      <c r="AL115" s="22">
        <f t="shared" si="58"/>
        <v>4.107100892103012E-12</v>
      </c>
      <c r="AM115" s="62">
        <f t="shared" si="59"/>
        <v>293.33333333333741</v>
      </c>
      <c r="AN115" s="62">
        <f ca="1">AVERAGE(OFFSET($AM$3,0,0,'Données projet'!$E$10+1,1))-AVERAGE(OFFSET($H$3,0,0,'Données projet'!$E$10+1,1))</f>
        <v>395.97781616920071</v>
      </c>
      <c r="AO115" s="62">
        <f t="shared" si="90"/>
        <v>554.05128015315631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16.335818262235712</v>
      </c>
      <c r="AV115" s="23">
        <f>EXP(-LN(2)/25)*AV114+(1-EXP(-LN(2)/25))/(LN(2)/25)*Calculateur!AQ115*Calculateur!AS115*VLOOKUP('Données projet'!$B$10,Paramètres!$A$1:$I$89,3,0)*0.475*44/12</f>
        <v>3.1900927656900451</v>
      </c>
      <c r="AW115" s="23">
        <f>EXP(-LN(2)/2)*AW114+(1-EXP(-LN(2)/2))/(LN(2)/2)*AQ115*AT115*VLOOKUP('Données projet'!$B$10,Paramètres!$A$1:$I$89,3,0)*0.475*44/12</f>
        <v>2.4034115083357568E-9</v>
      </c>
      <c r="AX115" s="23">
        <f t="shared" si="60"/>
        <v>19.525911030329169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72.393882557915504</v>
      </c>
      <c r="T116" s="62">
        <f t="shared" si="88"/>
        <v>321.03333748974029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14.207619696681588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14.207619696681588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1.7053025658242404E-13</v>
      </c>
      <c r="AJ116" s="14">
        <f>AI116*VLOOKUP('Données projet'!$B$10,Paramètres!$A$1:$I$89,3,0)*VLOOKUP('Données projet'!$B$10,Paramètres!$A$1:$I$89,5,0)</f>
        <v>1.5429577615577727E-13</v>
      </c>
      <c r="AK116" s="14">
        <f t="shared" si="89"/>
        <v>2.2038482767263348E-12</v>
      </c>
      <c r="AL116" s="22">
        <f t="shared" si="58"/>
        <v>4.107100892103012E-12</v>
      </c>
      <c r="AM116" s="62">
        <f t="shared" si="59"/>
        <v>293.33333333333741</v>
      </c>
      <c r="AN116" s="62">
        <f ca="1">AVERAGE(OFFSET($AM$3,0,0,'Données projet'!$E$10+1,1))-AVERAGE(OFFSET($H$3,0,0,'Données projet'!$E$10+1,1))</f>
        <v>395.97781616920071</v>
      </c>
      <c r="AO116" s="62">
        <f t="shared" si="90"/>
        <v>554.05128015315631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16.015482829978559</v>
      </c>
      <c r="AV116" s="23">
        <f>EXP(-LN(2)/25)*AV115+(1-EXP(-LN(2)/25))/(LN(2)/25)*Calculateur!AQ116*Calculateur!AS116*VLOOKUP('Données projet'!$B$10,Paramètres!$A$1:$I$89,3,0)*0.475*44/12</f>
        <v>3.1028595112525634</v>
      </c>
      <c r="AW116" s="23">
        <f>EXP(-LN(2)/2)*AW115+(1-EXP(-LN(2)/2))/(LN(2)/2)*AQ116*AT116*VLOOKUP('Données projet'!$B$10,Paramètres!$A$1:$I$89,3,0)*0.475*44/12</f>
        <v>1.6994685755260022E-9</v>
      </c>
      <c r="AX116" s="23">
        <f t="shared" si="60"/>
        <v>19.118342342930593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72.393882557915504</v>
      </c>
      <c r="T117" s="62">
        <f t="shared" si="88"/>
        <v>321.03333748974029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13.929016940222001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13.929016940222001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1.7053025658242404E-13</v>
      </c>
      <c r="AJ117" s="14">
        <f>AI117*VLOOKUP('Données projet'!$B$10,Paramètres!$A$1:$I$89,3,0)*VLOOKUP('Données projet'!$B$10,Paramètres!$A$1:$I$89,5,0)</f>
        <v>1.5429577615577727E-13</v>
      </c>
      <c r="AK117" s="14">
        <f t="shared" si="89"/>
        <v>2.2038482767263348E-12</v>
      </c>
      <c r="AL117" s="22">
        <f t="shared" si="58"/>
        <v>4.107100892103012E-12</v>
      </c>
      <c r="AM117" s="62">
        <f t="shared" si="59"/>
        <v>293.33333333333741</v>
      </c>
      <c r="AN117" s="62">
        <f ca="1">AVERAGE(OFFSET($AM$3,0,0,'Données projet'!$E$10+1,1))-AVERAGE(OFFSET($H$3,0,0,'Données projet'!$E$10+1,1))</f>
        <v>395.97781616920071</v>
      </c>
      <c r="AO117" s="62">
        <f t="shared" si="90"/>
        <v>554.05128015315631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15.701428980162648</v>
      </c>
      <c r="AV117" s="23">
        <f>EXP(-LN(2)/25)*AV116+(1-EXP(-LN(2)/25))/(LN(2)/25)*Calculateur!AQ117*Calculateur!AS117*VLOOKUP('Données projet'!$B$10,Paramètres!$A$1:$I$89,3,0)*0.475*44/12</f>
        <v>3.0180116547450719</v>
      </c>
      <c r="AW117" s="23">
        <f>EXP(-LN(2)/2)*AW116+(1-EXP(-LN(2)/2))/(LN(2)/2)*AQ117*AT117*VLOOKUP('Données projet'!$B$10,Paramètres!$A$1:$I$89,3,0)*0.475*44/12</f>
        <v>1.2017057541678784E-9</v>
      </c>
      <c r="AX117" s="23">
        <f t="shared" si="60"/>
        <v>18.719440636109425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72.393882557915504</v>
      </c>
      <c r="T118" s="62">
        <f t="shared" si="88"/>
        <v>321.03333748974029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13.655877413885683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13.655877413885683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1.7053025658242404E-13</v>
      </c>
      <c r="AJ118" s="14">
        <f>AI118*VLOOKUP('Données projet'!$B$10,Paramètres!$A$1:$I$89,3,0)*VLOOKUP('Données projet'!$B$10,Paramètres!$A$1:$I$89,5,0)</f>
        <v>1.5429577615577727E-13</v>
      </c>
      <c r="AK118" s="14">
        <f t="shared" si="89"/>
        <v>2.2038482767263348E-12</v>
      </c>
      <c r="AL118" s="22">
        <f t="shared" si="58"/>
        <v>4.107100892103012E-12</v>
      </c>
      <c r="AM118" s="62">
        <f t="shared" si="59"/>
        <v>293.33333333333741</v>
      </c>
      <c r="AN118" s="62">
        <f ca="1">AVERAGE(OFFSET($AM$3,0,0,'Données projet'!$E$10+1,1))-AVERAGE(OFFSET($H$3,0,0,'Données projet'!$E$10+1,1))</f>
        <v>395.97781616920071</v>
      </c>
      <c r="AO118" s="62">
        <f t="shared" si="90"/>
        <v>554.05128015315631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15.393533534787693</v>
      </c>
      <c r="AV118" s="23">
        <f>EXP(-LN(2)/25)*AV117+(1-EXP(-LN(2)/25))/(LN(2)/25)*Calculateur!AQ118*Calculateur!AS118*VLOOKUP('Données projet'!$B$10,Paramètres!$A$1:$I$89,3,0)*0.475*44/12</f>
        <v>2.9354839673357329</v>
      </c>
      <c r="AW118" s="23">
        <f>EXP(-LN(2)/2)*AW117+(1-EXP(-LN(2)/2))/(LN(2)/2)*AQ118*AT118*VLOOKUP('Données projet'!$B$10,Paramètres!$A$1:$I$89,3,0)*0.475*44/12</f>
        <v>8.4973428776300109E-10</v>
      </c>
      <c r="AX118" s="23">
        <f t="shared" si="60"/>
        <v>18.329017502973162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72.393882557915504</v>
      </c>
      <c r="T119" s="62">
        <f t="shared" si="88"/>
        <v>321.03333748974029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13.388093987062161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13.388093987062161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1.7053025658242404E-13</v>
      </c>
      <c r="AJ119" s="14">
        <f>AI119*VLOOKUP('Données projet'!$B$10,Paramètres!$A$1:$I$89,3,0)*VLOOKUP('Données projet'!$B$10,Paramètres!$A$1:$I$89,5,0)</f>
        <v>1.5429577615577727E-13</v>
      </c>
      <c r="AK119" s="14">
        <f t="shared" si="89"/>
        <v>2.2038482767263348E-12</v>
      </c>
      <c r="AL119" s="22">
        <f t="shared" si="58"/>
        <v>4.107100892103012E-12</v>
      </c>
      <c r="AM119" s="62">
        <f t="shared" si="59"/>
        <v>293.33333333333741</v>
      </c>
      <c r="AN119" s="62">
        <f ca="1">AVERAGE(OFFSET($AM$3,0,0,'Données projet'!$E$10+1,1))-AVERAGE(OFFSET($H$3,0,0,'Données projet'!$E$10+1,1))</f>
        <v>395.97781616920071</v>
      </c>
      <c r="AO119" s="62">
        <f t="shared" si="90"/>
        <v>554.05128015315631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15.091675731298864</v>
      </c>
      <c r="AV119" s="23">
        <f>EXP(-LN(2)/25)*AV118+(1-EXP(-LN(2)/25))/(LN(2)/25)*Calculateur!AQ119*Calculateur!AS119*VLOOKUP('Données projet'!$B$10,Paramètres!$A$1:$I$89,3,0)*0.475*44/12</f>
        <v>2.8552130038785446</v>
      </c>
      <c r="AW119" s="23">
        <f>EXP(-LN(2)/2)*AW118+(1-EXP(-LN(2)/2))/(LN(2)/2)*AQ119*AT119*VLOOKUP('Données projet'!$B$10,Paramètres!$A$1:$I$89,3,0)*0.475*44/12</f>
        <v>6.0085287708393921E-10</v>
      </c>
      <c r="AX119" s="23">
        <f t="shared" si="60"/>
        <v>17.946888735778263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72.393882557915504</v>
      </c>
      <c r="T120" s="62">
        <f t="shared" si="88"/>
        <v>321.03333748974029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13.125561629906885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13.125561629906885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1.7053025658242404E-13</v>
      </c>
      <c r="AJ120" s="14">
        <f>AI120*VLOOKUP('Données projet'!$B$10,Paramètres!$A$1:$I$89,3,0)*VLOOKUP('Données projet'!$B$10,Paramètres!$A$1:$I$89,5,0)</f>
        <v>1.5429577615577727E-13</v>
      </c>
      <c r="AK120" s="14">
        <f t="shared" si="89"/>
        <v>2.2038482767263348E-12</v>
      </c>
      <c r="AL120" s="22">
        <f t="shared" si="58"/>
        <v>4.107100892103012E-12</v>
      </c>
      <c r="AM120" s="62">
        <f t="shared" si="59"/>
        <v>293.33333333333741</v>
      </c>
      <c r="AN120" s="62">
        <f ca="1">AVERAGE(OFFSET($AM$3,0,0,'Données projet'!$E$10+1,1))-AVERAGE(OFFSET($H$3,0,0,'Données projet'!$E$10+1,1))</f>
        <v>395.97781616920071</v>
      </c>
      <c r="AO120" s="62">
        <f t="shared" si="90"/>
        <v>554.05128015315631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14.795737175221369</v>
      </c>
      <c r="AV120" s="23">
        <f>EXP(-LN(2)/25)*AV119+(1-EXP(-LN(2)/25))/(LN(2)/25)*Calculateur!AQ120*Calculateur!AS120*VLOOKUP('Données projet'!$B$10,Paramètres!$A$1:$I$89,3,0)*0.475*44/12</f>
        <v>2.7771370541383598</v>
      </c>
      <c r="AW120" s="23">
        <f>EXP(-LN(2)/2)*AW119+(1-EXP(-LN(2)/2))/(LN(2)/2)*AQ120*AT120*VLOOKUP('Données projet'!$B$10,Paramètres!$A$1:$I$89,3,0)*0.475*44/12</f>
        <v>4.2486714388150054E-10</v>
      </c>
      <c r="AX120" s="23">
        <f t="shared" si="60"/>
        <v>17.572874229784595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72.393882557915504</v>
      </c>
      <c r="T121" s="62">
        <f t="shared" si="88"/>
        <v>321.03333748974029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12.868177372146498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12.868177372146498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1.7053025658242404E-13</v>
      </c>
      <c r="AJ121" s="14">
        <f>AI121*VLOOKUP('Données projet'!$B$10,Paramètres!$A$1:$I$89,3,0)*VLOOKUP('Données projet'!$B$10,Paramètres!$A$1:$I$89,5,0)</f>
        <v>1.5429577615577727E-13</v>
      </c>
      <c r="AK121" s="14">
        <f t="shared" si="89"/>
        <v>2.2038482767263348E-12</v>
      </c>
      <c r="AL121" s="22">
        <f t="shared" si="58"/>
        <v>4.107100892103012E-12</v>
      </c>
      <c r="AM121" s="62">
        <f t="shared" si="59"/>
        <v>293.33333333333741</v>
      </c>
      <c r="AN121" s="62">
        <f ca="1">AVERAGE(OFFSET($AM$3,0,0,'Données projet'!$E$10+1,1))-AVERAGE(OFFSET($H$3,0,0,'Données projet'!$E$10+1,1))</f>
        <v>395.97781616920071</v>
      </c>
      <c r="AO121" s="62">
        <f t="shared" si="90"/>
        <v>554.05128015315631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14.505601793723859</v>
      </c>
      <c r="AV121" s="23">
        <f>EXP(-LN(2)/25)*AV120+(1-EXP(-LN(2)/25))/(LN(2)/25)*Calculateur!AQ121*Calculateur!AS121*VLOOKUP('Données projet'!$B$10,Paramètres!$A$1:$I$89,3,0)*0.475*44/12</f>
        <v>2.7011960953496557</v>
      </c>
      <c r="AW121" s="23">
        <f>EXP(-LN(2)/2)*AW120+(1-EXP(-LN(2)/2))/(LN(2)/2)*AQ121*AT121*VLOOKUP('Données projet'!$B$10,Paramètres!$A$1:$I$89,3,0)*0.475*44/12</f>
        <v>3.0042643854196961E-10</v>
      </c>
      <c r="AX121" s="23">
        <f t="shared" si="60"/>
        <v>17.206797889373942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72.393882557915504</v>
      </c>
      <c r="T122" s="62">
        <f t="shared" si="88"/>
        <v>321.03333748974029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12.615840262691895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12.615840262691895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1.7053025658242404E-13</v>
      </c>
      <c r="AJ122" s="14">
        <f>AI122*VLOOKUP('Données projet'!$B$10,Paramètres!$A$1:$I$89,3,0)*VLOOKUP('Données projet'!$B$10,Paramètres!$A$1:$I$89,5,0)</f>
        <v>1.5429577615577727E-13</v>
      </c>
      <c r="AK122" s="14">
        <f t="shared" si="89"/>
        <v>2.2038482767263348E-12</v>
      </c>
      <c r="AL122" s="22">
        <f t="shared" si="58"/>
        <v>4.107100892103012E-12</v>
      </c>
      <c r="AM122" s="62">
        <f t="shared" si="59"/>
        <v>293.33333333333741</v>
      </c>
      <c r="AN122" s="62">
        <f ca="1">AVERAGE(OFFSET($AM$3,0,0,'Données projet'!$E$10+1,1))-AVERAGE(OFFSET($H$3,0,0,'Données projet'!$E$10+1,1))</f>
        <v>395.97781616920071</v>
      </c>
      <c r="AO122" s="62">
        <f t="shared" si="90"/>
        <v>554.05128015315631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14.221155790092405</v>
      </c>
      <c r="AV122" s="23">
        <f>EXP(-LN(2)/25)*AV121+(1-EXP(-LN(2)/25))/(LN(2)/25)*Calculateur!AQ122*Calculateur!AS122*VLOOKUP('Données projet'!$B$10,Paramètres!$A$1:$I$89,3,0)*0.475*44/12</f>
        <v>2.6273317460725902</v>
      </c>
      <c r="AW122" s="23">
        <f>EXP(-LN(2)/2)*AW121+(1-EXP(-LN(2)/2))/(LN(2)/2)*AQ122*AT122*VLOOKUP('Données projet'!$B$10,Paramètres!$A$1:$I$89,3,0)*0.475*44/12</f>
        <v>2.1243357194075027E-10</v>
      </c>
      <c r="AX122" s="23">
        <f t="shared" si="60"/>
        <v>16.84848753637743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72.393882557915504</v>
      </c>
      <c r="T123" s="62">
        <f t="shared" si="88"/>
        <v>321.03333748974029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12.368451330043259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12.368451330043259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1.7053025658242404E-13</v>
      </c>
      <c r="AJ123" s="14">
        <f>AI123*VLOOKUP('Données projet'!$B$10,Paramètres!$A$1:$I$89,3,0)*VLOOKUP('Données projet'!$B$10,Paramètres!$A$1:$I$89,5,0)</f>
        <v>1.5429577615577727E-13</v>
      </c>
      <c r="AK123" s="14">
        <f t="shared" si="89"/>
        <v>2.2038482767263348E-12</v>
      </c>
      <c r="AL123" s="22">
        <f t="shared" si="58"/>
        <v>4.107100892103012E-12</v>
      </c>
      <c r="AM123" s="62">
        <f t="shared" si="59"/>
        <v>293.33333333333741</v>
      </c>
      <c r="AN123" s="62">
        <f ca="1">AVERAGE(OFFSET($AM$3,0,0,'Données projet'!$E$10+1,1))-AVERAGE(OFFSET($H$3,0,0,'Données projet'!$E$10+1,1))</f>
        <v>395.97781616920071</v>
      </c>
      <c r="AO123" s="62">
        <f t="shared" si="90"/>
        <v>554.05128015315631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13.942287599097234</v>
      </c>
      <c r="AV123" s="23">
        <f>EXP(-LN(2)/25)*AV122+(1-EXP(-LN(2)/25))/(LN(2)/25)*Calculateur!AQ123*Calculateur!AS123*VLOOKUP('Données projet'!$B$10,Paramètres!$A$1:$I$89,3,0)*0.475*44/12</f>
        <v>2.5554872213108637</v>
      </c>
      <c r="AW123" s="23">
        <f>EXP(-LN(2)/2)*AW122+(1-EXP(-LN(2)/2))/(LN(2)/2)*AQ123*AT123*VLOOKUP('Données projet'!$B$10,Paramètres!$A$1:$I$89,3,0)*0.475*44/12</f>
        <v>1.502132192709848E-10</v>
      </c>
      <c r="AX123" s="23">
        <f t="shared" si="60"/>
        <v>16.497774820558309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72.393882557915504</v>
      </c>
      <c r="T124" s="62">
        <f t="shared" si="88"/>
        <v>321.03333748974029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12.125913543471512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12.125913543471512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1.7053025658242404E-13</v>
      </c>
      <c r="AJ124" s="14">
        <f>AI124*VLOOKUP('Données projet'!$B$10,Paramètres!$A$1:$I$89,3,0)*VLOOKUP('Données projet'!$B$10,Paramètres!$A$1:$I$89,5,0)</f>
        <v>1.5429577615577727E-13</v>
      </c>
      <c r="AK124" s="14">
        <f t="shared" si="89"/>
        <v>2.2038482767263348E-12</v>
      </c>
      <c r="AL124" s="22">
        <f t="shared" si="58"/>
        <v>4.107100892103012E-12</v>
      </c>
      <c r="AM124" s="62">
        <f t="shared" si="59"/>
        <v>293.33333333333741</v>
      </c>
      <c r="AN124" s="62">
        <f ca="1">AVERAGE(OFFSET($AM$3,0,0,'Données projet'!$E$10+1,1))-AVERAGE(OFFSET($H$3,0,0,'Données projet'!$E$10+1,1))</f>
        <v>395.97781616920071</v>
      </c>
      <c r="AO124" s="62">
        <f t="shared" si="90"/>
        <v>554.05128015315631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13.668887843234677</v>
      </c>
      <c r="AV124" s="23">
        <f>EXP(-LN(2)/25)*AV123+(1-EXP(-LN(2)/25))/(LN(2)/25)*Calculateur!AQ124*Calculateur!AS124*VLOOKUP('Données projet'!$B$10,Paramètres!$A$1:$I$89,3,0)*0.475*44/12</f>
        <v>2.4856072888568859</v>
      </c>
      <c r="AW124" s="23">
        <f>EXP(-LN(2)/2)*AW123+(1-EXP(-LN(2)/2))/(LN(2)/2)*AQ124*AT124*VLOOKUP('Données projet'!$B$10,Paramètres!$A$1:$I$89,3,0)*0.475*44/12</f>
        <v>1.0621678597037514E-10</v>
      </c>
      <c r="AX124" s="23">
        <f t="shared" si="60"/>
        <v>16.154495132197777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72.393882557915504</v>
      </c>
      <c r="T125" s="62">
        <f t="shared" si="88"/>
        <v>321.03333748974029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11.888131774960994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11.888131774960994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1.7053025658242404E-13</v>
      </c>
      <c r="AJ125" s="14">
        <f>AI125*VLOOKUP('Données projet'!$B$10,Paramètres!$A$1:$I$89,3,0)*VLOOKUP('Données projet'!$B$10,Paramètres!$A$1:$I$89,5,0)</f>
        <v>1.5429577615577727E-13</v>
      </c>
      <c r="AK125" s="14">
        <f t="shared" si="89"/>
        <v>2.2038482767263348E-12</v>
      </c>
      <c r="AL125" s="22">
        <f t="shared" si="58"/>
        <v>4.107100892103012E-12</v>
      </c>
      <c r="AM125" s="62">
        <f t="shared" si="59"/>
        <v>293.33333333333741</v>
      </c>
      <c r="AN125" s="62">
        <f ca="1">AVERAGE(OFFSET($AM$3,0,0,'Données projet'!$E$10+1,1))-AVERAGE(OFFSET($H$3,0,0,'Données projet'!$E$10+1,1))</f>
        <v>395.97781616920071</v>
      </c>
      <c r="AO125" s="62">
        <f t="shared" si="90"/>
        <v>554.05128015315631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13.4008492898272</v>
      </c>
      <c r="AV125" s="23">
        <f>EXP(-LN(2)/25)*AV124+(1-EXP(-LN(2)/25))/(LN(2)/25)*Calculateur!AQ125*Calculateur!AS125*VLOOKUP('Données projet'!$B$10,Paramètres!$A$1:$I$89,3,0)*0.475*44/12</f>
        <v>2.4176382268306877</v>
      </c>
      <c r="AW125" s="23">
        <f>EXP(-LN(2)/2)*AW124+(1-EXP(-LN(2)/2))/(LN(2)/2)*AQ125*AT125*VLOOKUP('Données projet'!$B$10,Paramètres!$A$1:$I$89,3,0)*0.475*44/12</f>
        <v>7.5106609635492401E-11</v>
      </c>
      <c r="AX125" s="23">
        <f t="shared" si="60"/>
        <v>15.818487516732993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72.393882557915504</v>
      </c>
      <c r="T126" s="62">
        <f t="shared" si="88"/>
        <v>321.03333748974029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11.65501276189841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11.65501276189841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1.7053025658242404E-13</v>
      </c>
      <c r="AJ126" s="14">
        <f>AI126*VLOOKUP('Données projet'!$B$10,Paramètres!$A$1:$I$89,3,0)*VLOOKUP('Données projet'!$B$10,Paramètres!$A$1:$I$89,5,0)</f>
        <v>1.5429577615577727E-13</v>
      </c>
      <c r="AK126" s="14">
        <f t="shared" si="89"/>
        <v>2.2038482767263348E-12</v>
      </c>
      <c r="AL126" s="22">
        <f t="shared" si="58"/>
        <v>4.107100892103012E-12</v>
      </c>
      <c r="AM126" s="62">
        <f t="shared" si="59"/>
        <v>293.33333333333741</v>
      </c>
      <c r="AN126" s="62">
        <f ca="1">AVERAGE(OFFSET($AM$3,0,0,'Données projet'!$E$10+1,1))-AVERAGE(OFFSET($H$3,0,0,'Données projet'!$E$10+1,1))</f>
        <v>395.97781616920071</v>
      </c>
      <c r="AO126" s="62">
        <f t="shared" si="90"/>
        <v>554.05128015315631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13.138066808964668</v>
      </c>
      <c r="AV126" s="23">
        <f>EXP(-LN(2)/25)*AV125+(1-EXP(-LN(2)/25))/(LN(2)/25)*Calculateur!AQ126*Calculateur!AS126*VLOOKUP('Données projet'!$B$10,Paramètres!$A$1:$I$89,3,0)*0.475*44/12</f>
        <v>2.3515277823799337</v>
      </c>
      <c r="AW126" s="23">
        <f>EXP(-LN(2)/2)*AW125+(1-EXP(-LN(2)/2))/(LN(2)/2)*AQ126*AT126*VLOOKUP('Données projet'!$B$10,Paramètres!$A$1:$I$89,3,0)*0.475*44/12</f>
        <v>5.3108392985187568E-11</v>
      </c>
      <c r="AX126" s="23">
        <f t="shared" si="60"/>
        <v>15.48959459139771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72.393882557915504</v>
      </c>
      <c r="T127" s="62">
        <f t="shared" si="88"/>
        <v>321.03333748974029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11.426465070493427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11.426465070493427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1.7053025658242404E-13</v>
      </c>
      <c r="AJ127" s="14">
        <f>AI127*VLOOKUP('Données projet'!$B$10,Paramètres!$A$1:$I$89,3,0)*VLOOKUP('Données projet'!$B$10,Paramètres!$A$1:$I$89,5,0)</f>
        <v>1.5429577615577727E-13</v>
      </c>
      <c r="AK127" s="14">
        <f t="shared" si="89"/>
        <v>2.2038482767263348E-12</v>
      </c>
      <c r="AL127" s="22">
        <f t="shared" si="58"/>
        <v>4.107100892103012E-12</v>
      </c>
      <c r="AM127" s="62">
        <f t="shared" si="59"/>
        <v>293.33333333333741</v>
      </c>
      <c r="AN127" s="62">
        <f ca="1">AVERAGE(OFFSET($AM$3,0,0,'Données projet'!$E$10+1,1))-AVERAGE(OFFSET($H$3,0,0,'Données projet'!$E$10+1,1))</f>
        <v>395.97781616920071</v>
      </c>
      <c r="AO127" s="62">
        <f t="shared" si="90"/>
        <v>554.05128015315631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12.880437332270365</v>
      </c>
      <c r="AV127" s="23">
        <f>EXP(-LN(2)/25)*AV126+(1-EXP(-LN(2)/25))/(LN(2)/25)*Calculateur!AQ127*Calculateur!AS127*VLOOKUP('Données projet'!$B$10,Paramètres!$A$1:$I$89,3,0)*0.475*44/12</f>
        <v>2.2872251315092829</v>
      </c>
      <c r="AW127" s="23">
        <f>EXP(-LN(2)/2)*AW126+(1-EXP(-LN(2)/2))/(LN(2)/2)*AQ127*AT127*VLOOKUP('Données projet'!$B$10,Paramètres!$A$1:$I$89,3,0)*0.475*44/12</f>
        <v>3.7553304817746201E-11</v>
      </c>
      <c r="AX127" s="23">
        <f t="shared" si="60"/>
        <v>15.167662463817202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72.393882557915504</v>
      </c>
      <c r="T128" s="62">
        <f t="shared" si="88"/>
        <v>321.03333748974029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11.202399059916567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11.202399059916567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1.7053025658242404E-13</v>
      </c>
      <c r="AJ128" s="14">
        <f>AI128*VLOOKUP('Données projet'!$B$10,Paramètres!$A$1:$I$89,3,0)*VLOOKUP('Données projet'!$B$10,Paramètres!$A$1:$I$89,5,0)</f>
        <v>1.5429577615577727E-13</v>
      </c>
      <c r="AK128" s="14">
        <f t="shared" si="89"/>
        <v>2.2038482767263348E-12</v>
      </c>
      <c r="AL128" s="22">
        <f t="shared" si="58"/>
        <v>4.107100892103012E-12</v>
      </c>
      <c r="AM128" s="62">
        <f t="shared" si="59"/>
        <v>293.33333333333741</v>
      </c>
      <c r="AN128" s="62">
        <f ca="1">AVERAGE(OFFSET($AM$3,0,0,'Données projet'!$E$10+1,1))-AVERAGE(OFFSET($H$3,0,0,'Données projet'!$E$10+1,1))</f>
        <v>395.97781616920071</v>
      </c>
      <c r="AO128" s="62">
        <f t="shared" si="90"/>
        <v>554.05128015315631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12.627859812475572</v>
      </c>
      <c r="AV128" s="23">
        <f>EXP(-LN(2)/25)*AV127+(1-EXP(-LN(2)/25))/(LN(2)/25)*Calculateur!AQ128*Calculateur!AS128*VLOOKUP('Données projet'!$B$10,Paramètres!$A$1:$I$89,3,0)*0.475*44/12</f>
        <v>2.2246808400082192</v>
      </c>
      <c r="AW128" s="23">
        <f>EXP(-LN(2)/2)*AW127+(1-EXP(-LN(2)/2))/(LN(2)/2)*AQ128*AT128*VLOOKUP('Données projet'!$B$10,Paramètres!$A$1:$I$89,3,0)*0.475*44/12</f>
        <v>2.6554196492593784E-11</v>
      </c>
      <c r="AX128" s="23">
        <f t="shared" si="60"/>
        <v>14.852540652510346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72.393882557915504</v>
      </c>
      <c r="T129" s="62">
        <f t="shared" si="88"/>
        <v>321.03333748974029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10.982726847140349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10.982726847140349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1.7053025658242404E-13</v>
      </c>
      <c r="AJ129" s="14">
        <f>AI129*VLOOKUP('Données projet'!$B$10,Paramètres!$A$1:$I$89,3,0)*VLOOKUP('Données projet'!$B$10,Paramètres!$A$1:$I$89,5,0)</f>
        <v>1.5429577615577727E-13</v>
      </c>
      <c r="AK129" s="14">
        <f t="shared" si="89"/>
        <v>2.2038482767263348E-12</v>
      </c>
      <c r="AL129" s="22">
        <f t="shared" si="58"/>
        <v>4.107100892103012E-12</v>
      </c>
      <c r="AM129" s="62">
        <f t="shared" si="59"/>
        <v>293.33333333333741</v>
      </c>
      <c r="AN129" s="62">
        <f ca="1">AVERAGE(OFFSET($AM$3,0,0,'Données projet'!$E$10+1,1))-AVERAGE(OFFSET($H$3,0,0,'Données projet'!$E$10+1,1))</f>
        <v>395.97781616920071</v>
      </c>
      <c r="AO129" s="62">
        <f t="shared" si="90"/>
        <v>554.05128015315631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12.38023518378688</v>
      </c>
      <c r="AV129" s="23">
        <f>EXP(-LN(2)/25)*AV128+(1-EXP(-LN(2)/25))/(LN(2)/25)*Calculateur!AQ129*Calculateur!AS129*VLOOKUP('Données projet'!$B$10,Paramètres!$A$1:$I$89,3,0)*0.475*44/12</f>
        <v>2.1638468254473135</v>
      </c>
      <c r="AW129" s="23">
        <f>EXP(-LN(2)/2)*AW128+(1-EXP(-LN(2)/2))/(LN(2)/2)*AQ129*AT129*VLOOKUP('Données projet'!$B$10,Paramètres!$A$1:$I$89,3,0)*0.475*44/12</f>
        <v>1.87766524088731E-11</v>
      </c>
      <c r="AX129" s="23">
        <f t="shared" si="60"/>
        <v>14.544082009252969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72.393882557915504</v>
      </c>
      <c r="T130" s="62">
        <f t="shared" si="88"/>
        <v>321.03333748974029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10.767362272469851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10.767362272469851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1.7053025658242404E-13</v>
      </c>
      <c r="AJ130" s="14">
        <f>AI130*VLOOKUP('Données projet'!$B$10,Paramètres!$A$1:$I$89,3,0)*VLOOKUP('Données projet'!$B$10,Paramètres!$A$1:$I$89,5,0)</f>
        <v>1.5429577615577727E-13</v>
      </c>
      <c r="AK130" s="14">
        <f t="shared" si="89"/>
        <v>2.2038482767263348E-12</v>
      </c>
      <c r="AL130" s="22">
        <f t="shared" si="58"/>
        <v>4.107100892103012E-12</v>
      </c>
      <c r="AM130" s="62">
        <f t="shared" si="59"/>
        <v>293.33333333333741</v>
      </c>
      <c r="AN130" s="62">
        <f ca="1">AVERAGE(OFFSET($AM$3,0,0,'Données projet'!$E$10+1,1))-AVERAGE(OFFSET($H$3,0,0,'Données projet'!$E$10+1,1))</f>
        <v>395.97781616920071</v>
      </c>
      <c r="AO130" s="62">
        <f t="shared" si="90"/>
        <v>554.05128015315631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12.137466323030662</v>
      </c>
      <c r="AV130" s="23">
        <f>EXP(-LN(2)/25)*AV129+(1-EXP(-LN(2)/25))/(LN(2)/25)*Calculateur!AQ130*Calculateur!AS130*VLOOKUP('Données projet'!$B$10,Paramètres!$A$1:$I$89,3,0)*0.475*44/12</f>
        <v>2.1046763202136978</v>
      </c>
      <c r="AW130" s="23">
        <f>EXP(-LN(2)/2)*AW129+(1-EXP(-LN(2)/2))/(LN(2)/2)*AQ130*AT130*VLOOKUP('Données projet'!$B$10,Paramètres!$A$1:$I$89,3,0)*0.475*44/12</f>
        <v>1.3277098246296892E-11</v>
      </c>
      <c r="AX130" s="23">
        <f t="shared" si="60"/>
        <v>14.242142643257637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72.393882557915504</v>
      </c>
      <c r="T131" s="62">
        <f t="shared" si="88"/>
        <v>321.03333748974029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10.556220865749223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10.556220865749223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1.7053025658242404E-13</v>
      </c>
      <c r="AJ131" s="14">
        <f>AI131*VLOOKUP('Données projet'!$B$10,Paramètres!$A$1:$I$89,3,0)*VLOOKUP('Données projet'!$B$10,Paramètres!$A$1:$I$89,5,0)</f>
        <v>1.5429577615577727E-13</v>
      </c>
      <c r="AK131" s="14">
        <f t="shared" si="89"/>
        <v>2.2038482767263348E-12</v>
      </c>
      <c r="AL131" s="22">
        <f t="shared" si="58"/>
        <v>4.107100892103012E-12</v>
      </c>
      <c r="AM131" s="62">
        <f t="shared" si="59"/>
        <v>293.33333333333741</v>
      </c>
      <c r="AN131" s="62">
        <f ca="1">AVERAGE(OFFSET($AM$3,0,0,'Données projet'!$E$10+1,1))-AVERAGE(OFFSET($H$3,0,0,'Données projet'!$E$10+1,1))</f>
        <v>395.97781616920071</v>
      </c>
      <c r="AO131" s="62">
        <f t="shared" si="90"/>
        <v>554.05128015315631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11.89945801155949</v>
      </c>
      <c r="AV131" s="23">
        <f>EXP(-LN(2)/25)*AV130+(1-EXP(-LN(2)/25))/(LN(2)/25)*Calculateur!AQ131*Calculateur!AS131*VLOOKUP('Données projet'!$B$10,Paramètres!$A$1:$I$89,3,0)*0.475*44/12</f>
        <v>2.0471238355573367</v>
      </c>
      <c r="AW131" s="23">
        <f>EXP(-LN(2)/2)*AW130+(1-EXP(-LN(2)/2))/(LN(2)/2)*AQ131*AT131*VLOOKUP('Données projet'!$B$10,Paramètres!$A$1:$I$89,3,0)*0.475*44/12</f>
        <v>9.3883262044365502E-12</v>
      </c>
      <c r="AX131" s="23">
        <f t="shared" si="60"/>
        <v>13.946581847126215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72.393882557915504</v>
      </c>
      <c r="T132" s="62">
        <f t="shared" si="88"/>
        <v>321.03333748974029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10.349219813230844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10.349219813230844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1.7053025658242404E-13</v>
      </c>
      <c r="AJ132" s="14">
        <f>AI132*VLOOKUP('Données projet'!$B$10,Paramètres!$A$1:$I$89,3,0)*VLOOKUP('Données projet'!$B$10,Paramètres!$A$1:$I$89,5,0)</f>
        <v>1.5429577615577727E-13</v>
      </c>
      <c r="AK132" s="14">
        <f t="shared" si="89"/>
        <v>2.2038482767263348E-12</v>
      </c>
      <c r="AL132" s="22">
        <f t="shared" ref="AL132:AL153" si="112">(AJ132+AK132)*0.475*44/12</f>
        <v>4.107100892103012E-12</v>
      </c>
      <c r="AM132" s="62">
        <f t="shared" ref="AM132:AM195" si="113">AL132+(AD132+AE132)*44/12</f>
        <v>293.33333333333741</v>
      </c>
      <c r="AN132" s="62">
        <f ca="1">AVERAGE(OFFSET($AM$3,0,0,'Données projet'!$E$10+1,1))-AVERAGE(OFFSET($H$3,0,0,'Données projet'!$E$10+1,1))</f>
        <v>395.97781616920071</v>
      </c>
      <c r="AO132" s="62">
        <f t="shared" si="90"/>
        <v>554.05128015315631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11.666116897905532</v>
      </c>
      <c r="AV132" s="23">
        <f>EXP(-LN(2)/25)*AV131+(1-EXP(-LN(2)/25))/(LN(2)/25)*Calculateur!AQ132*Calculateur!AS132*VLOOKUP('Données projet'!$B$10,Paramètres!$A$1:$I$89,3,0)*0.475*44/12</f>
        <v>1.9911451266204576</v>
      </c>
      <c r="AW132" s="23">
        <f>EXP(-LN(2)/2)*AW131+(1-EXP(-LN(2)/2))/(LN(2)/2)*AQ132*AT132*VLOOKUP('Données projet'!$B$10,Paramètres!$A$1:$I$89,3,0)*0.475*44/12</f>
        <v>6.638549123148446E-12</v>
      </c>
      <c r="AX132" s="23">
        <f t="shared" ref="AX132:AX153" si="114">SUM(AU132:AW132)</f>
        <v>13.657262024532628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72.393882557915504</v>
      </c>
      <c r="T133" s="62">
        <f t="shared" ref="T133:T196" si="142">$T$3</f>
        <v>321.03333748974029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10.146277925094175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10.146277925094175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1.7053025658242404E-13</v>
      </c>
      <c r="AJ133" s="14">
        <f>AI133*VLOOKUP('Données projet'!$B$10,Paramètres!$A$1:$I$89,3,0)*VLOOKUP('Données projet'!$B$10,Paramètres!$A$1:$I$89,5,0)</f>
        <v>1.5429577615577727E-13</v>
      </c>
      <c r="AK133" s="14">
        <f t="shared" ref="AK133:AK153" si="143">EXP(-1.0587+0.8836*LN(AJ133)+0.284)</f>
        <v>2.2038482767263348E-12</v>
      </c>
      <c r="AL133" s="22">
        <f t="shared" si="112"/>
        <v>4.107100892103012E-12</v>
      </c>
      <c r="AM133" s="62">
        <f t="shared" si="113"/>
        <v>293.33333333333741</v>
      </c>
      <c r="AN133" s="62">
        <f ca="1">AVERAGE(OFFSET($AM$3,0,0,'Données projet'!$E$10+1,1))-AVERAGE(OFFSET($H$3,0,0,'Données projet'!$E$10+1,1))</f>
        <v>395.97781616920071</v>
      </c>
      <c r="AO133" s="62">
        <f t="shared" ref="AO133:AO196" si="144">$AO$3</f>
        <v>554.05128015315631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11.437351461166303</v>
      </c>
      <c r="AV133" s="23">
        <f>EXP(-LN(2)/25)*AV132+(1-EXP(-LN(2)/25))/(LN(2)/25)*Calculateur!AQ133*Calculateur!AS133*VLOOKUP('Données projet'!$B$10,Paramètres!$A$1:$I$89,3,0)*0.475*44/12</f>
        <v>1.9366971584232497</v>
      </c>
      <c r="AW133" s="23">
        <f>EXP(-LN(2)/2)*AW132+(1-EXP(-LN(2)/2))/(LN(2)/2)*AQ133*AT133*VLOOKUP('Données projet'!$B$10,Paramètres!$A$1:$I$89,3,0)*0.475*44/12</f>
        <v>4.6941631022182751E-12</v>
      </c>
      <c r="AX133" s="23">
        <f t="shared" si="114"/>
        <v>13.374048619594248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72.393882557915504</v>
      </c>
      <c r="T134" s="62">
        <f t="shared" si="142"/>
        <v>321.03333748974029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9.9473156036015364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9.9473156036015364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1.7053025658242404E-13</v>
      </c>
      <c r="AJ134" s="14">
        <f>AI134*VLOOKUP('Données projet'!$B$10,Paramètres!$A$1:$I$89,3,0)*VLOOKUP('Données projet'!$B$10,Paramètres!$A$1:$I$89,5,0)</f>
        <v>1.5429577615577727E-13</v>
      </c>
      <c r="AK134" s="14">
        <f t="shared" si="143"/>
        <v>2.2038482767263348E-12</v>
      </c>
      <c r="AL134" s="22">
        <f t="shared" si="112"/>
        <v>4.107100892103012E-12</v>
      </c>
      <c r="AM134" s="62">
        <f t="shared" si="113"/>
        <v>293.33333333333741</v>
      </c>
      <c r="AN134" s="62">
        <f ca="1">AVERAGE(OFFSET($AM$3,0,0,'Données projet'!$E$10+1,1))-AVERAGE(OFFSET($H$3,0,0,'Données projet'!$E$10+1,1))</f>
        <v>395.97781616920071</v>
      </c>
      <c r="AO134" s="62">
        <f t="shared" si="144"/>
        <v>554.05128015315631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11.213071975108392</v>
      </c>
      <c r="AV134" s="23">
        <f>EXP(-LN(2)/25)*AV133+(1-EXP(-LN(2)/25))/(LN(2)/25)*Calculateur!AQ134*Calculateur!AS134*VLOOKUP('Données projet'!$B$10,Paramètres!$A$1:$I$89,3,0)*0.475*44/12</f>
        <v>1.8837380727796889</v>
      </c>
      <c r="AW134" s="23">
        <f>EXP(-LN(2)/2)*AW133+(1-EXP(-LN(2)/2))/(LN(2)/2)*AQ134*AT134*VLOOKUP('Données projet'!$B$10,Paramètres!$A$1:$I$89,3,0)*0.475*44/12</f>
        <v>3.319274561574223E-12</v>
      </c>
      <c r="AX134" s="23">
        <f t="shared" si="114"/>
        <v>13.096810047891401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72.393882557915504</v>
      </c>
      <c r="T135" s="62">
        <f t="shared" si="142"/>
        <v>321.03333748974029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9.7522548118783359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9.7522548118783359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1.7053025658242404E-13</v>
      </c>
      <c r="AJ135" s="14">
        <f>AI135*VLOOKUP('Données projet'!$B$10,Paramètres!$A$1:$I$89,3,0)*VLOOKUP('Données projet'!$B$10,Paramètres!$A$1:$I$89,5,0)</f>
        <v>1.5429577615577727E-13</v>
      </c>
      <c r="AK135" s="14">
        <f t="shared" si="143"/>
        <v>2.2038482767263348E-12</v>
      </c>
      <c r="AL135" s="22">
        <f t="shared" si="112"/>
        <v>4.107100892103012E-12</v>
      </c>
      <c r="AM135" s="62">
        <f t="shared" si="113"/>
        <v>293.33333333333741</v>
      </c>
      <c r="AN135" s="62">
        <f ca="1">AVERAGE(OFFSET($AM$3,0,0,'Données projet'!$E$10+1,1))-AVERAGE(OFFSET($H$3,0,0,'Données projet'!$E$10+1,1))</f>
        <v>395.97781616920071</v>
      </c>
      <c r="AO135" s="62">
        <f t="shared" si="144"/>
        <v>554.05128015315631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10.993190472975096</v>
      </c>
      <c r="AV135" s="23">
        <f>EXP(-LN(2)/25)*AV134+(1-EXP(-LN(2)/25))/(LN(2)/25)*Calculateur!AQ135*Calculateur!AS135*VLOOKUP('Données projet'!$B$10,Paramètres!$A$1:$I$89,3,0)*0.475*44/12</f>
        <v>1.8322271561180483</v>
      </c>
      <c r="AW135" s="23">
        <f>EXP(-LN(2)/2)*AW134+(1-EXP(-LN(2)/2))/(LN(2)/2)*AQ135*AT135*VLOOKUP('Données projet'!$B$10,Paramètres!$A$1:$I$89,3,0)*0.475*44/12</f>
        <v>2.3470815511091375E-12</v>
      </c>
      <c r="AX135" s="23">
        <f t="shared" si="114"/>
        <v>12.82541762909549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72.393882557915504</v>
      </c>
      <c r="T136" s="62">
        <f t="shared" si="142"/>
        <v>321.03333748974029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9.5610190433054925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9.5610190433054925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1.7053025658242404E-13</v>
      </c>
      <c r="AJ136" s="14">
        <f>AI136*VLOOKUP('Données projet'!$B$10,Paramètres!$A$1:$I$89,3,0)*VLOOKUP('Données projet'!$B$10,Paramètres!$A$1:$I$89,5,0)</f>
        <v>1.5429577615577727E-13</v>
      </c>
      <c r="AK136" s="14">
        <f t="shared" si="143"/>
        <v>2.2038482767263348E-12</v>
      </c>
      <c r="AL136" s="22">
        <f t="shared" si="112"/>
        <v>4.107100892103012E-12</v>
      </c>
      <c r="AM136" s="62">
        <f t="shared" si="113"/>
        <v>293.33333333333741</v>
      </c>
      <c r="AN136" s="62">
        <f ca="1">AVERAGE(OFFSET($AM$3,0,0,'Données projet'!$E$10+1,1))-AVERAGE(OFFSET($H$3,0,0,'Données projet'!$E$10+1,1))</f>
        <v>395.97781616920071</v>
      </c>
      <c r="AO136" s="62">
        <f t="shared" si="144"/>
        <v>554.05128015315631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10.777620712984161</v>
      </c>
      <c r="AV136" s="23">
        <f>EXP(-LN(2)/25)*AV135+(1-EXP(-LN(2)/25))/(LN(2)/25)*Calculateur!AQ136*Calculateur!AS136*VLOOKUP('Données projet'!$B$10,Paramètres!$A$1:$I$89,3,0)*0.475*44/12</f>
        <v>1.7821248081813617</v>
      </c>
      <c r="AW136" s="23">
        <f>EXP(-LN(2)/2)*AW135+(1-EXP(-LN(2)/2))/(LN(2)/2)*AQ136*AT136*VLOOKUP('Données projet'!$B$10,Paramètres!$A$1:$I$89,3,0)*0.475*44/12</f>
        <v>1.6596372807871115E-12</v>
      </c>
      <c r="AX136" s="23">
        <f t="shared" si="114"/>
        <v>12.559745521167182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72.393882557915504</v>
      </c>
      <c r="T137" s="62">
        <f t="shared" si="142"/>
        <v>321.03333748974029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9.3735332915120608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9.3735332915120608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1.7053025658242404E-13</v>
      </c>
      <c r="AJ137" s="14">
        <f>AI137*VLOOKUP('Données projet'!$B$10,Paramètres!$A$1:$I$89,3,0)*VLOOKUP('Données projet'!$B$10,Paramètres!$A$1:$I$89,5,0)</f>
        <v>1.5429577615577727E-13</v>
      </c>
      <c r="AK137" s="14">
        <f t="shared" si="143"/>
        <v>2.2038482767263348E-12</v>
      </c>
      <c r="AL137" s="22">
        <f t="shared" si="112"/>
        <v>4.107100892103012E-12</v>
      </c>
      <c r="AM137" s="62">
        <f t="shared" si="113"/>
        <v>293.33333333333741</v>
      </c>
      <c r="AN137" s="62">
        <f ca="1">AVERAGE(OFFSET($AM$3,0,0,'Données projet'!$E$10+1,1))-AVERAGE(OFFSET($H$3,0,0,'Données projet'!$E$10+1,1))</f>
        <v>395.97781616920071</v>
      </c>
      <c r="AO137" s="62">
        <f t="shared" si="144"/>
        <v>554.05128015315631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10.566278144502078</v>
      </c>
      <c r="AV137" s="23">
        <f>EXP(-LN(2)/25)*AV136+(1-EXP(-LN(2)/25))/(LN(2)/25)*Calculateur!AQ137*Calculateur!AS137*VLOOKUP('Données projet'!$B$10,Paramètres!$A$1:$I$89,3,0)*0.475*44/12</f>
        <v>1.7333925115837718</v>
      </c>
      <c r="AW137" s="23">
        <f>EXP(-LN(2)/2)*AW136+(1-EXP(-LN(2)/2))/(LN(2)/2)*AQ137*AT137*VLOOKUP('Données projet'!$B$10,Paramètres!$A$1:$I$89,3,0)*0.475*44/12</f>
        <v>1.1735407755545688E-12</v>
      </c>
      <c r="AX137" s="23">
        <f t="shared" si="114"/>
        <v>12.299670656087024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72.393882557915504</v>
      </c>
      <c r="T138" s="62">
        <f t="shared" si="142"/>
        <v>321.03333748974029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9.189724020956282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9.189724020956282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1.7053025658242404E-13</v>
      </c>
      <c r="AJ138" s="14">
        <f>AI138*VLOOKUP('Données projet'!$B$10,Paramètres!$A$1:$I$89,3,0)*VLOOKUP('Données projet'!$B$10,Paramètres!$A$1:$I$89,5,0)</f>
        <v>1.5429577615577727E-13</v>
      </c>
      <c r="AK138" s="14">
        <f t="shared" si="143"/>
        <v>2.2038482767263348E-12</v>
      </c>
      <c r="AL138" s="22">
        <f t="shared" si="112"/>
        <v>4.107100892103012E-12</v>
      </c>
      <c r="AM138" s="62">
        <f t="shared" si="113"/>
        <v>293.33333333333741</v>
      </c>
      <c r="AN138" s="62">
        <f ca="1">AVERAGE(OFFSET($AM$3,0,0,'Données projet'!$E$10+1,1))-AVERAGE(OFFSET($H$3,0,0,'Données projet'!$E$10+1,1))</f>
        <v>395.97781616920071</v>
      </c>
      <c r="AO138" s="62">
        <f t="shared" si="144"/>
        <v>554.05128015315631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10.35907987488169</v>
      </c>
      <c r="AV138" s="23">
        <f>EXP(-LN(2)/25)*AV137+(1-EXP(-LN(2)/25))/(LN(2)/25)*Calculateur!AQ138*Calculateur!AS138*VLOOKUP('Données projet'!$B$10,Paramètres!$A$1:$I$89,3,0)*0.475*44/12</f>
        <v>1.6859928021993631</v>
      </c>
      <c r="AW138" s="23">
        <f>EXP(-LN(2)/2)*AW137+(1-EXP(-LN(2)/2))/(LN(2)/2)*AQ138*AT138*VLOOKUP('Données projet'!$B$10,Paramètres!$A$1:$I$89,3,0)*0.475*44/12</f>
        <v>8.2981864039355575E-13</v>
      </c>
      <c r="AX138" s="23">
        <f t="shared" si="114"/>
        <v>12.045072677081883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72.393882557915504</v>
      </c>
      <c r="T139" s="62">
        <f t="shared" si="142"/>
        <v>321.03333748974029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9.0095191380835171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9.0095191380835171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1.7053025658242404E-13</v>
      </c>
      <c r="AJ139" s="14">
        <f>AI139*VLOOKUP('Données projet'!$B$10,Paramètres!$A$1:$I$89,3,0)*VLOOKUP('Données projet'!$B$10,Paramètres!$A$1:$I$89,5,0)</f>
        <v>1.5429577615577727E-13</v>
      </c>
      <c r="AK139" s="14">
        <f t="shared" si="143"/>
        <v>2.2038482767263348E-12</v>
      </c>
      <c r="AL139" s="22">
        <f t="shared" si="112"/>
        <v>4.107100892103012E-12</v>
      </c>
      <c r="AM139" s="62">
        <f t="shared" si="113"/>
        <v>293.33333333333741</v>
      </c>
      <c r="AN139" s="62">
        <f ca="1">AVERAGE(OFFSET($AM$3,0,0,'Données projet'!$E$10+1,1))-AVERAGE(OFFSET($H$3,0,0,'Données projet'!$E$10+1,1))</f>
        <v>395.97781616920071</v>
      </c>
      <c r="AO139" s="62">
        <f t="shared" si="144"/>
        <v>554.05128015315631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10.155944636950093</v>
      </c>
      <c r="AV139" s="23">
        <f>EXP(-LN(2)/25)*AV138+(1-EXP(-LN(2)/25))/(LN(2)/25)*Calculateur!AQ139*Calculateur!AS139*VLOOKUP('Données projet'!$B$10,Paramètres!$A$1:$I$89,3,0)*0.475*44/12</f>
        <v>1.6398892403607135</v>
      </c>
      <c r="AW139" s="23">
        <f>EXP(-LN(2)/2)*AW138+(1-EXP(-LN(2)/2))/(LN(2)/2)*AQ139*AT139*VLOOKUP('Données projet'!$B$10,Paramètres!$A$1:$I$89,3,0)*0.475*44/12</f>
        <v>5.8677038777728439E-13</v>
      </c>
      <c r="AX139" s="23">
        <f t="shared" si="114"/>
        <v>11.795833877311392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72.393882557915504</v>
      </c>
      <c r="T140" s="62">
        <f t="shared" si="142"/>
        <v>321.03333748974029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8.8328479630497618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8.8328479630497618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1.7053025658242404E-13</v>
      </c>
      <c r="AJ140" s="14">
        <f>AI140*VLOOKUP('Données projet'!$B$10,Paramètres!$A$1:$I$89,3,0)*VLOOKUP('Données projet'!$B$10,Paramètres!$A$1:$I$89,5,0)</f>
        <v>1.5429577615577727E-13</v>
      </c>
      <c r="AK140" s="14">
        <f t="shared" si="143"/>
        <v>2.2038482767263348E-12</v>
      </c>
      <c r="AL140" s="22">
        <f t="shared" si="112"/>
        <v>4.107100892103012E-12</v>
      </c>
      <c r="AM140" s="62">
        <f t="shared" si="113"/>
        <v>293.33333333333741</v>
      </c>
      <c r="AN140" s="62">
        <f ca="1">AVERAGE(OFFSET($AM$3,0,0,'Données projet'!$E$10+1,1))-AVERAGE(OFFSET($H$3,0,0,'Données projet'!$E$10+1,1))</f>
        <v>395.97781616920071</v>
      </c>
      <c r="AO140" s="62">
        <f t="shared" si="144"/>
        <v>554.05128015315631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9.9567927571340729</v>
      </c>
      <c r="AV140" s="23">
        <f>EXP(-LN(2)/25)*AV139+(1-EXP(-LN(2)/25))/(LN(2)/25)*Calculateur!AQ140*Calculateur!AS140*VLOOKUP('Données projet'!$B$10,Paramètres!$A$1:$I$89,3,0)*0.475*44/12</f>
        <v>1.5950463828450225</v>
      </c>
      <c r="AW140" s="23">
        <f>EXP(-LN(2)/2)*AW139+(1-EXP(-LN(2)/2))/(LN(2)/2)*AQ140*AT140*VLOOKUP('Données projet'!$B$10,Paramètres!$A$1:$I$89,3,0)*0.475*44/12</f>
        <v>4.1490932019677787E-13</v>
      </c>
      <c r="AX140" s="23">
        <f t="shared" si="114"/>
        <v>11.551839139979512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72.393882557915504</v>
      </c>
      <c r="T141" s="62">
        <f t="shared" si="142"/>
        <v>321.03333748974029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8.6596412019996407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8.6596412019996407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1.7053025658242404E-13</v>
      </c>
      <c r="AJ141" s="14">
        <f>AI141*VLOOKUP('Données projet'!$B$10,Paramètres!$A$1:$I$89,3,0)*VLOOKUP('Données projet'!$B$10,Paramètres!$A$1:$I$89,5,0)</f>
        <v>1.5429577615577727E-13</v>
      </c>
      <c r="AK141" s="14">
        <f t="shared" si="143"/>
        <v>2.2038482767263348E-12</v>
      </c>
      <c r="AL141" s="22">
        <f t="shared" si="112"/>
        <v>4.107100892103012E-12</v>
      </c>
      <c r="AM141" s="62">
        <f t="shared" si="113"/>
        <v>293.33333333333741</v>
      </c>
      <c r="AN141" s="62">
        <f ca="1">AVERAGE(OFFSET($AM$3,0,0,'Données projet'!$E$10+1,1))-AVERAGE(OFFSET($H$3,0,0,'Données projet'!$E$10+1,1))</f>
        <v>395.97781616920071</v>
      </c>
      <c r="AO141" s="62">
        <f t="shared" si="144"/>
        <v>554.05128015315631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9.761546124210593</v>
      </c>
      <c r="AV141" s="23">
        <f>EXP(-LN(2)/25)*AV140+(1-EXP(-LN(2)/25))/(LN(2)/25)*Calculateur!AQ141*Calculateur!AS141*VLOOKUP('Données projet'!$B$10,Paramètres!$A$1:$I$89,3,0)*0.475*44/12</f>
        <v>1.5514297556262817</v>
      </c>
      <c r="AW141" s="23">
        <f>EXP(-LN(2)/2)*AW140+(1-EXP(-LN(2)/2))/(LN(2)/2)*AQ141*AT141*VLOOKUP('Données projet'!$B$10,Paramètres!$A$1:$I$89,3,0)*0.475*44/12</f>
        <v>2.9338519388864219E-13</v>
      </c>
      <c r="AX141" s="23">
        <f t="shared" si="114"/>
        <v>11.312975879837168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72.393882557915504</v>
      </c>
      <c r="T142" s="62">
        <f t="shared" si="142"/>
        <v>321.03333748974029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8.4898309198880213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8.4898309198880213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1.7053025658242404E-13</v>
      </c>
      <c r="AJ142" s="14">
        <f>AI142*VLOOKUP('Données projet'!$B$10,Paramètres!$A$1:$I$89,3,0)*VLOOKUP('Données projet'!$B$10,Paramètres!$A$1:$I$89,5,0)</f>
        <v>1.5429577615577727E-13</v>
      </c>
      <c r="AK142" s="14">
        <f t="shared" si="143"/>
        <v>2.2038482767263348E-12</v>
      </c>
      <c r="AL142" s="22">
        <f t="shared" si="112"/>
        <v>4.107100892103012E-12</v>
      </c>
      <c r="AM142" s="62">
        <f t="shared" si="113"/>
        <v>293.33333333333741</v>
      </c>
      <c r="AN142" s="62">
        <f ca="1">AVERAGE(OFFSET($AM$3,0,0,'Données projet'!$E$10+1,1))-AVERAGE(OFFSET($H$3,0,0,'Données projet'!$E$10+1,1))</f>
        <v>395.97781616920071</v>
      </c>
      <c r="AO142" s="62">
        <f t="shared" si="144"/>
        <v>554.05128015315631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9.5701281586700553</v>
      </c>
      <c r="AV142" s="23">
        <f>EXP(-LN(2)/25)*AV141+(1-EXP(-LN(2)/25))/(LN(2)/25)*Calculateur!AQ142*Calculateur!AS142*VLOOKUP('Données projet'!$B$10,Paramètres!$A$1:$I$89,3,0)*0.475*44/12</f>
        <v>1.509005827372536</v>
      </c>
      <c r="AW142" s="23">
        <f>EXP(-LN(2)/2)*AW141+(1-EXP(-LN(2)/2))/(LN(2)/2)*AQ142*AT142*VLOOKUP('Données projet'!$B$10,Paramètres!$A$1:$I$89,3,0)*0.475*44/12</f>
        <v>2.0745466009838894E-13</v>
      </c>
      <c r="AX142" s="23">
        <f t="shared" si="114"/>
        <v>11.0791339860428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72.393882557915504</v>
      </c>
      <c r="T143" s="62">
        <f t="shared" si="142"/>
        <v>321.03333748974029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8.3233505138345656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8.3233505138345656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1.7053025658242404E-13</v>
      </c>
      <c r="AJ143" s="14">
        <f>AI143*VLOOKUP('Données projet'!$B$10,Paramètres!$A$1:$I$89,3,0)*VLOOKUP('Données projet'!$B$10,Paramètres!$A$1:$I$89,5,0)</f>
        <v>1.5429577615577727E-13</v>
      </c>
      <c r="AK143" s="14">
        <f t="shared" si="143"/>
        <v>2.2038482767263348E-12</v>
      </c>
      <c r="AL143" s="22">
        <f t="shared" si="112"/>
        <v>4.107100892103012E-12</v>
      </c>
      <c r="AM143" s="62">
        <f t="shared" si="113"/>
        <v>293.33333333333741</v>
      </c>
      <c r="AN143" s="62">
        <f ca="1">AVERAGE(OFFSET($AM$3,0,0,'Données projet'!$E$10+1,1))-AVERAGE(OFFSET($H$3,0,0,'Données projet'!$E$10+1,1))</f>
        <v>395.97781616920071</v>
      </c>
      <c r="AO143" s="62">
        <f t="shared" si="144"/>
        <v>554.05128015315631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9.3824637826803361</v>
      </c>
      <c r="AV143" s="23">
        <f>EXP(-LN(2)/25)*AV142+(1-EXP(-LN(2)/25))/(LN(2)/25)*Calculateur!AQ143*Calculateur!AS143*VLOOKUP('Données projet'!$B$10,Paramètres!$A$1:$I$89,3,0)*0.475*44/12</f>
        <v>1.4677419836678665</v>
      </c>
      <c r="AW143" s="23">
        <f>EXP(-LN(2)/2)*AW142+(1-EXP(-LN(2)/2))/(LN(2)/2)*AQ143*AT143*VLOOKUP('Données projet'!$B$10,Paramètres!$A$1:$I$89,3,0)*0.475*44/12</f>
        <v>1.466925969443211E-13</v>
      </c>
      <c r="AX143" s="23">
        <f t="shared" si="114"/>
        <v>10.850205766348351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72.393882557915504</v>
      </c>
      <c r="T144" s="62">
        <f t="shared" si="142"/>
        <v>321.03333748974029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8.1601346870007969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8.1601346870007969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1.7053025658242404E-13</v>
      </c>
      <c r="AJ144" s="14">
        <f>AI144*VLOOKUP('Données projet'!$B$10,Paramètres!$A$1:$I$89,3,0)*VLOOKUP('Données projet'!$B$10,Paramètres!$A$1:$I$89,5,0)</f>
        <v>1.5429577615577727E-13</v>
      </c>
      <c r="AK144" s="14">
        <f t="shared" si="143"/>
        <v>2.2038482767263348E-12</v>
      </c>
      <c r="AL144" s="22">
        <f t="shared" si="112"/>
        <v>4.107100892103012E-12</v>
      </c>
      <c r="AM144" s="62">
        <f t="shared" si="113"/>
        <v>293.33333333333741</v>
      </c>
      <c r="AN144" s="62">
        <f ca="1">AVERAGE(OFFSET($AM$3,0,0,'Données projet'!$E$10+1,1))-AVERAGE(OFFSET($H$3,0,0,'Données projet'!$E$10+1,1))</f>
        <v>395.97781616920071</v>
      </c>
      <c r="AO144" s="62">
        <f t="shared" si="144"/>
        <v>554.05128015315631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9.1984793906398092</v>
      </c>
      <c r="AV144" s="23">
        <f>EXP(-LN(2)/25)*AV143+(1-EXP(-LN(2)/25))/(LN(2)/25)*Calculateur!AQ144*Calculateur!AS144*VLOOKUP('Données projet'!$B$10,Paramètres!$A$1:$I$89,3,0)*0.475*44/12</f>
        <v>1.4276065019392723</v>
      </c>
      <c r="AW144" s="23">
        <f>EXP(-LN(2)/2)*AW143+(1-EXP(-LN(2)/2))/(LN(2)/2)*AQ144*AT144*VLOOKUP('Données projet'!$B$10,Paramètres!$A$1:$I$89,3,0)*0.475*44/12</f>
        <v>1.0372733004919447E-13</v>
      </c>
      <c r="AX144" s="23">
        <f t="shared" si="114"/>
        <v>10.626085892579184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72.393882557915504</v>
      </c>
      <c r="T145" s="62">
        <f t="shared" si="142"/>
        <v>321.03333748974029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8.000119422979413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8.000119422979413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1.7053025658242404E-13</v>
      </c>
      <c r="AJ145" s="14">
        <f>AI145*VLOOKUP('Données projet'!$B$10,Paramètres!$A$1:$I$89,3,0)*VLOOKUP('Données projet'!$B$10,Paramètres!$A$1:$I$89,5,0)</f>
        <v>1.5429577615577727E-13</v>
      </c>
      <c r="AK145" s="14">
        <f t="shared" si="143"/>
        <v>2.2038482767263348E-12</v>
      </c>
      <c r="AL145" s="22">
        <f t="shared" si="112"/>
        <v>4.107100892103012E-12</v>
      </c>
      <c r="AM145" s="62">
        <f t="shared" si="113"/>
        <v>293.33333333333741</v>
      </c>
      <c r="AN145" s="62">
        <f ca="1">AVERAGE(OFFSET($AM$3,0,0,'Données projet'!$E$10+1,1))-AVERAGE(OFFSET($H$3,0,0,'Données projet'!$E$10+1,1))</f>
        <v>395.97781616920071</v>
      </c>
      <c r="AO145" s="62">
        <f t="shared" si="144"/>
        <v>554.05128015315631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9.0181028203077975</v>
      </c>
      <c r="AV145" s="23">
        <f>EXP(-LN(2)/25)*AV144+(1-EXP(-LN(2)/25))/(LN(2)/25)*Calculateur!AQ145*Calculateur!AS145*VLOOKUP('Données projet'!$B$10,Paramètres!$A$1:$I$89,3,0)*0.475*44/12</f>
        <v>1.3885685270691799</v>
      </c>
      <c r="AW145" s="23">
        <f>EXP(-LN(2)/2)*AW144+(1-EXP(-LN(2)/2))/(LN(2)/2)*AQ145*AT145*VLOOKUP('Données projet'!$B$10,Paramètres!$A$1:$I$89,3,0)*0.475*44/12</f>
        <v>7.3346298472160548E-14</v>
      </c>
      <c r="AX145" s="23">
        <f t="shared" si="114"/>
        <v>10.406671347377051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72.393882557915504</v>
      </c>
      <c r="T146" s="62">
        <f t="shared" si="142"/>
        <v>321.03333748974029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7.8432419606858153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7.8432419606858153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1.7053025658242404E-13</v>
      </c>
      <c r="AJ146" s="14">
        <f>AI146*VLOOKUP('Données projet'!$B$10,Paramètres!$A$1:$I$89,3,0)*VLOOKUP('Données projet'!$B$10,Paramètres!$A$1:$I$89,5,0)</f>
        <v>1.5429577615577727E-13</v>
      </c>
      <c r="AK146" s="14">
        <f t="shared" si="143"/>
        <v>2.2038482767263348E-12</v>
      </c>
      <c r="AL146" s="22">
        <f t="shared" si="112"/>
        <v>4.107100892103012E-12</v>
      </c>
      <c r="AM146" s="62">
        <f t="shared" si="113"/>
        <v>293.33333333333741</v>
      </c>
      <c r="AN146" s="62">
        <f ca="1">AVERAGE(OFFSET($AM$3,0,0,'Données projet'!$E$10+1,1))-AVERAGE(OFFSET($H$3,0,0,'Données projet'!$E$10+1,1))</f>
        <v>395.97781616920071</v>
      </c>
      <c r="AO146" s="62">
        <f t="shared" si="144"/>
        <v>554.05128015315631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8.8412633245011527</v>
      </c>
      <c r="AV146" s="23">
        <f>EXP(-LN(2)/25)*AV145+(1-EXP(-LN(2)/25))/(LN(2)/25)*Calculateur!AQ146*Calculateur!AS146*VLOOKUP('Données projet'!$B$10,Paramètres!$A$1:$I$89,3,0)*0.475*44/12</f>
        <v>1.3505980476748278</v>
      </c>
      <c r="AW146" s="23">
        <f>EXP(-LN(2)/2)*AW145+(1-EXP(-LN(2)/2))/(LN(2)/2)*AQ146*AT146*VLOOKUP('Données projet'!$B$10,Paramètres!$A$1:$I$89,3,0)*0.475*44/12</f>
        <v>5.1863665024597234E-14</v>
      </c>
      <c r="AX146" s="23">
        <f t="shared" si="114"/>
        <v>10.191861372176032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72.393882557915504</v>
      </c>
      <c r="T147" s="62">
        <f t="shared" si="142"/>
        <v>321.03333748974029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7.6894407697419913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7.6894407697419913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1.7053025658242404E-13</v>
      </c>
      <c r="AJ147" s="14">
        <f>AI147*VLOOKUP('Données projet'!$B$10,Paramètres!$A$1:$I$89,3,0)*VLOOKUP('Données projet'!$B$10,Paramètres!$A$1:$I$89,5,0)</f>
        <v>1.5429577615577727E-13</v>
      </c>
      <c r="AK147" s="14">
        <f t="shared" si="143"/>
        <v>2.2038482767263348E-12</v>
      </c>
      <c r="AL147" s="22">
        <f t="shared" si="112"/>
        <v>4.107100892103012E-12</v>
      </c>
      <c r="AM147" s="62">
        <f t="shared" si="113"/>
        <v>293.33333333333741</v>
      </c>
      <c r="AN147" s="62">
        <f ca="1">AVERAGE(OFFSET($AM$3,0,0,'Données projet'!$E$10+1,1))-AVERAGE(OFFSET($H$3,0,0,'Données projet'!$E$10+1,1))</f>
        <v>395.97781616920071</v>
      </c>
      <c r="AO147" s="62">
        <f t="shared" si="144"/>
        <v>554.05128015315631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8.667891543345835</v>
      </c>
      <c r="AV147" s="23">
        <f>EXP(-LN(2)/25)*AV146+(1-EXP(-LN(2)/25))/(LN(2)/25)*Calculateur!AQ147*Calculateur!AS147*VLOOKUP('Données projet'!$B$10,Paramètres!$A$1:$I$89,3,0)*0.475*44/12</f>
        <v>1.3136658730362951</v>
      </c>
      <c r="AW147" s="23">
        <f>EXP(-LN(2)/2)*AW146+(1-EXP(-LN(2)/2))/(LN(2)/2)*AQ147*AT147*VLOOKUP('Données projet'!$B$10,Paramètres!$A$1:$I$89,3,0)*0.475*44/12</f>
        <v>3.6673149236080274E-14</v>
      </c>
      <c r="AX147" s="23">
        <f t="shared" si="114"/>
        <v>9.9815574163821683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72.393882557915504</v>
      </c>
      <c r="T148" s="62">
        <f t="shared" si="142"/>
        <v>321.03333748974029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7.5386555263431116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7.5386555263431116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1.7053025658242404E-13</v>
      </c>
      <c r="AJ148" s="14">
        <f>AI148*VLOOKUP('Données projet'!$B$10,Paramètres!$A$1:$I$89,3,0)*VLOOKUP('Données projet'!$B$10,Paramètres!$A$1:$I$89,5,0)</f>
        <v>1.5429577615577727E-13</v>
      </c>
      <c r="AK148" s="14">
        <f t="shared" si="143"/>
        <v>2.2038482767263348E-12</v>
      </c>
      <c r="AL148" s="22">
        <f t="shared" si="112"/>
        <v>4.107100892103012E-12</v>
      </c>
      <c r="AM148" s="62">
        <f t="shared" si="113"/>
        <v>293.33333333333741</v>
      </c>
      <c r="AN148" s="62">
        <f ca="1">AVERAGE(OFFSET($AM$3,0,0,'Données projet'!$E$10+1,1))-AVERAGE(OFFSET($H$3,0,0,'Données projet'!$E$10+1,1))</f>
        <v>395.97781616920071</v>
      </c>
      <c r="AO148" s="62">
        <f t="shared" si="144"/>
        <v>554.05128015315631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8.4979194770726281</v>
      </c>
      <c r="AV148" s="23">
        <f>EXP(-LN(2)/25)*AV147+(1-EXP(-LN(2)/25))/(LN(2)/25)*Calculateur!AQ148*Calculateur!AS148*VLOOKUP('Données projet'!$B$10,Paramètres!$A$1:$I$89,3,0)*0.475*44/12</f>
        <v>1.2777436106554318</v>
      </c>
      <c r="AW148" s="23">
        <f>EXP(-LN(2)/2)*AW147+(1-EXP(-LN(2)/2))/(LN(2)/2)*AQ148*AT148*VLOOKUP('Données projet'!$B$10,Paramètres!$A$1:$I$89,3,0)*0.475*44/12</f>
        <v>2.5931832512298617E-14</v>
      </c>
      <c r="AX148" s="23">
        <f t="shared" si="114"/>
        <v>9.7756630877280859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72.393882557915504</v>
      </c>
      <c r="T149" s="62">
        <f t="shared" si="142"/>
        <v>321.03333748974029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7.3908270895973667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7.3908270895973667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1.7053025658242404E-13</v>
      </c>
      <c r="AJ149" s="14">
        <f>AI149*VLOOKUP('Données projet'!$B$10,Paramètres!$A$1:$I$89,3,0)*VLOOKUP('Données projet'!$B$10,Paramètres!$A$1:$I$89,5,0)</f>
        <v>1.5429577615577727E-13</v>
      </c>
      <c r="AK149" s="14">
        <f t="shared" si="143"/>
        <v>2.2038482767263348E-12</v>
      </c>
      <c r="AL149" s="22">
        <f t="shared" si="112"/>
        <v>4.107100892103012E-12</v>
      </c>
      <c r="AM149" s="62">
        <f t="shared" si="113"/>
        <v>293.33333333333741</v>
      </c>
      <c r="AN149" s="62">
        <f ca="1">AVERAGE(OFFSET($AM$3,0,0,'Données projet'!$E$10+1,1))-AVERAGE(OFFSET($H$3,0,0,'Données projet'!$E$10+1,1))</f>
        <v>395.97781616920071</v>
      </c>
      <c r="AO149" s="62">
        <f t="shared" si="144"/>
        <v>554.05128015315631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8.3312804593463152</v>
      </c>
      <c r="AV149" s="23">
        <f>EXP(-LN(2)/25)*AV148+(1-EXP(-LN(2)/25))/(LN(2)/25)*Calculateur!AQ149*Calculateur!AS149*VLOOKUP('Données projet'!$B$10,Paramètres!$A$1:$I$89,3,0)*0.475*44/12</f>
        <v>1.2428036444284429</v>
      </c>
      <c r="AW149" s="23">
        <f>EXP(-LN(2)/2)*AW148+(1-EXP(-LN(2)/2))/(LN(2)/2)*AQ149*AT149*VLOOKUP('Données projet'!$B$10,Paramètres!$A$1:$I$89,3,0)*0.475*44/12</f>
        <v>1.8336574618040137E-14</v>
      </c>
      <c r="AX149" s="23">
        <f t="shared" si="114"/>
        <v>9.5740841037747764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72.393882557915504</v>
      </c>
      <c r="T150" s="62">
        <f t="shared" si="142"/>
        <v>321.03333748974029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7.2458974783297627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7.2458974783297627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1.7053025658242404E-13</v>
      </c>
      <c r="AJ150" s="14">
        <f>AI150*VLOOKUP('Données projet'!$B$10,Paramètres!$A$1:$I$89,3,0)*VLOOKUP('Données projet'!$B$10,Paramètres!$A$1:$I$89,5,0)</f>
        <v>1.5429577615577727E-13</v>
      </c>
      <c r="AK150" s="14">
        <f t="shared" si="143"/>
        <v>2.2038482767263348E-12</v>
      </c>
      <c r="AL150" s="22">
        <f t="shared" si="112"/>
        <v>4.107100892103012E-12</v>
      </c>
      <c r="AM150" s="62">
        <f t="shared" si="113"/>
        <v>293.33333333333741</v>
      </c>
      <c r="AN150" s="62">
        <f ca="1">AVERAGE(OFFSET($AM$3,0,0,'Données projet'!$E$10+1,1))-AVERAGE(OFFSET($H$3,0,0,'Données projet'!$E$10+1,1))</f>
        <v>395.97781616920071</v>
      </c>
      <c r="AO150" s="62">
        <f t="shared" si="144"/>
        <v>554.05128015315631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8.1679091311178507</v>
      </c>
      <c r="AV150" s="23">
        <f>EXP(-LN(2)/25)*AV149+(1-EXP(-LN(2)/25))/(LN(2)/25)*Calculateur!AQ150*Calculateur!AS150*VLOOKUP('Données projet'!$B$10,Paramètres!$A$1:$I$89,3,0)*0.475*44/12</f>
        <v>1.2088191134153439</v>
      </c>
      <c r="AW150" s="23">
        <f>EXP(-LN(2)/2)*AW149+(1-EXP(-LN(2)/2))/(LN(2)/2)*AQ150*AT150*VLOOKUP('Données projet'!$B$10,Paramètres!$A$1:$I$89,3,0)*0.475*44/12</f>
        <v>1.2965916256149309E-14</v>
      </c>
      <c r="AX150" s="23">
        <f t="shared" si="114"/>
        <v>9.3767282445332061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72.393882557915504</v>
      </c>
      <c r="T151" s="62">
        <f t="shared" si="142"/>
        <v>321.03333748974029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7.1038098483407826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7.1038098483407826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1.7053025658242404E-13</v>
      </c>
      <c r="AJ151" s="14">
        <f>AI151*VLOOKUP('Données projet'!$B$10,Paramètres!$A$1:$I$89,3,0)*VLOOKUP('Données projet'!$B$10,Paramètres!$A$1:$I$89,5,0)</f>
        <v>1.5429577615577727E-13</v>
      </c>
      <c r="AK151" s="14">
        <f t="shared" si="143"/>
        <v>2.2038482767263348E-12</v>
      </c>
      <c r="AL151" s="22">
        <f t="shared" si="112"/>
        <v>4.107100892103012E-12</v>
      </c>
      <c r="AM151" s="62">
        <f t="shared" si="113"/>
        <v>293.33333333333741</v>
      </c>
      <c r="AN151" s="62">
        <f ca="1">AVERAGE(OFFSET($AM$3,0,0,'Données projet'!$E$10+1,1))-AVERAGE(OFFSET($H$3,0,0,'Données projet'!$E$10+1,1))</f>
        <v>395.97781616920071</v>
      </c>
      <c r="AO151" s="62">
        <f t="shared" si="144"/>
        <v>554.05128015315631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8.0077414149892743</v>
      </c>
      <c r="AV151" s="23">
        <f>EXP(-LN(2)/25)*AV150+(1-EXP(-LN(2)/25))/(LN(2)/25)*Calculateur!AQ151*Calculateur!AS151*VLOOKUP('Données projet'!$B$10,Paramètres!$A$1:$I$89,3,0)*0.475*44/12</f>
        <v>1.1757638911899668</v>
      </c>
      <c r="AW151" s="23">
        <f>EXP(-LN(2)/2)*AW150+(1-EXP(-LN(2)/2))/(LN(2)/2)*AQ151*AT151*VLOOKUP('Données projet'!$B$10,Paramètres!$A$1:$I$89,3,0)*0.475*44/12</f>
        <v>9.1682873090200685E-15</v>
      </c>
      <c r="AX151" s="23">
        <f t="shared" si="114"/>
        <v>9.1835053061792493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72.393882557915504</v>
      </c>
      <c r="T152" s="62">
        <f t="shared" si="142"/>
        <v>321.03333748974029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6.9645084701109896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6.9645084701109896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1.7053025658242404E-13</v>
      </c>
      <c r="AJ152" s="14">
        <f>AI152*VLOOKUP('Données projet'!$B$10,Paramètres!$A$1:$I$89,3,0)*VLOOKUP('Données projet'!$B$10,Paramètres!$A$1:$I$89,5,0)</f>
        <v>1.5429577615577727E-13</v>
      </c>
      <c r="AK152" s="14">
        <f t="shared" si="143"/>
        <v>2.2038482767263348E-12</v>
      </c>
      <c r="AL152" s="22">
        <f t="shared" si="112"/>
        <v>4.107100892103012E-12</v>
      </c>
      <c r="AM152" s="62">
        <f t="shared" si="113"/>
        <v>293.33333333333741</v>
      </c>
      <c r="AN152" s="62">
        <f ca="1">AVERAGE(OFFSET($AM$3,0,0,'Données projet'!$E$10+1,1))-AVERAGE(OFFSET($H$3,0,0,'Données projet'!$E$10+1,1))</f>
        <v>395.97781616920071</v>
      </c>
      <c r="AO152" s="62">
        <f t="shared" si="144"/>
        <v>554.05128015315631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7.8507144900813195</v>
      </c>
      <c r="AV152" s="23">
        <f>EXP(-LN(2)/25)*AV151+(1-EXP(-LN(2)/25))/(LN(2)/25)*Calculateur!AQ152*Calculateur!AS152*VLOOKUP('Données projet'!$B$10,Paramètres!$A$1:$I$89,3,0)*0.475*44/12</f>
        <v>1.1436125657546414</v>
      </c>
      <c r="AW152" s="23">
        <f>EXP(-LN(2)/2)*AW151+(1-EXP(-LN(2)/2))/(LN(2)/2)*AQ152*AT152*VLOOKUP('Données projet'!$B$10,Paramètres!$A$1:$I$89,3,0)*0.475*44/12</f>
        <v>6.4829581280746543E-15</v>
      </c>
      <c r="AX152" s="23">
        <f t="shared" si="114"/>
        <v>8.9943270558359671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72.393882557915504</v>
      </c>
      <c r="T153" s="62">
        <f t="shared" si="142"/>
        <v>321.03333748974029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6.8279387069428319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6.8279387069428319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1.7053025658242404E-13</v>
      </c>
      <c r="AJ153" s="14">
        <f>AI153*VLOOKUP('Données projet'!$B$10,Paramètres!$A$1:$I$89,3,0)*VLOOKUP('Données projet'!$B$10,Paramètres!$A$1:$I$89,5,0)</f>
        <v>1.5429577615577727E-13</v>
      </c>
      <c r="AK153" s="14">
        <f t="shared" si="143"/>
        <v>2.2038482767263348E-12</v>
      </c>
      <c r="AL153" s="22">
        <f t="shared" si="112"/>
        <v>4.107100892103012E-12</v>
      </c>
      <c r="AM153" s="62">
        <f t="shared" si="113"/>
        <v>293.33333333333741</v>
      </c>
      <c r="AN153" s="62">
        <f ca="1">AVERAGE(OFFSET($AM$3,0,0,'Données projet'!$E$10+1,1))-AVERAGE(OFFSET($H$3,0,0,'Données projet'!$E$10+1,1))</f>
        <v>395.97781616920071</v>
      </c>
      <c r="AO153" s="62">
        <f t="shared" si="144"/>
        <v>554.05128015315631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7.696766767393842</v>
      </c>
      <c r="AV153" s="23">
        <f>EXP(-LN(2)/25)*AV152+(1-EXP(-LN(2)/25))/(LN(2)/25)*Calculateur!AQ153*Calculateur!AS153*VLOOKUP('Données projet'!$B$10,Paramètres!$A$1:$I$89,3,0)*0.475*44/12</f>
        <v>1.1123404200041096</v>
      </c>
      <c r="AW153" s="23">
        <f>EXP(-LN(2)/2)*AW152+(1-EXP(-LN(2)/2))/(LN(2)/2)*AQ153*AT153*VLOOKUP('Données projet'!$B$10,Paramètres!$A$1:$I$89,3,0)*0.475*44/12</f>
        <v>4.5841436545100343E-15</v>
      </c>
      <c r="AX153" s="23">
        <f t="shared" si="114"/>
        <v>8.8091071873979576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72.393882557915504</v>
      </c>
      <c r="T154" s="62">
        <f t="shared" si="142"/>
        <v>321.03333748974029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6.6940469935310709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6.6940469935310709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1.7053025658242404E-13</v>
      </c>
      <c r="AJ154" s="14">
        <f>AI154*VLOOKUP('Données projet'!$B$10,Paramètres!$A$1:$I$89,3,0)*VLOOKUP('Données projet'!$B$10,Paramètres!$A$1:$I$89,5,0)</f>
        <v>1.5429577615577727E-13</v>
      </c>
      <c r="AK154" s="14">
        <f t="shared" ref="AK154:AK203" si="164">EXP(-1.0587+0.8836*LN(AJ154)+0.284)</f>
        <v>2.2038482767263348E-12</v>
      </c>
      <c r="AL154" s="22">
        <f t="shared" ref="AL154:AL203" si="165">(AJ154+AK154)*0.475*44/12</f>
        <v>4.107100892103012E-12</v>
      </c>
      <c r="AM154" s="62">
        <f t="shared" si="113"/>
        <v>293.33333333333741</v>
      </c>
      <c r="AN154" s="62">
        <f ca="1">AVERAGE(OFFSET($AM$3,0,0,'Données projet'!$E$10+1,1))-AVERAGE(OFFSET($H$3,0,0,'Données projet'!$E$10+1,1))</f>
        <v>395.97781616920071</v>
      </c>
      <c r="AO154" s="62">
        <f t="shared" si="144"/>
        <v>554.05128015315631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7.5458378656494274</v>
      </c>
      <c r="AV154" s="23">
        <f>EXP(-LN(2)/25)*AV153+(1-EXP(-LN(2)/25))/(LN(2)/25)*Calculateur!AQ154*Calculateur!AS154*VLOOKUP('Données projet'!$B$10,Paramètres!$A$1:$I$89,3,0)*0.475*44/12</f>
        <v>1.0819234127236568</v>
      </c>
      <c r="AW154" s="23">
        <f>EXP(-LN(2)/2)*AW153+(1-EXP(-LN(2)/2))/(LN(2)/2)*AQ154*AT154*VLOOKUP('Données projet'!$B$10,Paramètres!$A$1:$I$89,3,0)*0.475*44/12</f>
        <v>3.2414790640373271E-15</v>
      </c>
      <c r="AX154" s="23">
        <f t="shared" ref="AX154:AX203" si="166">SUM(AU154:AW154)</f>
        <v>8.6277612783730877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72.393882557915504</v>
      </c>
      <c r="T155" s="62">
        <f t="shared" si="142"/>
        <v>321.03333748974029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6.5627808149534337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6.5627808149534337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1.7053025658242404E-13</v>
      </c>
      <c r="AJ155" s="14">
        <f>AI155*VLOOKUP('Données projet'!$B$10,Paramètres!$A$1:$I$89,3,0)*VLOOKUP('Données projet'!$B$10,Paramètres!$A$1:$I$89,5,0)</f>
        <v>1.5429577615577727E-13</v>
      </c>
      <c r="AK155" s="14">
        <f t="shared" si="164"/>
        <v>2.2038482767263348E-12</v>
      </c>
      <c r="AL155" s="22">
        <f t="shared" si="165"/>
        <v>4.107100892103012E-12</v>
      </c>
      <c r="AM155" s="62">
        <f t="shared" si="113"/>
        <v>293.33333333333741</v>
      </c>
      <c r="AN155" s="62">
        <f ca="1">AVERAGE(OFFSET($AM$3,0,0,'Données projet'!$E$10+1,1))-AVERAGE(OFFSET($H$3,0,0,'Données projet'!$E$10+1,1))</f>
        <v>395.97781616920071</v>
      </c>
      <c r="AO155" s="62">
        <f t="shared" si="144"/>
        <v>554.05128015315631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7.39786858761068</v>
      </c>
      <c r="AV155" s="23">
        <f>EXP(-LN(2)/25)*AV154+(1-EXP(-LN(2)/25))/(LN(2)/25)*Calculateur!AQ155*Calculateur!AS155*VLOOKUP('Données projet'!$B$10,Paramètres!$A$1:$I$89,3,0)*0.475*44/12</f>
        <v>1.0523381601068489</v>
      </c>
      <c r="AW155" s="23">
        <f>EXP(-LN(2)/2)*AW154+(1-EXP(-LN(2)/2))/(LN(2)/2)*AQ155*AT155*VLOOKUP('Données projet'!$B$10,Paramètres!$A$1:$I$89,3,0)*0.475*44/12</f>
        <v>2.2920718272550171E-15</v>
      </c>
      <c r="AX155" s="23">
        <f t="shared" si="166"/>
        <v>8.4502067477175302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72.393882557915504</v>
      </c>
      <c r="T156" s="62">
        <f t="shared" si="142"/>
        <v>321.03333748974029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6.43408868607324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6.43408868607324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1.7053025658242404E-13</v>
      </c>
      <c r="AJ156" s="14">
        <f>AI156*VLOOKUP('Données projet'!$B$10,Paramètres!$A$1:$I$89,3,0)*VLOOKUP('Données projet'!$B$10,Paramètres!$A$1:$I$89,5,0)</f>
        <v>1.5429577615577727E-13</v>
      </c>
      <c r="AK156" s="14">
        <f t="shared" si="164"/>
        <v>2.2038482767263348E-12</v>
      </c>
      <c r="AL156" s="22">
        <f t="shared" si="165"/>
        <v>4.107100892103012E-12</v>
      </c>
      <c r="AM156" s="62">
        <f t="shared" si="113"/>
        <v>293.33333333333741</v>
      </c>
      <c r="AN156" s="62">
        <f ca="1">AVERAGE(OFFSET($AM$3,0,0,'Données projet'!$E$10+1,1))-AVERAGE(OFFSET($H$3,0,0,'Données projet'!$E$10+1,1))</f>
        <v>395.97781616920071</v>
      </c>
      <c r="AO156" s="62">
        <f t="shared" si="144"/>
        <v>554.05128015315631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7.2528008968619249</v>
      </c>
      <c r="AV156" s="23">
        <f>EXP(-LN(2)/25)*AV155+(1-EXP(-LN(2)/25))/(LN(2)/25)*Calculateur!AQ156*Calculateur!AS156*VLOOKUP('Données projet'!$B$10,Paramètres!$A$1:$I$89,3,0)*0.475*44/12</f>
        <v>1.0235619177786683</v>
      </c>
      <c r="AW156" s="23">
        <f>EXP(-LN(2)/2)*AW155+(1-EXP(-LN(2)/2))/(LN(2)/2)*AQ156*AT156*VLOOKUP('Données projet'!$B$10,Paramètres!$A$1:$I$89,3,0)*0.475*44/12</f>
        <v>1.6207395320186636E-15</v>
      </c>
      <c r="AX156" s="23">
        <f t="shared" si="166"/>
        <v>8.2763628146405956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72.393882557915504</v>
      </c>
      <c r="T157" s="62">
        <f t="shared" si="142"/>
        <v>321.03333748974029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6.3079201313459397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6.3079201313459397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1.7053025658242404E-13</v>
      </c>
      <c r="AJ157" s="14">
        <f>AI157*VLOOKUP('Données projet'!$B$10,Paramètres!$A$1:$I$89,3,0)*VLOOKUP('Données projet'!$B$10,Paramètres!$A$1:$I$89,5,0)</f>
        <v>1.5429577615577727E-13</v>
      </c>
      <c r="AK157" s="14">
        <f t="shared" si="164"/>
        <v>2.2038482767263348E-12</v>
      </c>
      <c r="AL157" s="22">
        <f t="shared" si="165"/>
        <v>4.107100892103012E-12</v>
      </c>
      <c r="AM157" s="62">
        <f t="shared" si="113"/>
        <v>293.33333333333741</v>
      </c>
      <c r="AN157" s="62">
        <f ca="1">AVERAGE(OFFSET($AM$3,0,0,'Données projet'!$E$10+1,1))-AVERAGE(OFFSET($H$3,0,0,'Données projet'!$E$10+1,1))</f>
        <v>395.97781616920071</v>
      </c>
      <c r="AO157" s="62">
        <f t="shared" si="144"/>
        <v>554.05128015315631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7.1105778950461982</v>
      </c>
      <c r="AV157" s="23">
        <f>EXP(-LN(2)/25)*AV156+(1-EXP(-LN(2)/25))/(LN(2)/25)*Calculateur!AQ157*Calculateur!AS157*VLOOKUP('Données projet'!$B$10,Paramètres!$A$1:$I$89,3,0)*0.475*44/12</f>
        <v>0.99557256331022881</v>
      </c>
      <c r="AW157" s="23">
        <f>EXP(-LN(2)/2)*AW156+(1-EXP(-LN(2)/2))/(LN(2)/2)*AQ157*AT157*VLOOKUP('Données projet'!$B$10,Paramètres!$A$1:$I$89,3,0)*0.475*44/12</f>
        <v>1.1460359136275086E-15</v>
      </c>
      <c r="AX157" s="23">
        <f t="shared" si="166"/>
        <v>8.1061504583564297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72.393882557915504</v>
      </c>
      <c r="T158" s="62">
        <f t="shared" si="142"/>
        <v>321.03333748974029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6.1842256650216214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6.1842256650216214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1.7053025658242404E-13</v>
      </c>
      <c r="AJ158" s="14">
        <f>AI158*VLOOKUP('Données projet'!$B$10,Paramètres!$A$1:$I$89,3,0)*VLOOKUP('Données projet'!$B$10,Paramètres!$A$1:$I$89,5,0)</f>
        <v>1.5429577615577727E-13</v>
      </c>
      <c r="AK158" s="14">
        <f t="shared" si="164"/>
        <v>2.2038482767263348E-12</v>
      </c>
      <c r="AL158" s="22">
        <f t="shared" si="165"/>
        <v>4.107100892103012E-12</v>
      </c>
      <c r="AM158" s="62">
        <f t="shared" si="113"/>
        <v>293.33333333333741</v>
      </c>
      <c r="AN158" s="62">
        <f ca="1">AVERAGE(OFFSET($AM$3,0,0,'Données projet'!$E$10+1,1))-AVERAGE(OFFSET($H$3,0,0,'Données projet'!$E$10+1,1))</f>
        <v>395.97781616920071</v>
      </c>
      <c r="AO158" s="62">
        <f t="shared" si="144"/>
        <v>554.05128015315631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6.9711437995486127</v>
      </c>
      <c r="AV158" s="23">
        <f>EXP(-LN(2)/25)*AV157+(1-EXP(-LN(2)/25))/(LN(2)/25)*Calculateur!AQ158*Calculateur!AS158*VLOOKUP('Données projet'!$B$10,Paramètres!$A$1:$I$89,3,0)*0.475*44/12</f>
        <v>0.96834857921162487</v>
      </c>
      <c r="AW158" s="23">
        <f>EXP(-LN(2)/2)*AW157+(1-EXP(-LN(2)/2))/(LN(2)/2)*AQ158*AT158*VLOOKUP('Données projet'!$B$10,Paramètres!$A$1:$I$89,3,0)*0.475*44/12</f>
        <v>8.1036976600933179E-16</v>
      </c>
      <c r="AX158" s="23">
        <f t="shared" si="166"/>
        <v>7.9394923787602387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72.393882557915504</v>
      </c>
      <c r="T159" s="62">
        <f t="shared" si="142"/>
        <v>321.03333748974029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6.0629567717357489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6.0629567717357489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1.7053025658242404E-13</v>
      </c>
      <c r="AJ159" s="14">
        <f>AI159*VLOOKUP('Données projet'!$B$10,Paramètres!$A$1:$I$89,3,0)*VLOOKUP('Données projet'!$B$10,Paramètres!$A$1:$I$89,5,0)</f>
        <v>1.5429577615577727E-13</v>
      </c>
      <c r="AK159" s="14">
        <f t="shared" si="164"/>
        <v>2.2038482767263348E-12</v>
      </c>
      <c r="AL159" s="22">
        <f t="shared" si="165"/>
        <v>4.107100892103012E-12</v>
      </c>
      <c r="AM159" s="62">
        <f t="shared" si="113"/>
        <v>293.33333333333741</v>
      </c>
      <c r="AN159" s="62">
        <f ca="1">AVERAGE(OFFSET($AM$3,0,0,'Données projet'!$E$10+1,1))-AVERAGE(OFFSET($H$3,0,0,'Données projet'!$E$10+1,1))</f>
        <v>395.97781616920071</v>
      </c>
      <c r="AO159" s="62">
        <f t="shared" si="144"/>
        <v>554.05128015315631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6.8344439216173338</v>
      </c>
      <c r="AV159" s="23">
        <f>EXP(-LN(2)/25)*AV158+(1-EXP(-LN(2)/25))/(LN(2)/25)*Calculateur!AQ159*Calculateur!AS159*VLOOKUP('Données projet'!$B$10,Paramètres!$A$1:$I$89,3,0)*0.475*44/12</f>
        <v>0.94186903638984443</v>
      </c>
      <c r="AW159" s="23">
        <f>EXP(-LN(2)/2)*AW158+(1-EXP(-LN(2)/2))/(LN(2)/2)*AQ159*AT159*VLOOKUP('Données projet'!$B$10,Paramètres!$A$1:$I$89,3,0)*0.475*44/12</f>
        <v>5.7301795681375428E-16</v>
      </c>
      <c r="AX159" s="23">
        <f t="shared" si="166"/>
        <v>7.7763129580071793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72.393882557915504</v>
      </c>
      <c r="T160" s="62">
        <f t="shared" si="142"/>
        <v>321.03333748974029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5.944065887480491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5.944065887480491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1.7053025658242404E-13</v>
      </c>
      <c r="AJ160" s="14">
        <f>AI160*VLOOKUP('Données projet'!$B$10,Paramètres!$A$1:$I$89,3,0)*VLOOKUP('Données projet'!$B$10,Paramètres!$A$1:$I$89,5,0)</f>
        <v>1.5429577615577727E-13</v>
      </c>
      <c r="AK160" s="14">
        <f t="shared" si="164"/>
        <v>2.2038482767263348E-12</v>
      </c>
      <c r="AL160" s="22">
        <f t="shared" si="165"/>
        <v>4.107100892103012E-12</v>
      </c>
      <c r="AM160" s="62">
        <f t="shared" si="113"/>
        <v>293.33333333333741</v>
      </c>
      <c r="AN160" s="62">
        <f ca="1">AVERAGE(OFFSET($AM$3,0,0,'Données projet'!$E$10+1,1))-AVERAGE(OFFSET($H$3,0,0,'Données projet'!$E$10+1,1))</f>
        <v>395.97781616920071</v>
      </c>
      <c r="AO160" s="62">
        <f t="shared" si="144"/>
        <v>554.05128015315631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6.7004246449135954</v>
      </c>
      <c r="AV160" s="23">
        <f>EXP(-LN(2)/25)*AV159+(1-EXP(-LN(2)/25))/(LN(2)/25)*Calculateur!AQ160*Calculateur!AS160*VLOOKUP('Données projet'!$B$10,Paramètres!$A$1:$I$89,3,0)*0.475*44/12</f>
        <v>0.91611357805902416</v>
      </c>
      <c r="AW160" s="23">
        <f>EXP(-LN(2)/2)*AW159+(1-EXP(-LN(2)/2))/(LN(2)/2)*AQ160*AT160*VLOOKUP('Données projet'!$B$10,Paramètres!$A$1:$I$89,3,0)*0.475*44/12</f>
        <v>4.0518488300466589E-16</v>
      </c>
      <c r="AX160" s="23">
        <f t="shared" si="166"/>
        <v>7.6165382229726193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72.393882557915504</v>
      </c>
      <c r="T161" s="62">
        <f t="shared" si="142"/>
        <v>321.03333748974029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5.8275063809491998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5.8275063809491998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1.7053025658242404E-13</v>
      </c>
      <c r="AJ161" s="14">
        <f>AI161*VLOOKUP('Données projet'!$B$10,Paramètres!$A$1:$I$89,3,0)*VLOOKUP('Données projet'!$B$10,Paramètres!$A$1:$I$89,5,0)</f>
        <v>1.5429577615577727E-13</v>
      </c>
      <c r="AK161" s="14">
        <f t="shared" si="164"/>
        <v>2.2038482767263348E-12</v>
      </c>
      <c r="AL161" s="22">
        <f t="shared" si="165"/>
        <v>4.107100892103012E-12</v>
      </c>
      <c r="AM161" s="62">
        <f t="shared" si="113"/>
        <v>293.33333333333741</v>
      </c>
      <c r="AN161" s="62">
        <f ca="1">AVERAGE(OFFSET($AM$3,0,0,'Données projet'!$E$10+1,1))-AVERAGE(OFFSET($H$3,0,0,'Données projet'!$E$10+1,1))</f>
        <v>395.97781616920071</v>
      </c>
      <c r="AO161" s="62">
        <f t="shared" si="144"/>
        <v>554.05128015315631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6.5690334044823295</v>
      </c>
      <c r="AV161" s="23">
        <f>EXP(-LN(2)/25)*AV160+(1-EXP(-LN(2)/25))/(LN(2)/25)*Calculateur!AQ161*Calculateur!AS161*VLOOKUP('Données projet'!$B$10,Paramètres!$A$1:$I$89,3,0)*0.475*44/12</f>
        <v>0.89106240409068083</v>
      </c>
      <c r="AW161" s="23">
        <f>EXP(-LN(2)/2)*AW160+(1-EXP(-LN(2)/2))/(LN(2)/2)*AQ161*AT161*VLOOKUP('Données projet'!$B$10,Paramètres!$A$1:$I$89,3,0)*0.475*44/12</f>
        <v>2.8650897840687714E-16</v>
      </c>
      <c r="AX161" s="23">
        <f t="shared" si="166"/>
        <v>7.4600958085730102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72.393882557915504</v>
      </c>
      <c r="T162" s="62">
        <f t="shared" si="142"/>
        <v>321.03333748974029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5.7132325352467079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5.7132325352467079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1.7053025658242404E-13</v>
      </c>
      <c r="AJ162" s="14">
        <f>AI162*VLOOKUP('Données projet'!$B$10,Paramètres!$A$1:$I$89,3,0)*VLOOKUP('Données projet'!$B$10,Paramètres!$A$1:$I$89,5,0)</f>
        <v>1.5429577615577727E-13</v>
      </c>
      <c r="AK162" s="14">
        <f t="shared" si="164"/>
        <v>2.2038482767263348E-12</v>
      </c>
      <c r="AL162" s="22">
        <f t="shared" si="165"/>
        <v>4.107100892103012E-12</v>
      </c>
      <c r="AM162" s="62">
        <f t="shared" si="113"/>
        <v>293.33333333333741</v>
      </c>
      <c r="AN162" s="62">
        <f ca="1">AVERAGE(OFFSET($AM$3,0,0,'Données projet'!$E$10+1,1))-AVERAGE(OFFSET($H$3,0,0,'Données projet'!$E$10+1,1))</f>
        <v>395.97781616920071</v>
      </c>
      <c r="AO162" s="62">
        <f t="shared" si="144"/>
        <v>554.05128015315631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6.4402186661351779</v>
      </c>
      <c r="AV162" s="23">
        <f>EXP(-LN(2)/25)*AV161+(1-EXP(-LN(2)/25))/(LN(2)/25)*Calculateur!AQ162*Calculateur!AS162*VLOOKUP('Données projet'!$B$10,Paramètres!$A$1:$I$89,3,0)*0.475*44/12</f>
        <v>0.86669625579188592</v>
      </c>
      <c r="AW162" s="23">
        <f>EXP(-LN(2)/2)*AW161+(1-EXP(-LN(2)/2))/(LN(2)/2)*AQ162*AT162*VLOOKUP('Données projet'!$B$10,Paramètres!$A$1:$I$89,3,0)*0.475*44/12</f>
        <v>2.0259244150233295E-16</v>
      </c>
      <c r="AX162" s="23">
        <f t="shared" si="166"/>
        <v>7.3069149219270635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72.393882557915504</v>
      </c>
      <c r="T163" s="62">
        <f t="shared" si="142"/>
        <v>321.03333748974029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5.6011995299582784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5.6011995299582784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1.7053025658242404E-13</v>
      </c>
      <c r="AJ163" s="14">
        <f>AI163*VLOOKUP('Données projet'!$B$10,Paramètres!$A$1:$I$89,3,0)*VLOOKUP('Données projet'!$B$10,Paramètres!$A$1:$I$89,5,0)</f>
        <v>1.5429577615577727E-13</v>
      </c>
      <c r="AK163" s="14">
        <f t="shared" si="164"/>
        <v>2.2038482767263348E-12</v>
      </c>
      <c r="AL163" s="22">
        <f t="shared" si="165"/>
        <v>4.107100892103012E-12</v>
      </c>
      <c r="AM163" s="62">
        <f t="shared" si="113"/>
        <v>293.33333333333741</v>
      </c>
      <c r="AN163" s="62">
        <f ca="1">AVERAGE(OFFSET($AM$3,0,0,'Données projet'!$E$10+1,1))-AVERAGE(OFFSET($H$3,0,0,'Données projet'!$E$10+1,1))</f>
        <v>395.97781616920071</v>
      </c>
      <c r="AO163" s="62">
        <f t="shared" si="144"/>
        <v>554.05128015315631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6.3139299062377816</v>
      </c>
      <c r="AV163" s="23">
        <f>EXP(-LN(2)/25)*AV162+(1-EXP(-LN(2)/25))/(LN(2)/25)*Calculateur!AQ163*Calculateur!AS163*VLOOKUP('Données projet'!$B$10,Paramètres!$A$1:$I$89,3,0)*0.475*44/12</f>
        <v>0.84299640109968155</v>
      </c>
      <c r="AW163" s="23">
        <f>EXP(-LN(2)/2)*AW162+(1-EXP(-LN(2)/2))/(LN(2)/2)*AQ163*AT163*VLOOKUP('Données projet'!$B$10,Paramètres!$A$1:$I$89,3,0)*0.475*44/12</f>
        <v>1.4325448920343857E-16</v>
      </c>
      <c r="AX163" s="23">
        <f t="shared" si="166"/>
        <v>7.1569263073374634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72.393882557915504</v>
      </c>
      <c r="T164" s="62">
        <f t="shared" si="142"/>
        <v>321.03333748974029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5.4913634235701689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5.4913634235701689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1.7053025658242404E-13</v>
      </c>
      <c r="AJ164" s="14">
        <f>AI164*VLOOKUP('Données projet'!$B$10,Paramètres!$A$1:$I$89,3,0)*VLOOKUP('Données projet'!$B$10,Paramètres!$A$1:$I$89,5,0)</f>
        <v>1.5429577615577727E-13</v>
      </c>
      <c r="AK164" s="14">
        <f t="shared" si="164"/>
        <v>2.2038482767263348E-12</v>
      </c>
      <c r="AL164" s="22">
        <f t="shared" si="165"/>
        <v>4.107100892103012E-12</v>
      </c>
      <c r="AM164" s="62">
        <f t="shared" si="113"/>
        <v>293.33333333333741</v>
      </c>
      <c r="AN164" s="62">
        <f ca="1">AVERAGE(OFFSET($AM$3,0,0,'Données projet'!$E$10+1,1))-AVERAGE(OFFSET($H$3,0,0,'Données projet'!$E$10+1,1))</f>
        <v>395.97781616920071</v>
      </c>
      <c r="AO164" s="62">
        <f t="shared" si="144"/>
        <v>554.05128015315631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6.1901175918934355</v>
      </c>
      <c r="AV164" s="23">
        <f>EXP(-LN(2)/25)*AV163+(1-EXP(-LN(2)/25))/(LN(2)/25)*Calculateur!AQ164*Calculateur!AS164*VLOOKUP('Données projet'!$B$10,Paramètres!$A$1:$I$89,3,0)*0.475*44/12</f>
        <v>0.81994462018035674</v>
      </c>
      <c r="AW164" s="23">
        <f>EXP(-LN(2)/2)*AW163+(1-EXP(-LN(2)/2))/(LN(2)/2)*AQ164*AT164*VLOOKUP('Données projet'!$B$10,Paramètres!$A$1:$I$89,3,0)*0.475*44/12</f>
        <v>1.0129622075116647E-16</v>
      </c>
      <c r="AX164" s="23">
        <f t="shared" si="166"/>
        <v>7.0100622120737919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72.393882557915504</v>
      </c>
      <c r="T165" s="62">
        <f t="shared" si="142"/>
        <v>321.03333748974029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5.3836811362349204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5.3836811362349204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1.7053025658242404E-13</v>
      </c>
      <c r="AJ165" s="14">
        <f>AI165*VLOOKUP('Données projet'!$B$10,Paramètres!$A$1:$I$89,3,0)*VLOOKUP('Données projet'!$B$10,Paramètres!$A$1:$I$89,5,0)</f>
        <v>1.5429577615577727E-13</v>
      </c>
      <c r="AK165" s="14">
        <f t="shared" si="164"/>
        <v>2.2038482767263348E-12</v>
      </c>
      <c r="AL165" s="22">
        <f t="shared" si="165"/>
        <v>4.107100892103012E-12</v>
      </c>
      <c r="AM165" s="62">
        <f t="shared" si="113"/>
        <v>293.33333333333741</v>
      </c>
      <c r="AN165" s="62">
        <f ca="1">AVERAGE(OFFSET($AM$3,0,0,'Données projet'!$E$10+1,1))-AVERAGE(OFFSET($H$3,0,0,'Données projet'!$E$10+1,1))</f>
        <v>395.97781616920071</v>
      </c>
      <c r="AO165" s="62">
        <f t="shared" si="144"/>
        <v>554.05128015315631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6.0687331615153273</v>
      </c>
      <c r="AV165" s="23">
        <f>EXP(-LN(2)/25)*AV164+(1-EXP(-LN(2)/25))/(LN(2)/25)*Calculateur!AQ165*Calculateur!AS165*VLOOKUP('Données projet'!$B$10,Paramètres!$A$1:$I$89,3,0)*0.475*44/12</f>
        <v>0.79752319142251127</v>
      </c>
      <c r="AW165" s="23">
        <f>EXP(-LN(2)/2)*AW164+(1-EXP(-LN(2)/2))/(LN(2)/2)*AQ165*AT165*VLOOKUP('Données projet'!$B$10,Paramètres!$A$1:$I$89,3,0)*0.475*44/12</f>
        <v>7.1627244601719285E-17</v>
      </c>
      <c r="AX165" s="23">
        <f t="shared" si="166"/>
        <v>6.8662563529378389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72.393882557915504</v>
      </c>
      <c r="T166" s="62">
        <f t="shared" si="142"/>
        <v>321.03333748974029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5.2781104328746062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5.2781104328746062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1.7053025658242404E-13</v>
      </c>
      <c r="AJ166" s="14">
        <f>AI166*VLOOKUP('Données projet'!$B$10,Paramètres!$A$1:$I$89,3,0)*VLOOKUP('Données projet'!$B$10,Paramètres!$A$1:$I$89,5,0)</f>
        <v>1.5429577615577727E-13</v>
      </c>
      <c r="AK166" s="14">
        <f t="shared" si="164"/>
        <v>2.2038482767263348E-12</v>
      </c>
      <c r="AL166" s="22">
        <f t="shared" si="165"/>
        <v>4.107100892103012E-12</v>
      </c>
      <c r="AM166" s="62">
        <f t="shared" si="113"/>
        <v>293.33333333333741</v>
      </c>
      <c r="AN166" s="62">
        <f ca="1">AVERAGE(OFFSET($AM$3,0,0,'Données projet'!$E$10+1,1))-AVERAGE(OFFSET($H$3,0,0,'Données projet'!$E$10+1,1))</f>
        <v>395.97781616920071</v>
      </c>
      <c r="AO166" s="62">
        <f t="shared" si="144"/>
        <v>554.05128015315631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5.9497290057797416</v>
      </c>
      <c r="AV166" s="23">
        <f>EXP(-LN(2)/25)*AV165+(1-EXP(-LN(2)/25))/(LN(2)/25)*Calculateur!AQ166*Calculateur!AS166*VLOOKUP('Données projet'!$B$10,Paramètres!$A$1:$I$89,3,0)*0.475*44/12</f>
        <v>0.77571487781314086</v>
      </c>
      <c r="AW166" s="23">
        <f>EXP(-LN(2)/2)*AW165+(1-EXP(-LN(2)/2))/(LN(2)/2)*AQ166*AT166*VLOOKUP('Données projet'!$B$10,Paramètres!$A$1:$I$89,3,0)*0.475*44/12</f>
        <v>5.0648110375583237E-17</v>
      </c>
      <c r="AX166" s="23">
        <f t="shared" si="166"/>
        <v>6.7254438835928827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72.393882557915504</v>
      </c>
      <c r="T167" s="62">
        <f t="shared" si="142"/>
        <v>321.03333748974029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5.1746099066154168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5.1746099066154168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1.7053025658242404E-13</v>
      </c>
      <c r="AJ167" s="14">
        <f>AI167*VLOOKUP('Données projet'!$B$10,Paramètres!$A$1:$I$89,3,0)*VLOOKUP('Données projet'!$B$10,Paramètres!$A$1:$I$89,5,0)</f>
        <v>1.5429577615577727E-13</v>
      </c>
      <c r="AK167" s="14">
        <f t="shared" si="164"/>
        <v>2.2038482767263348E-12</v>
      </c>
      <c r="AL167" s="22">
        <f t="shared" si="165"/>
        <v>4.107100892103012E-12</v>
      </c>
      <c r="AM167" s="62">
        <f t="shared" si="113"/>
        <v>293.33333333333741</v>
      </c>
      <c r="AN167" s="62">
        <f ca="1">AVERAGE(OFFSET($AM$3,0,0,'Données projet'!$E$10+1,1))-AVERAGE(OFFSET($H$3,0,0,'Données projet'!$E$10+1,1))</f>
        <v>395.97781616920071</v>
      </c>
      <c r="AO167" s="62">
        <f t="shared" si="144"/>
        <v>554.05128015315631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5.8330584489527624</v>
      </c>
      <c r="AV167" s="23">
        <f>EXP(-LN(2)/25)*AV166+(1-EXP(-LN(2)/25))/(LN(2)/25)*Calculateur!AQ167*Calculateur!AS167*VLOOKUP('Données projet'!$B$10,Paramètres!$A$1:$I$89,3,0)*0.475*44/12</f>
        <v>0.75450291368626798</v>
      </c>
      <c r="AW167" s="23">
        <f>EXP(-LN(2)/2)*AW166+(1-EXP(-LN(2)/2))/(LN(2)/2)*AQ167*AT167*VLOOKUP('Données projet'!$B$10,Paramètres!$A$1:$I$89,3,0)*0.475*44/12</f>
        <v>3.5813622300859643E-17</v>
      </c>
      <c r="AX167" s="23">
        <f t="shared" si="166"/>
        <v>6.5875613626390308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72.393882557915504</v>
      </c>
      <c r="T168" s="62">
        <f t="shared" si="142"/>
        <v>321.03333748974029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5.0731389625470822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5.0731389625470822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1.7053025658242404E-13</v>
      </c>
      <c r="AJ168" s="14">
        <f>AI168*VLOOKUP('Données projet'!$B$10,Paramètres!$A$1:$I$89,3,0)*VLOOKUP('Données projet'!$B$10,Paramètres!$A$1:$I$89,5,0)</f>
        <v>1.5429577615577727E-13</v>
      </c>
      <c r="AK168" s="14">
        <f t="shared" si="164"/>
        <v>2.2038482767263348E-12</v>
      </c>
      <c r="AL168" s="22">
        <f t="shared" si="165"/>
        <v>4.107100892103012E-12</v>
      </c>
      <c r="AM168" s="62">
        <f t="shared" si="113"/>
        <v>293.33333333333741</v>
      </c>
      <c r="AN168" s="62">
        <f ca="1">AVERAGE(OFFSET($AM$3,0,0,'Données projet'!$E$10+1,1))-AVERAGE(OFFSET($H$3,0,0,'Données projet'!$E$10+1,1))</f>
        <v>395.97781616920071</v>
      </c>
      <c r="AO168" s="62">
        <f t="shared" si="144"/>
        <v>554.05128015315631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5.7186757305831479</v>
      </c>
      <c r="AV168" s="23">
        <f>EXP(-LN(2)/25)*AV167+(1-EXP(-LN(2)/25))/(LN(2)/25)*Calculateur!AQ168*Calculateur!AS168*VLOOKUP('Données projet'!$B$10,Paramètres!$A$1:$I$89,3,0)*0.475*44/12</f>
        <v>0.73387099183393323</v>
      </c>
      <c r="AW168" s="23">
        <f>EXP(-LN(2)/2)*AW167+(1-EXP(-LN(2)/2))/(LN(2)/2)*AQ168*AT168*VLOOKUP('Données projet'!$B$10,Paramètres!$A$1:$I$89,3,0)*0.475*44/12</f>
        <v>2.5324055187791618E-17</v>
      </c>
      <c r="AX168" s="23">
        <f t="shared" si="166"/>
        <v>6.4525467224170807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72.393882557915504</v>
      </c>
      <c r="T169" s="62">
        <f t="shared" si="142"/>
        <v>321.03333748974029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4.9736578018007638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4.9736578018007638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1.7053025658242404E-13</v>
      </c>
      <c r="AJ169" s="14">
        <f>AI169*VLOOKUP('Données projet'!$B$10,Paramètres!$A$1:$I$89,3,0)*VLOOKUP('Données projet'!$B$10,Paramètres!$A$1:$I$89,5,0)</f>
        <v>1.5429577615577727E-13</v>
      </c>
      <c r="AK169" s="14">
        <f t="shared" si="164"/>
        <v>2.2038482767263348E-12</v>
      </c>
      <c r="AL169" s="22">
        <f t="shared" si="165"/>
        <v>4.107100892103012E-12</v>
      </c>
      <c r="AM169" s="62">
        <f t="shared" si="113"/>
        <v>293.33333333333741</v>
      </c>
      <c r="AN169" s="62">
        <f ca="1">AVERAGE(OFFSET($AM$3,0,0,'Données projet'!$E$10+1,1))-AVERAGE(OFFSET($H$3,0,0,'Données projet'!$E$10+1,1))</f>
        <v>395.97781616920071</v>
      </c>
      <c r="AO169" s="62">
        <f t="shared" si="144"/>
        <v>554.05128015315631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5.6065359875541922</v>
      </c>
      <c r="AV169" s="23">
        <f>EXP(-LN(2)/25)*AV168+(1-EXP(-LN(2)/25))/(LN(2)/25)*Calculateur!AQ169*Calculateur!AS169*VLOOKUP('Données projet'!$B$10,Paramètres!$A$1:$I$89,3,0)*0.475*44/12</f>
        <v>0.71380325096963615</v>
      </c>
      <c r="AW169" s="23">
        <f>EXP(-LN(2)/2)*AW168+(1-EXP(-LN(2)/2))/(LN(2)/2)*AQ169*AT169*VLOOKUP('Données projet'!$B$10,Paramètres!$A$1:$I$89,3,0)*0.475*44/12</f>
        <v>1.7906811150429821E-17</v>
      </c>
      <c r="AX169" s="23">
        <f t="shared" si="166"/>
        <v>6.3203392385238288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72.393882557915504</v>
      </c>
      <c r="T170" s="62">
        <f t="shared" si="142"/>
        <v>321.03333748974029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4.8761274059391635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4.8761274059391635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1.7053025658242404E-13</v>
      </c>
      <c r="AJ170" s="14">
        <f>AI170*VLOOKUP('Données projet'!$B$10,Paramètres!$A$1:$I$89,3,0)*VLOOKUP('Données projet'!$B$10,Paramètres!$A$1:$I$89,5,0)</f>
        <v>1.5429577615577727E-13</v>
      </c>
      <c r="AK170" s="14">
        <f t="shared" si="164"/>
        <v>2.2038482767263348E-12</v>
      </c>
      <c r="AL170" s="22">
        <f t="shared" si="165"/>
        <v>4.107100892103012E-12</v>
      </c>
      <c r="AM170" s="62">
        <f t="shared" si="113"/>
        <v>293.33333333333741</v>
      </c>
      <c r="AN170" s="62">
        <f ca="1">AVERAGE(OFFSET($AM$3,0,0,'Données projet'!$E$10+1,1))-AVERAGE(OFFSET($H$3,0,0,'Données projet'!$E$10+1,1))</f>
        <v>395.97781616920071</v>
      </c>
      <c r="AO170" s="62">
        <f t="shared" si="144"/>
        <v>554.05128015315631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5.4965952364875443</v>
      </c>
      <c r="AV170" s="23">
        <f>EXP(-LN(2)/25)*AV169+(1-EXP(-LN(2)/25))/(LN(2)/25)*Calculateur!AQ170*Calculateur!AS170*VLOOKUP('Données projet'!$B$10,Paramètres!$A$1:$I$89,3,0)*0.475*44/12</f>
        <v>0.69428426353458994</v>
      </c>
      <c r="AW170" s="23">
        <f>EXP(-LN(2)/2)*AW169+(1-EXP(-LN(2)/2))/(LN(2)/2)*AQ170*AT170*VLOOKUP('Données projet'!$B$10,Paramètres!$A$1:$I$89,3,0)*0.475*44/12</f>
        <v>1.2662027593895809E-17</v>
      </c>
      <c r="AX170" s="23">
        <f t="shared" si="166"/>
        <v>6.1908795000221346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72.393882557915504</v>
      </c>
      <c r="T171" s="62">
        <f t="shared" si="142"/>
        <v>321.03333748974029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4.7805095216527418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4.7805095216527418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1.7053025658242404E-13</v>
      </c>
      <c r="AJ171" s="14">
        <f>AI171*VLOOKUP('Données projet'!$B$10,Paramètres!$A$1:$I$89,3,0)*VLOOKUP('Données projet'!$B$10,Paramètres!$A$1:$I$89,5,0)</f>
        <v>1.5429577615577727E-13</v>
      </c>
      <c r="AK171" s="14">
        <f t="shared" si="164"/>
        <v>2.2038482767263348E-12</v>
      </c>
      <c r="AL171" s="22">
        <f t="shared" si="165"/>
        <v>4.107100892103012E-12</v>
      </c>
      <c r="AM171" s="62">
        <f t="shared" si="113"/>
        <v>293.33333333333741</v>
      </c>
      <c r="AN171" s="62">
        <f ca="1">AVERAGE(OFFSET($AM$3,0,0,'Données projet'!$E$10+1,1))-AVERAGE(OFFSET($H$3,0,0,'Données projet'!$E$10+1,1))</f>
        <v>395.97781616920071</v>
      </c>
      <c r="AO171" s="62">
        <f t="shared" si="144"/>
        <v>554.05128015315631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5.3888103564920771</v>
      </c>
      <c r="AV171" s="23">
        <f>EXP(-LN(2)/25)*AV170+(1-EXP(-LN(2)/25))/(LN(2)/25)*Calculateur!AQ171*Calculateur!AS171*VLOOKUP('Données projet'!$B$10,Paramètres!$A$1:$I$89,3,0)*0.475*44/12</f>
        <v>0.67529902383741391</v>
      </c>
      <c r="AW171" s="23">
        <f>EXP(-LN(2)/2)*AW170+(1-EXP(-LN(2)/2))/(LN(2)/2)*AQ171*AT171*VLOOKUP('Données projet'!$B$10,Paramètres!$A$1:$I$89,3,0)*0.475*44/12</f>
        <v>8.9534055752149107E-18</v>
      </c>
      <c r="AX171" s="23">
        <f t="shared" si="166"/>
        <v>6.0641093803294908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72.393882557915504</v>
      </c>
      <c r="T172" s="62">
        <f t="shared" si="142"/>
        <v>321.03333748974029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4.686766645756026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4.686766645756026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1.7053025658242404E-13</v>
      </c>
      <c r="AJ172" s="14">
        <f>AI172*VLOOKUP('Données projet'!$B$10,Paramètres!$A$1:$I$89,3,0)*VLOOKUP('Données projet'!$B$10,Paramètres!$A$1:$I$89,5,0)</f>
        <v>1.5429577615577727E-13</v>
      </c>
      <c r="AK172" s="14">
        <f t="shared" si="164"/>
        <v>2.2038482767263348E-12</v>
      </c>
      <c r="AL172" s="22">
        <f t="shared" si="165"/>
        <v>4.107100892103012E-12</v>
      </c>
      <c r="AM172" s="62">
        <f t="shared" si="113"/>
        <v>293.33333333333741</v>
      </c>
      <c r="AN172" s="62">
        <f ca="1">AVERAGE(OFFSET($AM$3,0,0,'Données projet'!$E$10+1,1))-AVERAGE(OFFSET($H$3,0,0,'Données projet'!$E$10+1,1))</f>
        <v>395.97781616920071</v>
      </c>
      <c r="AO172" s="62">
        <f t="shared" si="144"/>
        <v>554.05128015315631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5.2831390722510356</v>
      </c>
      <c r="AV172" s="23">
        <f>EXP(-LN(2)/25)*AV171+(1-EXP(-LN(2)/25))/(LN(2)/25)*Calculateur!AQ172*Calculateur!AS172*VLOOKUP('Données projet'!$B$10,Paramètres!$A$1:$I$89,3,0)*0.475*44/12</f>
        <v>0.65683293651814756</v>
      </c>
      <c r="AW172" s="23">
        <f>EXP(-LN(2)/2)*AW171+(1-EXP(-LN(2)/2))/(LN(2)/2)*AQ172*AT172*VLOOKUP('Données projet'!$B$10,Paramètres!$A$1:$I$89,3,0)*0.475*44/12</f>
        <v>6.3310137969479046E-18</v>
      </c>
      <c r="AX172" s="23">
        <f t="shared" si="166"/>
        <v>5.9399720087691836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72.393882557915504</v>
      </c>
      <c r="T173" s="62">
        <f t="shared" si="142"/>
        <v>321.03333748974029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4.5948620104781366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4.5948620104781366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1.7053025658242404E-13</v>
      </c>
      <c r="AJ173" s="14">
        <f>AI173*VLOOKUP('Données projet'!$B$10,Paramètres!$A$1:$I$89,3,0)*VLOOKUP('Données projet'!$B$10,Paramètres!$A$1:$I$89,5,0)</f>
        <v>1.5429577615577727E-13</v>
      </c>
      <c r="AK173" s="14">
        <f t="shared" si="164"/>
        <v>2.2038482767263348E-12</v>
      </c>
      <c r="AL173" s="22">
        <f t="shared" si="165"/>
        <v>4.107100892103012E-12</v>
      </c>
      <c r="AM173" s="62">
        <f t="shared" si="113"/>
        <v>293.33333333333741</v>
      </c>
      <c r="AN173" s="62">
        <f ca="1">AVERAGE(OFFSET($AM$3,0,0,'Données projet'!$E$10+1,1))-AVERAGE(OFFSET($H$3,0,0,'Données projet'!$E$10+1,1))</f>
        <v>395.97781616920071</v>
      </c>
      <c r="AO173" s="62">
        <f t="shared" si="144"/>
        <v>554.05128015315631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5.1795399374408415</v>
      </c>
      <c r="AV173" s="23">
        <f>EXP(-LN(2)/25)*AV172+(1-EXP(-LN(2)/25))/(LN(2)/25)*Calculateur!AQ173*Calculateur!AS173*VLOOKUP('Données projet'!$B$10,Paramètres!$A$1:$I$89,3,0)*0.475*44/12</f>
        <v>0.63887180532771592</v>
      </c>
      <c r="AW173" s="23">
        <f>EXP(-LN(2)/2)*AW172+(1-EXP(-LN(2)/2))/(LN(2)/2)*AQ173*AT173*VLOOKUP('Données projet'!$B$10,Paramètres!$A$1:$I$89,3,0)*0.475*44/12</f>
        <v>4.4767027876074553E-18</v>
      </c>
      <c r="AX173" s="23">
        <f t="shared" si="166"/>
        <v>5.8184117427685571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72.393882557915504</v>
      </c>
      <c r="T174" s="62">
        <f t="shared" si="142"/>
        <v>321.03333748974029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4.5047595690417541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4.5047595690417541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1.7053025658242404E-13</v>
      </c>
      <c r="AJ174" s="14">
        <f>AI174*VLOOKUP('Données projet'!$B$10,Paramètres!$A$1:$I$89,3,0)*VLOOKUP('Données projet'!$B$10,Paramètres!$A$1:$I$89,5,0)</f>
        <v>1.5429577615577727E-13</v>
      </c>
      <c r="AK174" s="14">
        <f t="shared" si="164"/>
        <v>2.2038482767263348E-12</v>
      </c>
      <c r="AL174" s="22">
        <f t="shared" si="165"/>
        <v>4.107100892103012E-12</v>
      </c>
      <c r="AM174" s="62">
        <f t="shared" si="113"/>
        <v>293.33333333333741</v>
      </c>
      <c r="AN174" s="62">
        <f ca="1">AVERAGE(OFFSET($AM$3,0,0,'Données projet'!$E$10+1,1))-AVERAGE(OFFSET($H$3,0,0,'Données projet'!$E$10+1,1))</f>
        <v>395.97781616920071</v>
      </c>
      <c r="AO174" s="62">
        <f t="shared" si="144"/>
        <v>554.05128015315631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5.0779723184750427</v>
      </c>
      <c r="AV174" s="23">
        <f>EXP(-LN(2)/25)*AV173+(1-EXP(-LN(2)/25))/(LN(2)/25)*Calculateur!AQ174*Calculateur!AS174*VLOOKUP('Données projet'!$B$10,Paramètres!$A$1:$I$89,3,0)*0.475*44/12</f>
        <v>0.62140182221422147</v>
      </c>
      <c r="AW174" s="23">
        <f>EXP(-LN(2)/2)*AW173+(1-EXP(-LN(2)/2))/(LN(2)/2)*AQ174*AT174*VLOOKUP('Données projet'!$B$10,Paramètres!$A$1:$I$89,3,0)*0.475*44/12</f>
        <v>3.1655068984739523E-18</v>
      </c>
      <c r="AX174" s="23">
        <f t="shared" si="166"/>
        <v>5.6993741406892644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72.393882557915504</v>
      </c>
      <c r="T175" s="62">
        <f t="shared" si="142"/>
        <v>321.03333748974029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4.4164239815248765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4.4164239815248765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1.7053025658242404E-13</v>
      </c>
      <c r="AJ175" s="14">
        <f>AI175*VLOOKUP('Données projet'!$B$10,Paramètres!$A$1:$I$89,3,0)*VLOOKUP('Données projet'!$B$10,Paramètres!$A$1:$I$89,5,0)</f>
        <v>1.5429577615577727E-13</v>
      </c>
      <c r="AK175" s="14">
        <f t="shared" si="164"/>
        <v>2.2038482767263348E-12</v>
      </c>
      <c r="AL175" s="22">
        <f t="shared" si="165"/>
        <v>4.107100892103012E-12</v>
      </c>
      <c r="AM175" s="62">
        <f t="shared" si="113"/>
        <v>293.33333333333741</v>
      </c>
      <c r="AN175" s="62">
        <f ca="1">AVERAGE(OFFSET($AM$3,0,0,'Données projet'!$E$10+1,1))-AVERAGE(OFFSET($H$3,0,0,'Données projet'!$E$10+1,1))</f>
        <v>395.97781616920071</v>
      </c>
      <c r="AO175" s="62">
        <f t="shared" si="144"/>
        <v>554.05128015315631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4.9783963785670329</v>
      </c>
      <c r="AV175" s="23">
        <f>EXP(-LN(2)/25)*AV174+(1-EXP(-LN(2)/25))/(LN(2)/25)*Calculateur!AQ175*Calculateur!AS175*VLOOKUP('Données projet'!$B$10,Paramètres!$A$1:$I$89,3,0)*0.475*44/12</f>
        <v>0.60440955670767194</v>
      </c>
      <c r="AW175" s="23">
        <f>EXP(-LN(2)/2)*AW174+(1-EXP(-LN(2)/2))/(LN(2)/2)*AQ175*AT175*VLOOKUP('Données projet'!$B$10,Paramètres!$A$1:$I$89,3,0)*0.475*44/12</f>
        <v>2.2383513938037277E-18</v>
      </c>
      <c r="AX175" s="23">
        <f t="shared" si="166"/>
        <v>5.5828059352747044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72.393882557915504</v>
      </c>
      <c r="T176" s="62">
        <f t="shared" si="142"/>
        <v>321.03333748974029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4.3298206009998168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4.3298206009998168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1.7053025658242404E-13</v>
      </c>
      <c r="AJ176" s="14">
        <f>AI176*VLOOKUP('Données projet'!$B$10,Paramètres!$A$1:$I$89,3,0)*VLOOKUP('Données projet'!$B$10,Paramètres!$A$1:$I$89,5,0)</f>
        <v>1.5429577615577727E-13</v>
      </c>
      <c r="AK176" s="14">
        <f t="shared" si="164"/>
        <v>2.2038482767263348E-12</v>
      </c>
      <c r="AL176" s="22">
        <f t="shared" si="165"/>
        <v>4.107100892103012E-12</v>
      </c>
      <c r="AM176" s="62">
        <f t="shared" si="113"/>
        <v>293.33333333333741</v>
      </c>
      <c r="AN176" s="62">
        <f ca="1">AVERAGE(OFFSET($AM$3,0,0,'Données projet'!$E$10+1,1))-AVERAGE(OFFSET($H$3,0,0,'Données projet'!$E$10+1,1))</f>
        <v>395.97781616920071</v>
      </c>
      <c r="AO176" s="62">
        <f t="shared" si="144"/>
        <v>554.05128015315631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4.8807730621052929</v>
      </c>
      <c r="AV176" s="23">
        <f>EXP(-LN(2)/25)*AV175+(1-EXP(-LN(2)/25))/(LN(2)/25)*Calculateur!AQ176*Calculateur!AS176*VLOOKUP('Données projet'!$B$10,Paramètres!$A$1:$I$89,3,0)*0.475*44/12</f>
        <v>0.58788194559498341</v>
      </c>
      <c r="AW176" s="23">
        <f>EXP(-LN(2)/2)*AW175+(1-EXP(-LN(2)/2))/(LN(2)/2)*AQ176*AT176*VLOOKUP('Données projet'!$B$10,Paramètres!$A$1:$I$89,3,0)*0.475*44/12</f>
        <v>1.5827534492369761E-18</v>
      </c>
      <c r="AX176" s="23">
        <f t="shared" si="166"/>
        <v>5.468655007700276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72.393882557915504</v>
      </c>
      <c r="T177" s="62">
        <f t="shared" si="142"/>
        <v>321.03333748974029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4.2449154599440071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4.2449154599440071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1.7053025658242404E-13</v>
      </c>
      <c r="AJ177" s="14">
        <f>AI177*VLOOKUP('Données projet'!$B$10,Paramètres!$A$1:$I$89,3,0)*VLOOKUP('Données projet'!$B$10,Paramètres!$A$1:$I$89,5,0)</f>
        <v>1.5429577615577727E-13</v>
      </c>
      <c r="AK177" s="14">
        <f t="shared" si="164"/>
        <v>2.2038482767263348E-12</v>
      </c>
      <c r="AL177" s="22">
        <f t="shared" si="165"/>
        <v>4.107100892103012E-12</v>
      </c>
      <c r="AM177" s="62">
        <f t="shared" si="113"/>
        <v>293.33333333333741</v>
      </c>
      <c r="AN177" s="62">
        <f ca="1">AVERAGE(OFFSET($AM$3,0,0,'Données projet'!$E$10+1,1))-AVERAGE(OFFSET($H$3,0,0,'Données projet'!$E$10+1,1))</f>
        <v>395.97781616920071</v>
      </c>
      <c r="AO177" s="62">
        <f t="shared" si="144"/>
        <v>554.05128015315631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4.7850640793350241</v>
      </c>
      <c r="AV177" s="23">
        <f>EXP(-LN(2)/25)*AV176+(1-EXP(-LN(2)/25))/(LN(2)/25)*Calculateur!AQ177*Calculateur!AS177*VLOOKUP('Données projet'!$B$10,Paramètres!$A$1:$I$89,3,0)*0.475*44/12</f>
        <v>0.57180628287732072</v>
      </c>
      <c r="AW177" s="23">
        <f>EXP(-LN(2)/2)*AW176+(1-EXP(-LN(2)/2))/(LN(2)/2)*AQ177*AT177*VLOOKUP('Données projet'!$B$10,Paramètres!$A$1:$I$89,3,0)*0.475*44/12</f>
        <v>1.1191756969018638E-18</v>
      </c>
      <c r="AX177" s="23">
        <f t="shared" si="166"/>
        <v>5.3568703622123444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72.393882557915504</v>
      </c>
      <c r="T178" s="62">
        <f t="shared" si="142"/>
        <v>321.03333748974029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4.1616752569172792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4.1616752569172792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1.7053025658242404E-13</v>
      </c>
      <c r="AJ178" s="14">
        <f>AI178*VLOOKUP('Données projet'!$B$10,Paramètres!$A$1:$I$89,3,0)*VLOOKUP('Données projet'!$B$10,Paramètres!$A$1:$I$89,5,0)</f>
        <v>1.5429577615577727E-13</v>
      </c>
      <c r="AK178" s="14">
        <f t="shared" si="164"/>
        <v>2.2038482767263348E-12</v>
      </c>
      <c r="AL178" s="22">
        <f t="shared" si="165"/>
        <v>4.107100892103012E-12</v>
      </c>
      <c r="AM178" s="62">
        <f t="shared" si="113"/>
        <v>293.33333333333741</v>
      </c>
      <c r="AN178" s="62">
        <f ca="1">AVERAGE(OFFSET($AM$3,0,0,'Données projet'!$E$10+1,1))-AVERAGE(OFFSET($H$3,0,0,'Données projet'!$E$10+1,1))</f>
        <v>395.97781616920071</v>
      </c>
      <c r="AO178" s="62">
        <f t="shared" si="144"/>
        <v>554.05128015315631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4.6912318913401645</v>
      </c>
      <c r="AV178" s="23">
        <f>EXP(-LN(2)/25)*AV177+(1-EXP(-LN(2)/25))/(LN(2)/25)*Calculateur!AQ178*Calculateur!AS178*VLOOKUP('Données projet'!$B$10,Paramètres!$A$1:$I$89,3,0)*0.475*44/12</f>
        <v>0.5561702100020548</v>
      </c>
      <c r="AW178" s="23">
        <f>EXP(-LN(2)/2)*AW177+(1-EXP(-LN(2)/2))/(LN(2)/2)*AQ178*AT178*VLOOKUP('Données projet'!$B$10,Paramètres!$A$1:$I$89,3,0)*0.475*44/12</f>
        <v>7.9137672461848807E-19</v>
      </c>
      <c r="AX178" s="23">
        <f t="shared" si="166"/>
        <v>5.2474021013422192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72.393882557915504</v>
      </c>
      <c r="T179" s="62">
        <f t="shared" si="142"/>
        <v>321.03333748974029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4.0800673435003949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4.0800673435003949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1.7053025658242404E-13</v>
      </c>
      <c r="AJ179" s="14">
        <f>AI179*VLOOKUP('Données projet'!$B$10,Paramètres!$A$1:$I$89,3,0)*VLOOKUP('Données projet'!$B$10,Paramètres!$A$1:$I$89,5,0)</f>
        <v>1.5429577615577727E-13</v>
      </c>
      <c r="AK179" s="14">
        <f t="shared" si="164"/>
        <v>2.2038482767263348E-12</v>
      </c>
      <c r="AL179" s="22">
        <f t="shared" si="165"/>
        <v>4.107100892103012E-12</v>
      </c>
      <c r="AM179" s="62">
        <f t="shared" si="113"/>
        <v>293.33333333333741</v>
      </c>
      <c r="AN179" s="62">
        <f ca="1">AVERAGE(OFFSET($AM$3,0,0,'Données projet'!$E$10+1,1))-AVERAGE(OFFSET($H$3,0,0,'Données projet'!$E$10+1,1))</f>
        <v>395.97781616920071</v>
      </c>
      <c r="AO179" s="62">
        <f t="shared" si="144"/>
        <v>554.05128015315631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4.5992396953199011</v>
      </c>
      <c r="AV179" s="23">
        <f>EXP(-LN(2)/25)*AV178+(1-EXP(-LN(2)/25))/(LN(2)/25)*Calculateur!AQ179*Calculateur!AS179*VLOOKUP('Données projet'!$B$10,Paramètres!$A$1:$I$89,3,0)*0.475*44/12</f>
        <v>0.54096170636182839</v>
      </c>
      <c r="AW179" s="23">
        <f>EXP(-LN(2)/2)*AW178+(1-EXP(-LN(2)/2))/(LN(2)/2)*AQ179*AT179*VLOOKUP('Données projet'!$B$10,Paramètres!$A$1:$I$89,3,0)*0.475*44/12</f>
        <v>5.5958784845093192E-19</v>
      </c>
      <c r="AX179" s="23">
        <f t="shared" si="166"/>
        <v>5.140201401681729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72.393882557915504</v>
      </c>
      <c r="T180" s="62">
        <f t="shared" si="142"/>
        <v>321.03333748974029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4.000059711489703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4.000059711489703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1.7053025658242404E-13</v>
      </c>
      <c r="AJ180" s="14">
        <f>AI180*VLOOKUP('Données projet'!$B$10,Paramètres!$A$1:$I$89,3,0)*VLOOKUP('Données projet'!$B$10,Paramètres!$A$1:$I$89,5,0)</f>
        <v>1.5429577615577727E-13</v>
      </c>
      <c r="AK180" s="14">
        <f t="shared" si="164"/>
        <v>2.2038482767263348E-12</v>
      </c>
      <c r="AL180" s="22">
        <f t="shared" si="165"/>
        <v>4.107100892103012E-12</v>
      </c>
      <c r="AM180" s="62">
        <f t="shared" si="113"/>
        <v>293.33333333333741</v>
      </c>
      <c r="AN180" s="62">
        <f ca="1">AVERAGE(OFFSET($AM$3,0,0,'Données projet'!$E$10+1,1))-AVERAGE(OFFSET($H$3,0,0,'Données projet'!$E$10+1,1))</f>
        <v>395.97781616920071</v>
      </c>
      <c r="AO180" s="62">
        <f t="shared" si="144"/>
        <v>554.05128015315631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4.5090514101538952</v>
      </c>
      <c r="AV180" s="23">
        <f>EXP(-LN(2)/25)*AV179+(1-EXP(-LN(2)/25))/(LN(2)/25)*Calculateur!AQ180*Calculateur!AS180*VLOOKUP('Données projet'!$B$10,Paramètres!$A$1:$I$89,3,0)*0.475*44/12</f>
        <v>0.52616908005342444</v>
      </c>
      <c r="AW180" s="23">
        <f>EXP(-LN(2)/2)*AW179+(1-EXP(-LN(2)/2))/(LN(2)/2)*AQ180*AT180*VLOOKUP('Données projet'!$B$10,Paramètres!$A$1:$I$89,3,0)*0.475*44/12</f>
        <v>3.9568836230924404E-19</v>
      </c>
      <c r="AX180" s="23">
        <f t="shared" si="166"/>
        <v>5.0352204902073199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72.393882557915504</v>
      </c>
      <c r="T181" s="62">
        <f t="shared" si="142"/>
        <v>321.03333748974029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3.9216209803429041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3.9216209803429041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1.7053025658242404E-13</v>
      </c>
      <c r="AJ181" s="14">
        <f>AI181*VLOOKUP('Données projet'!$B$10,Paramètres!$A$1:$I$89,3,0)*VLOOKUP('Données projet'!$B$10,Paramètres!$A$1:$I$89,5,0)</f>
        <v>1.5429577615577727E-13</v>
      </c>
      <c r="AK181" s="14">
        <f t="shared" si="164"/>
        <v>2.2038482767263348E-12</v>
      </c>
      <c r="AL181" s="22">
        <f t="shared" si="165"/>
        <v>4.107100892103012E-12</v>
      </c>
      <c r="AM181" s="62">
        <f t="shared" si="113"/>
        <v>293.33333333333741</v>
      </c>
      <c r="AN181" s="62">
        <f ca="1">AVERAGE(OFFSET($AM$3,0,0,'Données projet'!$E$10+1,1))-AVERAGE(OFFSET($H$3,0,0,'Données projet'!$E$10+1,1))</f>
        <v>395.97781616920071</v>
      </c>
      <c r="AO181" s="62">
        <f t="shared" si="144"/>
        <v>554.05128015315631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4.4206316622505728</v>
      </c>
      <c r="AV181" s="23">
        <f>EXP(-LN(2)/25)*AV180+(1-EXP(-LN(2)/25))/(LN(2)/25)*Calculateur!AQ181*Calculateur!AS181*VLOOKUP('Données projet'!$B$10,Paramètres!$A$1:$I$89,3,0)*0.475*44/12</f>
        <v>0.51178095888933417</v>
      </c>
      <c r="AW181" s="23">
        <f>EXP(-LN(2)/2)*AW180+(1-EXP(-LN(2)/2))/(LN(2)/2)*AQ181*AT181*VLOOKUP('Données projet'!$B$10,Paramètres!$A$1:$I$89,3,0)*0.475*44/12</f>
        <v>2.7979392422546596E-19</v>
      </c>
      <c r="AX181" s="23">
        <f t="shared" si="166"/>
        <v>4.9324126211399069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72.393882557915504</v>
      </c>
      <c r="T182" s="62">
        <f t="shared" si="142"/>
        <v>321.03333748974029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3.8447203848709921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3.8447203848709921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1.7053025658242404E-13</v>
      </c>
      <c r="AJ182" s="14">
        <f>AI182*VLOOKUP('Données projet'!$B$10,Paramètres!$A$1:$I$89,3,0)*VLOOKUP('Données projet'!$B$10,Paramètres!$A$1:$I$89,5,0)</f>
        <v>1.5429577615577727E-13</v>
      </c>
      <c r="AK182" s="14">
        <f t="shared" si="164"/>
        <v>2.2038482767263348E-12</v>
      </c>
      <c r="AL182" s="22">
        <f t="shared" si="165"/>
        <v>4.107100892103012E-12</v>
      </c>
      <c r="AM182" s="62">
        <f t="shared" si="113"/>
        <v>293.33333333333741</v>
      </c>
      <c r="AN182" s="62">
        <f ca="1">AVERAGE(OFFSET($AM$3,0,0,'Données projet'!$E$10+1,1))-AVERAGE(OFFSET($H$3,0,0,'Données projet'!$E$10+1,1))</f>
        <v>395.97781616920071</v>
      </c>
      <c r="AO182" s="62">
        <f t="shared" si="144"/>
        <v>554.05128015315631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4.3339457716729139</v>
      </c>
      <c r="AV182" s="23">
        <f>EXP(-LN(2)/25)*AV181+(1-EXP(-LN(2)/25))/(LN(2)/25)*Calculateur!AQ182*Calculateur!AS182*VLOOKUP('Données projet'!$B$10,Paramètres!$A$1:$I$89,3,0)*0.475*44/12</f>
        <v>0.4977862816551144</v>
      </c>
      <c r="AW182" s="23">
        <f>EXP(-LN(2)/2)*AW181+(1-EXP(-LN(2)/2))/(LN(2)/2)*AQ182*AT182*VLOOKUP('Données projet'!$B$10,Paramètres!$A$1:$I$89,3,0)*0.475*44/12</f>
        <v>1.9784418115462202E-19</v>
      </c>
      <c r="AX182" s="23">
        <f t="shared" si="166"/>
        <v>4.8317320533280288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72.393882557915504</v>
      </c>
      <c r="T183" s="62">
        <f t="shared" si="142"/>
        <v>321.03333748974029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3.7693277631715523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3.7693277631715523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1.7053025658242404E-13</v>
      </c>
      <c r="AJ183" s="14">
        <f>AI183*VLOOKUP('Données projet'!$B$10,Paramètres!$A$1:$I$89,3,0)*VLOOKUP('Données projet'!$B$10,Paramètres!$A$1:$I$89,5,0)</f>
        <v>1.5429577615577727E-13</v>
      </c>
      <c r="AK183" s="14">
        <f t="shared" si="164"/>
        <v>2.2038482767263348E-12</v>
      </c>
      <c r="AL183" s="22">
        <f t="shared" si="165"/>
        <v>4.107100892103012E-12</v>
      </c>
      <c r="AM183" s="62">
        <f t="shared" si="113"/>
        <v>293.33333333333741</v>
      </c>
      <c r="AN183" s="62">
        <f ca="1">AVERAGE(OFFSET($AM$3,0,0,'Données projet'!$E$10+1,1))-AVERAGE(OFFSET($H$3,0,0,'Données projet'!$E$10+1,1))</f>
        <v>395.97781616920071</v>
      </c>
      <c r="AO183" s="62">
        <f t="shared" si="144"/>
        <v>554.05128015315631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4.2489597385363105</v>
      </c>
      <c r="AV183" s="23">
        <f>EXP(-LN(2)/25)*AV182+(1-EXP(-LN(2)/25))/(LN(2)/25)*Calculateur!AQ183*Calculateur!AS183*VLOOKUP('Données projet'!$B$10,Paramètres!$A$1:$I$89,3,0)*0.475*44/12</f>
        <v>0.48417428960581244</v>
      </c>
      <c r="AW183" s="23">
        <f>EXP(-LN(2)/2)*AW182+(1-EXP(-LN(2)/2))/(LN(2)/2)*AQ183*AT183*VLOOKUP('Données projet'!$B$10,Paramètres!$A$1:$I$89,3,0)*0.475*44/12</f>
        <v>1.3989696211273298E-19</v>
      </c>
      <c r="AX183" s="23">
        <f t="shared" si="166"/>
        <v>4.733134028142123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72.393882557915504</v>
      </c>
      <c r="T184" s="62">
        <f t="shared" si="142"/>
        <v>321.03333748974029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3.6954135447986802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3.6954135447986802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1.7053025658242404E-13</v>
      </c>
      <c r="AJ184" s="14">
        <f>AI184*VLOOKUP('Données projet'!$B$10,Paramètres!$A$1:$I$89,3,0)*VLOOKUP('Données projet'!$B$10,Paramètres!$A$1:$I$89,5,0)</f>
        <v>1.5429577615577727E-13</v>
      </c>
      <c r="AK184" s="14">
        <f t="shared" si="164"/>
        <v>2.2038482767263348E-12</v>
      </c>
      <c r="AL184" s="22">
        <f t="shared" si="165"/>
        <v>4.107100892103012E-12</v>
      </c>
      <c r="AM184" s="62">
        <f t="shared" si="113"/>
        <v>293.33333333333741</v>
      </c>
      <c r="AN184" s="62">
        <f ca="1">AVERAGE(OFFSET($AM$3,0,0,'Données projet'!$E$10+1,1))-AVERAGE(OFFSET($H$3,0,0,'Données projet'!$E$10+1,1))</f>
        <v>395.97781616920071</v>
      </c>
      <c r="AO184" s="62">
        <f t="shared" si="144"/>
        <v>554.05128015315631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4.1656402296731541</v>
      </c>
      <c r="AV184" s="23">
        <f>EXP(-LN(2)/25)*AV183+(1-EXP(-LN(2)/25))/(LN(2)/25)*Calculateur!AQ184*Calculateur!AS184*VLOOKUP('Données projet'!$B$10,Paramètres!$A$1:$I$89,3,0)*0.475*44/12</f>
        <v>0.47093451819492221</v>
      </c>
      <c r="AW184" s="23">
        <f>EXP(-LN(2)/2)*AW183+(1-EXP(-LN(2)/2))/(LN(2)/2)*AQ184*AT184*VLOOKUP('Données projet'!$B$10,Paramètres!$A$1:$I$89,3,0)*0.475*44/12</f>
        <v>9.8922090577311009E-20</v>
      </c>
      <c r="AX184" s="23">
        <f t="shared" si="166"/>
        <v>4.6365747478680763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72.393882557915504</v>
      </c>
      <c r="T185" s="62">
        <f t="shared" si="142"/>
        <v>321.03333748974029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3.6229487391648783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3.6229487391648783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1.7053025658242404E-13</v>
      </c>
      <c r="AJ185" s="14">
        <f>AI185*VLOOKUP('Données projet'!$B$10,Paramètres!$A$1:$I$89,3,0)*VLOOKUP('Données projet'!$B$10,Paramètres!$A$1:$I$89,5,0)</f>
        <v>1.5429577615577727E-13</v>
      </c>
      <c r="AK185" s="14">
        <f t="shared" si="164"/>
        <v>2.2038482767263348E-12</v>
      </c>
      <c r="AL185" s="22">
        <f t="shared" si="165"/>
        <v>4.107100892103012E-12</v>
      </c>
      <c r="AM185" s="62">
        <f t="shared" si="113"/>
        <v>293.33333333333741</v>
      </c>
      <c r="AN185" s="62">
        <f ca="1">AVERAGE(OFFSET($AM$3,0,0,'Données projet'!$E$10+1,1))-AVERAGE(OFFSET($H$3,0,0,'Données projet'!$E$10+1,1))</f>
        <v>395.97781616920071</v>
      </c>
      <c r="AO185" s="62">
        <f t="shared" si="144"/>
        <v>554.05128015315631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4.0839545655589218</v>
      </c>
      <c r="AV185" s="23">
        <f>EXP(-LN(2)/25)*AV184+(1-EXP(-LN(2)/25))/(LN(2)/25)*Calculateur!AQ185*Calculateur!AS185*VLOOKUP('Données projet'!$B$10,Paramètres!$A$1:$I$89,3,0)*0.475*44/12</f>
        <v>0.45805678902951208</v>
      </c>
      <c r="AW185" s="23">
        <f>EXP(-LN(2)/2)*AW184+(1-EXP(-LN(2)/2))/(LN(2)/2)*AQ185*AT185*VLOOKUP('Données projet'!$B$10,Paramètres!$A$1:$I$89,3,0)*0.475*44/12</f>
        <v>6.994848105636649E-20</v>
      </c>
      <c r="AX185" s="23">
        <f t="shared" si="166"/>
        <v>4.5420113545884337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72.393882557915504</v>
      </c>
      <c r="T186" s="62">
        <f t="shared" si="142"/>
        <v>321.03333748974029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3.5519049241703882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3.5519049241703882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1.7053025658242404E-13</v>
      </c>
      <c r="AJ186" s="14">
        <f>AI186*VLOOKUP('Données projet'!$B$10,Paramètres!$A$1:$I$89,3,0)*VLOOKUP('Données projet'!$B$10,Paramètres!$A$1:$I$89,5,0)</f>
        <v>1.5429577615577727E-13</v>
      </c>
      <c r="AK186" s="14">
        <f t="shared" si="164"/>
        <v>2.2038482767263348E-12</v>
      </c>
      <c r="AL186" s="22">
        <f t="shared" si="165"/>
        <v>4.107100892103012E-12</v>
      </c>
      <c r="AM186" s="62">
        <f t="shared" si="113"/>
        <v>293.33333333333741</v>
      </c>
      <c r="AN186" s="62">
        <f ca="1">AVERAGE(OFFSET($AM$3,0,0,'Données projet'!$E$10+1,1))-AVERAGE(OFFSET($H$3,0,0,'Données projet'!$E$10+1,1))</f>
        <v>395.97781616920071</v>
      </c>
      <c r="AO186" s="62">
        <f t="shared" si="144"/>
        <v>554.05128015315631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4.0038707074946336</v>
      </c>
      <c r="AV186" s="23">
        <f>EXP(-LN(2)/25)*AV185+(1-EXP(-LN(2)/25))/(LN(2)/25)*Calculateur!AQ186*Calculateur!AS186*VLOOKUP('Données projet'!$B$10,Paramètres!$A$1:$I$89,3,0)*0.475*44/12</f>
        <v>0.44553120204534041</v>
      </c>
      <c r="AW186" s="23">
        <f>EXP(-LN(2)/2)*AW185+(1-EXP(-LN(2)/2))/(LN(2)/2)*AQ186*AT186*VLOOKUP('Données projet'!$B$10,Paramètres!$A$1:$I$89,3,0)*0.475*44/12</f>
        <v>4.9461045288655504E-20</v>
      </c>
      <c r="AX186" s="23">
        <f t="shared" si="166"/>
        <v>4.4494019095399739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72.393882557915504</v>
      </c>
      <c r="T187" s="62">
        <f t="shared" si="142"/>
        <v>321.03333748974029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3.4822542350554917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3.4822542350554917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1.7053025658242404E-13</v>
      </c>
      <c r="AJ187" s="14">
        <f>AI187*VLOOKUP('Données projet'!$B$10,Paramètres!$A$1:$I$89,3,0)*VLOOKUP('Données projet'!$B$10,Paramètres!$A$1:$I$89,5,0)</f>
        <v>1.5429577615577727E-13</v>
      </c>
      <c r="AK187" s="14">
        <f t="shared" si="164"/>
        <v>2.2038482767263348E-12</v>
      </c>
      <c r="AL187" s="22">
        <f t="shared" si="165"/>
        <v>4.107100892103012E-12</v>
      </c>
      <c r="AM187" s="62">
        <f t="shared" si="113"/>
        <v>293.33333333333741</v>
      </c>
      <c r="AN187" s="62">
        <f ca="1">AVERAGE(OFFSET($AM$3,0,0,'Données projet'!$E$10+1,1))-AVERAGE(OFFSET($H$3,0,0,'Données projet'!$E$10+1,1))</f>
        <v>395.97781616920071</v>
      </c>
      <c r="AO187" s="62">
        <f t="shared" si="144"/>
        <v>554.05128015315631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3.9253572450406562</v>
      </c>
      <c r="AV187" s="23">
        <f>EXP(-LN(2)/25)*AV186+(1-EXP(-LN(2)/25))/(LN(2)/25)*Calculateur!AQ187*Calculateur!AS187*VLOOKUP('Données projet'!$B$10,Paramètres!$A$1:$I$89,3,0)*0.475*44/12</f>
        <v>0.43334812789594296</v>
      </c>
      <c r="AW187" s="23">
        <f>EXP(-LN(2)/2)*AW186+(1-EXP(-LN(2)/2))/(LN(2)/2)*AQ187*AT187*VLOOKUP('Données projet'!$B$10,Paramètres!$A$1:$I$89,3,0)*0.475*44/12</f>
        <v>3.4974240528183245E-20</v>
      </c>
      <c r="AX187" s="23">
        <f t="shared" si="166"/>
        <v>4.3587053729365994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72.393882557915504</v>
      </c>
      <c r="T188" s="62">
        <f t="shared" si="142"/>
        <v>321.03333748974029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3.4139693534714128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3.4139693534714128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1.7053025658242404E-13</v>
      </c>
      <c r="AJ188" s="14">
        <f>AI188*VLOOKUP('Données projet'!$B$10,Paramètres!$A$1:$I$89,3,0)*VLOOKUP('Données projet'!$B$10,Paramètres!$A$1:$I$89,5,0)</f>
        <v>1.5429577615577727E-13</v>
      </c>
      <c r="AK188" s="14">
        <f t="shared" si="164"/>
        <v>2.2038482767263348E-12</v>
      </c>
      <c r="AL188" s="22">
        <f t="shared" si="165"/>
        <v>4.107100892103012E-12</v>
      </c>
      <c r="AM188" s="62">
        <f t="shared" si="113"/>
        <v>293.33333333333741</v>
      </c>
      <c r="AN188" s="62">
        <f ca="1">AVERAGE(OFFSET($AM$3,0,0,'Données projet'!$E$10+1,1))-AVERAGE(OFFSET($H$3,0,0,'Données projet'!$E$10+1,1))</f>
        <v>395.97781616920071</v>
      </c>
      <c r="AO188" s="62">
        <f t="shared" si="144"/>
        <v>554.05128015315631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3.8483833836969175</v>
      </c>
      <c r="AV188" s="23">
        <f>EXP(-LN(2)/25)*AV187+(1-EXP(-LN(2)/25))/(LN(2)/25)*Calculateur!AQ188*Calculateur!AS188*VLOOKUP('Données projet'!$B$10,Paramètres!$A$1:$I$89,3,0)*0.475*44/12</f>
        <v>0.42149820054984077</v>
      </c>
      <c r="AW188" s="23">
        <f>EXP(-LN(2)/2)*AW187+(1-EXP(-LN(2)/2))/(LN(2)/2)*AQ188*AT188*VLOOKUP('Données projet'!$B$10,Paramètres!$A$1:$I$89,3,0)*0.475*44/12</f>
        <v>2.4730522644327752E-20</v>
      </c>
      <c r="AX188" s="23">
        <f t="shared" si="166"/>
        <v>4.2698815842467583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72.393882557915504</v>
      </c>
      <c r="T189" s="62">
        <f t="shared" si="142"/>
        <v>321.03333748974029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3.3470234967655323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3.3470234967655323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1.7053025658242404E-13</v>
      </c>
      <c r="AJ189" s="14">
        <f>AI189*VLOOKUP('Données projet'!$B$10,Paramètres!$A$1:$I$89,3,0)*VLOOKUP('Données projet'!$B$10,Paramètres!$A$1:$I$89,5,0)</f>
        <v>1.5429577615577727E-13</v>
      </c>
      <c r="AK189" s="14">
        <f t="shared" si="164"/>
        <v>2.2038482767263348E-12</v>
      </c>
      <c r="AL189" s="22">
        <f t="shared" si="165"/>
        <v>4.107100892103012E-12</v>
      </c>
      <c r="AM189" s="62">
        <f t="shared" si="113"/>
        <v>293.33333333333741</v>
      </c>
      <c r="AN189" s="62">
        <f ca="1">AVERAGE(OFFSET($AM$3,0,0,'Données projet'!$E$10+1,1))-AVERAGE(OFFSET($H$3,0,0,'Données projet'!$E$10+1,1))</f>
        <v>395.97781616920071</v>
      </c>
      <c r="AO189" s="62">
        <f t="shared" si="144"/>
        <v>554.05128015315631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3.7729189328247101</v>
      </c>
      <c r="AV189" s="23">
        <f>EXP(-LN(2)/25)*AV188+(1-EXP(-LN(2)/25))/(LN(2)/25)*Calculateur!AQ189*Calculateur!AS189*VLOOKUP('Données projet'!$B$10,Paramètres!$A$1:$I$89,3,0)*0.475*44/12</f>
        <v>0.40997231009017837</v>
      </c>
      <c r="AW189" s="23">
        <f>EXP(-LN(2)/2)*AW188+(1-EXP(-LN(2)/2))/(LN(2)/2)*AQ189*AT189*VLOOKUP('Données projet'!$B$10,Paramètres!$A$1:$I$89,3,0)*0.475*44/12</f>
        <v>1.7487120264091622E-20</v>
      </c>
      <c r="AX189" s="23">
        <f t="shared" si="166"/>
        <v>4.1828912429148888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72.393882557915504</v>
      </c>
      <c r="T190" s="62">
        <f t="shared" si="142"/>
        <v>321.03333748974029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3.2813904074767137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3.2813904074767137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1.7053025658242404E-13</v>
      </c>
      <c r="AJ190" s="14">
        <f>AI190*VLOOKUP('Données projet'!$B$10,Paramètres!$A$1:$I$89,3,0)*VLOOKUP('Données projet'!$B$10,Paramètres!$A$1:$I$89,5,0)</f>
        <v>1.5429577615577727E-13</v>
      </c>
      <c r="AK190" s="14">
        <f t="shared" si="164"/>
        <v>2.2038482767263348E-12</v>
      </c>
      <c r="AL190" s="22">
        <f t="shared" si="165"/>
        <v>4.107100892103012E-12</v>
      </c>
      <c r="AM190" s="62">
        <f t="shared" si="113"/>
        <v>293.33333333333741</v>
      </c>
      <c r="AN190" s="62">
        <f ca="1">AVERAGE(OFFSET($AM$3,0,0,'Données projet'!$E$10+1,1))-AVERAGE(OFFSET($H$3,0,0,'Données projet'!$E$10+1,1))</f>
        <v>395.97781616920071</v>
      </c>
      <c r="AO190" s="62">
        <f t="shared" si="144"/>
        <v>554.05128015315631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3.6989342938053369</v>
      </c>
      <c r="AV190" s="23">
        <f>EXP(-LN(2)/25)*AV189+(1-EXP(-LN(2)/25))/(LN(2)/25)*Calculateur!AQ190*Calculateur!AS190*VLOOKUP('Données projet'!$B$10,Paramètres!$A$1:$I$89,3,0)*0.475*44/12</f>
        <v>0.39876159571125563</v>
      </c>
      <c r="AW190" s="23">
        <f>EXP(-LN(2)/2)*AW189+(1-EXP(-LN(2)/2))/(LN(2)/2)*AQ190*AT190*VLOOKUP('Données projet'!$B$10,Paramètres!$A$1:$I$89,3,0)*0.475*44/12</f>
        <v>1.2365261322163876E-20</v>
      </c>
      <c r="AX190" s="23">
        <f t="shared" si="166"/>
        <v>4.0976958895165927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72.393882557915504</v>
      </c>
      <c r="T191" s="62">
        <f t="shared" si="142"/>
        <v>321.03333748974029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3.2170443430366169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3.2170443430366169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1.7053025658242404E-13</v>
      </c>
      <c r="AJ191" s="14">
        <f>AI191*VLOOKUP('Données projet'!$B$10,Paramètres!$A$1:$I$89,3,0)*VLOOKUP('Données projet'!$B$10,Paramètres!$A$1:$I$89,5,0)</f>
        <v>1.5429577615577727E-13</v>
      </c>
      <c r="AK191" s="14">
        <f t="shared" si="164"/>
        <v>2.2038482767263348E-12</v>
      </c>
      <c r="AL191" s="22">
        <f t="shared" si="165"/>
        <v>4.107100892103012E-12</v>
      </c>
      <c r="AM191" s="62">
        <f t="shared" si="113"/>
        <v>293.33333333333741</v>
      </c>
      <c r="AN191" s="62">
        <f ca="1">AVERAGE(OFFSET($AM$3,0,0,'Données projet'!$E$10+1,1))-AVERAGE(OFFSET($H$3,0,0,'Données projet'!$E$10+1,1))</f>
        <v>395.97781616920071</v>
      </c>
      <c r="AO191" s="62">
        <f t="shared" si="144"/>
        <v>554.05128015315631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3.6264004484309593</v>
      </c>
      <c r="AV191" s="23">
        <f>EXP(-LN(2)/25)*AV190+(1-EXP(-LN(2)/25))/(LN(2)/25)*Calculateur!AQ191*Calculateur!AS191*VLOOKUP('Données projet'!$B$10,Paramètres!$A$1:$I$89,3,0)*0.475*44/12</f>
        <v>0.38785743890657043</v>
      </c>
      <c r="AW191" s="23">
        <f>EXP(-LN(2)/2)*AW190+(1-EXP(-LN(2)/2))/(LN(2)/2)*AQ191*AT191*VLOOKUP('Données projet'!$B$10,Paramètres!$A$1:$I$89,3,0)*0.475*44/12</f>
        <v>8.7435601320458112E-21</v>
      </c>
      <c r="AX191" s="23">
        <f t="shared" si="166"/>
        <v>4.0142578873375294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72.393882557915504</v>
      </c>
      <c r="T192" s="62">
        <f t="shared" si="142"/>
        <v>321.03333748974029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3.1539600656729667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3.1539600656729667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1.7053025658242404E-13</v>
      </c>
      <c r="AJ192" s="14">
        <f>AI192*VLOOKUP('Données projet'!$B$10,Paramètres!$A$1:$I$89,3,0)*VLOOKUP('Données projet'!$B$10,Paramètres!$A$1:$I$89,5,0)</f>
        <v>1.5429577615577727E-13</v>
      </c>
      <c r="AK192" s="14">
        <f t="shared" si="164"/>
        <v>2.2038482767263348E-12</v>
      </c>
      <c r="AL192" s="22">
        <f t="shared" si="165"/>
        <v>4.107100892103012E-12</v>
      </c>
      <c r="AM192" s="62">
        <f t="shared" si="113"/>
        <v>293.33333333333741</v>
      </c>
      <c r="AN192" s="62">
        <f ca="1">AVERAGE(OFFSET($AM$3,0,0,'Données projet'!$E$10+1,1))-AVERAGE(OFFSET($H$3,0,0,'Données projet'!$E$10+1,1))</f>
        <v>395.97781616920071</v>
      </c>
      <c r="AO192" s="62">
        <f t="shared" si="144"/>
        <v>554.05128015315631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3.555288947523096</v>
      </c>
      <c r="AV192" s="23">
        <f>EXP(-LN(2)/25)*AV191+(1-EXP(-LN(2)/25))/(LN(2)/25)*Calculateur!AQ192*Calculateur!AS192*VLOOKUP('Données projet'!$B$10,Paramètres!$A$1:$I$89,3,0)*0.475*44/12</f>
        <v>0.37725145684313399</v>
      </c>
      <c r="AW192" s="23">
        <f>EXP(-LN(2)/2)*AW191+(1-EXP(-LN(2)/2))/(LN(2)/2)*AQ192*AT192*VLOOKUP('Données projet'!$B$10,Paramètres!$A$1:$I$89,3,0)*0.475*44/12</f>
        <v>6.1826306610819381E-21</v>
      </c>
      <c r="AX192" s="23">
        <f t="shared" si="166"/>
        <v>3.9325404043662298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72.393882557915504</v>
      </c>
      <c r="T193" s="62">
        <f t="shared" si="142"/>
        <v>321.03333748974029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3.0921128325108076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3.0921128325108076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1.7053025658242404E-13</v>
      </c>
      <c r="AJ193" s="14">
        <f>AI193*VLOOKUP('Données projet'!$B$10,Paramètres!$A$1:$I$89,3,0)*VLOOKUP('Données projet'!$B$10,Paramètres!$A$1:$I$89,5,0)</f>
        <v>1.5429577615577727E-13</v>
      </c>
      <c r="AK193" s="14">
        <f t="shared" si="164"/>
        <v>2.2038482767263348E-12</v>
      </c>
      <c r="AL193" s="22">
        <f t="shared" si="165"/>
        <v>4.107100892103012E-12</v>
      </c>
      <c r="AM193" s="62">
        <f t="shared" si="113"/>
        <v>293.33333333333741</v>
      </c>
      <c r="AN193" s="62">
        <f ca="1">AVERAGE(OFFSET($AM$3,0,0,'Données projet'!$E$10+1,1))-AVERAGE(OFFSET($H$3,0,0,'Données projet'!$E$10+1,1))</f>
        <v>395.97781616920071</v>
      </c>
      <c r="AO193" s="62">
        <f t="shared" si="144"/>
        <v>554.05128015315631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3.4855718997743033</v>
      </c>
      <c r="AV193" s="23">
        <f>EXP(-LN(2)/25)*AV192+(1-EXP(-LN(2)/25))/(LN(2)/25)*Calculateur!AQ193*Calculateur!AS193*VLOOKUP('Données projet'!$B$10,Paramètres!$A$1:$I$89,3,0)*0.475*44/12</f>
        <v>0.36693549591696661</v>
      </c>
      <c r="AW193" s="23">
        <f>EXP(-LN(2)/2)*AW192+(1-EXP(-LN(2)/2))/(LN(2)/2)*AQ193*AT193*VLOOKUP('Données projet'!$B$10,Paramètres!$A$1:$I$89,3,0)*0.475*44/12</f>
        <v>4.3717800660229056E-21</v>
      </c>
      <c r="AX193" s="23">
        <f t="shared" si="166"/>
        <v>3.8525073956912701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72.393882557915504</v>
      </c>
      <c r="T194" s="62">
        <f t="shared" si="142"/>
        <v>321.03333748974029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3.0314783858678713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3.0314783858678713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1.7053025658242404E-13</v>
      </c>
      <c r="AJ194" s="14">
        <f>AI194*VLOOKUP('Données projet'!$B$10,Paramètres!$A$1:$I$89,3,0)*VLOOKUP('Données projet'!$B$10,Paramètres!$A$1:$I$89,5,0)</f>
        <v>1.5429577615577727E-13</v>
      </c>
      <c r="AK194" s="14">
        <f t="shared" si="164"/>
        <v>2.2038482767263348E-12</v>
      </c>
      <c r="AL194" s="22">
        <f t="shared" si="165"/>
        <v>4.107100892103012E-12</v>
      </c>
      <c r="AM194" s="62">
        <f t="shared" si="113"/>
        <v>293.33333333333741</v>
      </c>
      <c r="AN194" s="62">
        <f ca="1">AVERAGE(OFFSET($AM$3,0,0,'Données projet'!$E$10+1,1))-AVERAGE(OFFSET($H$3,0,0,'Données projet'!$E$10+1,1))</f>
        <v>395.97781616920071</v>
      </c>
      <c r="AO194" s="62">
        <f t="shared" si="144"/>
        <v>554.05128015315631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3.4172219608086642</v>
      </c>
      <c r="AV194" s="23">
        <f>EXP(-LN(2)/25)*AV193+(1-EXP(-LN(2)/25))/(LN(2)/25)*Calculateur!AQ194*Calculateur!AS194*VLOOKUP('Données projet'!$B$10,Paramètres!$A$1:$I$89,3,0)*0.475*44/12</f>
        <v>0.35690162548481807</v>
      </c>
      <c r="AW194" s="23">
        <f>EXP(-LN(2)/2)*AW193+(1-EXP(-LN(2)/2))/(LN(2)/2)*AQ194*AT194*VLOOKUP('Données projet'!$B$10,Paramètres!$A$1:$I$89,3,0)*0.475*44/12</f>
        <v>3.091315330540969E-21</v>
      </c>
      <c r="AX194" s="23">
        <f t="shared" si="166"/>
        <v>3.7741235862934825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72.393882557915504</v>
      </c>
      <c r="T195" s="62">
        <f t="shared" si="142"/>
        <v>321.03333748974029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2.9720329437402424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2.9720329437402424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1.7053025658242404E-13</v>
      </c>
      <c r="AJ195" s="14">
        <f>AI195*VLOOKUP('Données projet'!$B$10,Paramètres!$A$1:$I$89,3,0)*VLOOKUP('Données projet'!$B$10,Paramètres!$A$1:$I$89,5,0)</f>
        <v>1.5429577615577727E-13</v>
      </c>
      <c r="AK195" s="14">
        <f t="shared" si="164"/>
        <v>2.2038482767263348E-12</v>
      </c>
      <c r="AL195" s="22">
        <f t="shared" si="165"/>
        <v>4.107100892103012E-12</v>
      </c>
      <c r="AM195" s="62">
        <f t="shared" si="113"/>
        <v>293.33333333333741</v>
      </c>
      <c r="AN195" s="62">
        <f ca="1">AVERAGE(OFFSET($AM$3,0,0,'Données projet'!$E$10+1,1))-AVERAGE(OFFSET($H$3,0,0,'Données projet'!$E$10+1,1))</f>
        <v>395.97781616920071</v>
      </c>
      <c r="AO195" s="62">
        <f t="shared" si="144"/>
        <v>554.05128015315631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3.350212322456795</v>
      </c>
      <c r="AV195" s="23">
        <f>EXP(-LN(2)/25)*AV194+(1-EXP(-LN(2)/25))/(LN(2)/25)*Calculateur!AQ195*Calculateur!AS195*VLOOKUP('Données projet'!$B$10,Paramètres!$A$1:$I$89,3,0)*0.475*44/12</f>
        <v>0.34714213176729497</v>
      </c>
      <c r="AW195" s="23">
        <f>EXP(-LN(2)/2)*AW194+(1-EXP(-LN(2)/2))/(LN(2)/2)*AQ195*AT195*VLOOKUP('Données projet'!$B$10,Paramètres!$A$1:$I$89,3,0)*0.475*44/12</f>
        <v>2.1858900330114528E-21</v>
      </c>
      <c r="AX195" s="23">
        <f t="shared" si="166"/>
        <v>3.6973544542240901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72.393882557915504</v>
      </c>
      <c r="T196" s="62">
        <f t="shared" si="142"/>
        <v>321.03333748974029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2.9137531904745968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2.9137531904745968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1.7053025658242404E-13</v>
      </c>
      <c r="AJ196" s="14">
        <f>AI196*VLOOKUP('Données projet'!$B$10,Paramètres!$A$1:$I$89,3,0)*VLOOKUP('Données projet'!$B$10,Paramètres!$A$1:$I$89,5,0)</f>
        <v>1.5429577615577727E-13</v>
      </c>
      <c r="AK196" s="14">
        <f t="shared" si="164"/>
        <v>2.2038482767263348E-12</v>
      </c>
      <c r="AL196" s="22">
        <f t="shared" si="165"/>
        <v>4.107100892103012E-12</v>
      </c>
      <c r="AM196" s="62">
        <f t="shared" ref="AM196:AM203" si="193">AL196+(AD196+AE196)*44/12</f>
        <v>293.33333333333741</v>
      </c>
      <c r="AN196" s="62">
        <f ca="1">AVERAGE(OFFSET($AM$3,0,0,'Données projet'!$E$10+1,1))-AVERAGE(OFFSET($H$3,0,0,'Données projet'!$E$10+1,1))</f>
        <v>395.97781616920071</v>
      </c>
      <c r="AO196" s="62">
        <f t="shared" si="144"/>
        <v>554.05128015315631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3.2845167022411621</v>
      </c>
      <c r="AV196" s="23">
        <f>EXP(-LN(2)/25)*AV195+(1-EXP(-LN(2)/25))/(LN(2)/25)*Calculateur!AQ196*Calculateur!AS196*VLOOKUP('Données projet'!$B$10,Paramètres!$A$1:$I$89,3,0)*0.475*44/12</f>
        <v>0.33764951191870696</v>
      </c>
      <c r="AW196" s="23">
        <f>EXP(-LN(2)/2)*AW195+(1-EXP(-LN(2)/2))/(LN(2)/2)*AQ196*AT196*VLOOKUP('Données projet'!$B$10,Paramètres!$A$1:$I$89,3,0)*0.475*44/12</f>
        <v>1.5456576652704845E-21</v>
      </c>
      <c r="AX196" s="23">
        <f t="shared" si="166"/>
        <v>3.6221662141598689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72.393882557915504</v>
      </c>
      <c r="T197" s="62">
        <f t="shared" ref="T197:T203" si="204">$T$3</f>
        <v>321.03333748974029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2.8566162676233509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2.8566162676233509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1.7053025658242404E-13</v>
      </c>
      <c r="AJ197" s="14">
        <f>AI197*VLOOKUP('Données projet'!$B$10,Paramètres!$A$1:$I$89,3,0)*VLOOKUP('Données projet'!$B$10,Paramètres!$A$1:$I$89,5,0)</f>
        <v>1.5429577615577727E-13</v>
      </c>
      <c r="AK197" s="14">
        <f t="shared" si="164"/>
        <v>2.2038482767263348E-12</v>
      </c>
      <c r="AL197" s="22">
        <f t="shared" si="165"/>
        <v>4.107100892103012E-12</v>
      </c>
      <c r="AM197" s="62">
        <f t="shared" si="193"/>
        <v>293.33333333333741</v>
      </c>
      <c r="AN197" s="62">
        <f ca="1">AVERAGE(OFFSET($AM$3,0,0,'Données projet'!$E$10+1,1))-AVERAGE(OFFSET($H$3,0,0,'Données projet'!$E$10+1,1))</f>
        <v>395.97781616920071</v>
      </c>
      <c r="AO197" s="62">
        <f t="shared" ref="AO197:AO203" si="205">$AO$3</f>
        <v>554.05128015315631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3.2201093330675863</v>
      </c>
      <c r="AV197" s="23">
        <f>EXP(-LN(2)/25)*AV196+(1-EXP(-LN(2)/25))/(LN(2)/25)*Calculateur!AQ197*Calculateur!AS197*VLOOKUP('Données projet'!$B$10,Paramètres!$A$1:$I$89,3,0)*0.475*44/12</f>
        <v>0.32841646825907378</v>
      </c>
      <c r="AW197" s="23">
        <f>EXP(-LN(2)/2)*AW196+(1-EXP(-LN(2)/2))/(LN(2)/2)*AQ197*AT197*VLOOKUP('Données projet'!$B$10,Paramètres!$A$1:$I$89,3,0)*0.475*44/12</f>
        <v>1.0929450165057264E-21</v>
      </c>
      <c r="AX197" s="23">
        <f t="shared" si="166"/>
        <v>3.5485258013266598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72.393882557915504</v>
      </c>
      <c r="T198" s="62">
        <f t="shared" si="204"/>
        <v>321.03333748974029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2.8005997649791361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2.8005997649791361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1.7053025658242404E-13</v>
      </c>
      <c r="AJ198" s="14">
        <f>AI198*VLOOKUP('Données projet'!$B$10,Paramètres!$A$1:$I$89,3,0)*VLOOKUP('Données projet'!$B$10,Paramètres!$A$1:$I$89,5,0)</f>
        <v>1.5429577615577727E-13</v>
      </c>
      <c r="AK198" s="14">
        <f t="shared" si="164"/>
        <v>2.2038482767263348E-12</v>
      </c>
      <c r="AL198" s="22">
        <f t="shared" si="165"/>
        <v>4.107100892103012E-12</v>
      </c>
      <c r="AM198" s="62">
        <f t="shared" si="193"/>
        <v>293.33333333333741</v>
      </c>
      <c r="AN198" s="62">
        <f ca="1">AVERAGE(OFFSET($AM$3,0,0,'Données projet'!$E$10+1,1))-AVERAGE(OFFSET($H$3,0,0,'Données projet'!$E$10+1,1))</f>
        <v>395.97781616920071</v>
      </c>
      <c r="AO198" s="62">
        <f t="shared" si="205"/>
        <v>554.05128015315631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3.1569649531188881</v>
      </c>
      <c r="AV198" s="23">
        <f>EXP(-LN(2)/25)*AV197+(1-EXP(-LN(2)/25))/(LN(2)/25)*Calculateur!AQ198*Calculateur!AS198*VLOOKUP('Données projet'!$B$10,Paramètres!$A$1:$I$89,3,0)*0.475*44/12</f>
        <v>0.31943590266385796</v>
      </c>
      <c r="AW198" s="23">
        <f>EXP(-LN(2)/2)*AW197+(1-EXP(-LN(2)/2))/(LN(2)/2)*AQ198*AT198*VLOOKUP('Données projet'!$B$10,Paramètres!$A$1:$I$89,3,0)*0.475*44/12</f>
        <v>7.7282883263524226E-22</v>
      </c>
      <c r="AX198" s="23">
        <f t="shared" si="166"/>
        <v>3.4764008557827459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72.393882557915504</v>
      </c>
      <c r="T199" s="62">
        <f t="shared" si="204"/>
        <v>321.03333748974029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2.7456817117850814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2.7456817117850814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1.7053025658242404E-13</v>
      </c>
      <c r="AJ199" s="14">
        <f>AI199*VLOOKUP('Données projet'!$B$10,Paramètres!$A$1:$I$89,3,0)*VLOOKUP('Données projet'!$B$10,Paramètres!$A$1:$I$89,5,0)</f>
        <v>1.5429577615577727E-13</v>
      </c>
      <c r="AK199" s="14">
        <f t="shared" si="164"/>
        <v>2.2038482767263348E-12</v>
      </c>
      <c r="AL199" s="22">
        <f t="shared" si="165"/>
        <v>4.107100892103012E-12</v>
      </c>
      <c r="AM199" s="62">
        <f t="shared" si="193"/>
        <v>293.33333333333741</v>
      </c>
      <c r="AN199" s="62">
        <f ca="1">AVERAGE(OFFSET($AM$3,0,0,'Données projet'!$E$10+1,1))-AVERAGE(OFFSET($H$3,0,0,'Données projet'!$E$10+1,1))</f>
        <v>395.97781616920071</v>
      </c>
      <c r="AO199" s="62">
        <f t="shared" si="205"/>
        <v>554.05128015315631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3.0950587959467151</v>
      </c>
      <c r="AV199" s="23">
        <f>EXP(-LN(2)/25)*AV198+(1-EXP(-LN(2)/25))/(LN(2)/25)*Calculateur!AQ199*Calculateur!AS199*VLOOKUP('Données projet'!$B$10,Paramètres!$A$1:$I$89,3,0)*0.475*44/12</f>
        <v>0.31070091110711073</v>
      </c>
      <c r="AW199" s="23">
        <f>EXP(-LN(2)/2)*AW198+(1-EXP(-LN(2)/2))/(LN(2)/2)*AQ199*AT199*VLOOKUP('Données projet'!$B$10,Paramètres!$A$1:$I$89,3,0)*0.475*44/12</f>
        <v>5.464725082528632E-22</v>
      </c>
      <c r="AX199" s="23">
        <f t="shared" si="166"/>
        <v>3.4057597070538259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72.393882557915504</v>
      </c>
      <c r="T200" s="62">
        <f t="shared" si="204"/>
        <v>321.03333748974029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2.6918405681174571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2.6918405681174571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1.7053025658242404E-13</v>
      </c>
      <c r="AJ200" s="14">
        <f>AI200*VLOOKUP('Données projet'!$B$10,Paramètres!$A$1:$I$89,3,0)*VLOOKUP('Données projet'!$B$10,Paramètres!$A$1:$I$89,5,0)</f>
        <v>1.5429577615577727E-13</v>
      </c>
      <c r="AK200" s="14">
        <f t="shared" si="164"/>
        <v>2.2038482767263348E-12</v>
      </c>
      <c r="AL200" s="22">
        <f t="shared" si="165"/>
        <v>4.107100892103012E-12</v>
      </c>
      <c r="AM200" s="62">
        <f t="shared" si="193"/>
        <v>293.33333333333741</v>
      </c>
      <c r="AN200" s="62">
        <f ca="1">AVERAGE(OFFSET($AM$3,0,0,'Données projet'!$E$10+1,1))-AVERAGE(OFFSET($H$3,0,0,'Données projet'!$E$10+1,1))</f>
        <v>395.97781616920071</v>
      </c>
      <c r="AO200" s="62">
        <f t="shared" si="205"/>
        <v>554.05128015315631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3.034366580757661</v>
      </c>
      <c r="AV200" s="23">
        <f>EXP(-LN(2)/25)*AV199+(1-EXP(-LN(2)/25))/(LN(2)/25)*Calculateur!AQ200*Calculateur!AS200*VLOOKUP('Données projet'!$B$10,Paramètres!$A$1:$I$89,3,0)*0.475*44/12</f>
        <v>0.30220477835383597</v>
      </c>
      <c r="AW200" s="23">
        <f>EXP(-LN(2)/2)*AW199+(1-EXP(-LN(2)/2))/(LN(2)/2)*AQ200*AT200*VLOOKUP('Données projet'!$B$10,Paramètres!$A$1:$I$89,3,0)*0.475*44/12</f>
        <v>3.8641441631762113E-22</v>
      </c>
      <c r="AX200" s="23">
        <f t="shared" si="166"/>
        <v>3.3365713591114972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72.393882557915504</v>
      </c>
      <c r="T201" s="62">
        <f t="shared" si="204"/>
        <v>321.03333748974029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2.6390552164373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2.6390552164373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1.7053025658242404E-13</v>
      </c>
      <c r="AJ201" s="14">
        <f>AI201*VLOOKUP('Données projet'!$B$10,Paramètres!$A$1:$I$89,3,0)*VLOOKUP('Données projet'!$B$10,Paramètres!$A$1:$I$89,5,0)</f>
        <v>1.5429577615577727E-13</v>
      </c>
      <c r="AK201" s="14">
        <f t="shared" si="164"/>
        <v>2.2038482767263348E-12</v>
      </c>
      <c r="AL201" s="22">
        <f t="shared" si="165"/>
        <v>4.107100892103012E-12</v>
      </c>
      <c r="AM201" s="62">
        <f t="shared" si="193"/>
        <v>293.33333333333741</v>
      </c>
      <c r="AN201" s="62">
        <f ca="1">AVERAGE(OFFSET($AM$3,0,0,'Données projet'!$E$10+1,1))-AVERAGE(OFFSET($H$3,0,0,'Données projet'!$E$10+1,1))</f>
        <v>395.97781616920071</v>
      </c>
      <c r="AO201" s="62">
        <f t="shared" si="205"/>
        <v>554.05128015315631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2.9748645028898681</v>
      </c>
      <c r="AV201" s="23">
        <f>EXP(-LN(2)/25)*AV200+(1-EXP(-LN(2)/25))/(LN(2)/25)*Calculateur!AQ201*Calculateur!AS201*VLOOKUP('Données projet'!$B$10,Paramètres!$A$1:$I$89,3,0)*0.475*44/12</f>
        <v>0.29394097279749171</v>
      </c>
      <c r="AW201" s="23">
        <f>EXP(-LN(2)/2)*AW200+(1-EXP(-LN(2)/2))/(LN(2)/2)*AQ201*AT201*VLOOKUP('Données projet'!$B$10,Paramètres!$A$1:$I$89,3,0)*0.475*44/12</f>
        <v>2.732362541264316E-22</v>
      </c>
      <c r="AX201" s="23">
        <f t="shared" si="166"/>
        <v>3.2688054756873597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72.393882557915504</v>
      </c>
      <c r="T202" s="62">
        <f t="shared" si="204"/>
        <v>321.03333748974029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2.5873049533077053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2.5873049533077053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1.7053025658242404E-13</v>
      </c>
      <c r="AJ202" s="14">
        <f>AI202*VLOOKUP('Données projet'!$B$10,Paramètres!$A$1:$I$89,3,0)*VLOOKUP('Données projet'!$B$10,Paramètres!$A$1:$I$89,5,0)</f>
        <v>1.5429577615577727E-13</v>
      </c>
      <c r="AK202" s="14">
        <f t="shared" si="164"/>
        <v>2.2038482767263348E-12</v>
      </c>
      <c r="AL202" s="22">
        <f t="shared" si="165"/>
        <v>4.107100892103012E-12</v>
      </c>
      <c r="AM202" s="62">
        <f t="shared" si="193"/>
        <v>293.33333333333741</v>
      </c>
      <c r="AN202" s="62">
        <f ca="1">AVERAGE(OFFSET($AM$3,0,0,'Données projet'!$E$10+1,1))-AVERAGE(OFFSET($H$3,0,0,'Données projet'!$E$10+1,1))</f>
        <v>395.97781616920071</v>
      </c>
      <c r="AO202" s="62">
        <f t="shared" si="205"/>
        <v>554.05128015315631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2.916529224476379</v>
      </c>
      <c r="AV202" s="23">
        <f>EXP(-LN(2)/25)*AV201+(1-EXP(-LN(2)/25))/(LN(2)/25)*Calculateur!AQ202*Calculateur!AS202*VLOOKUP('Données projet'!$B$10,Paramètres!$A$1:$I$89,3,0)*0.475*44/12</f>
        <v>0.28590314143866036</v>
      </c>
      <c r="AW202" s="23">
        <f>EXP(-LN(2)/2)*AW201+(1-EXP(-LN(2)/2))/(LN(2)/2)*AQ202*AT202*VLOOKUP('Données projet'!$B$10,Paramètres!$A$1:$I$89,3,0)*0.475*44/12</f>
        <v>1.9320720815881056E-22</v>
      </c>
      <c r="AX202" s="23">
        <f t="shared" si="166"/>
        <v>3.2024323659150395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72.393882557915504</v>
      </c>
      <c r="T203" s="62">
        <f t="shared" si="204"/>
        <v>321.03333748974029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2.5365694812735384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2.5365694812735384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1.7053025658242404E-13</v>
      </c>
      <c r="AJ203" s="14">
        <f>AI203*VLOOKUP('Données projet'!$B$10,Paramètres!$A$1:$I$89,3,0)*VLOOKUP('Données projet'!$B$10,Paramètres!$A$1:$I$89,5,0)</f>
        <v>1.5429577615577727E-13</v>
      </c>
      <c r="AK203" s="14">
        <f t="shared" si="164"/>
        <v>2.2038482767263348E-12</v>
      </c>
      <c r="AL203" s="22">
        <f t="shared" si="165"/>
        <v>4.107100892103012E-12</v>
      </c>
      <c r="AM203" s="62">
        <f t="shared" si="193"/>
        <v>293.33333333333741</v>
      </c>
      <c r="AN203" s="62">
        <f ca="1">AVERAGE(OFFSET($AM$3,0,0,'Données projet'!$E$10+1,1))-AVERAGE(OFFSET($H$3,0,0,'Données projet'!$E$10+1,1))</f>
        <v>395.97781616920071</v>
      </c>
      <c r="AO203" s="62">
        <f t="shared" si="205"/>
        <v>554.05128015315631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2.8593378652915717</v>
      </c>
      <c r="AV203" s="23">
        <f>EXP(-LN(2)/25)*AV202+(1-EXP(-LN(2)/25))/(LN(2)/25)*Calculateur!AQ203*Calculateur!AS203*VLOOKUP('Données projet'!$B$10,Paramètres!$A$1:$I$89,3,0)*0.475*44/12</f>
        <v>0.2780851050010274</v>
      </c>
      <c r="AW203" s="23">
        <f>EXP(-LN(2)/2)*AW202+(1-EXP(-LN(2)/2))/(LN(2)/2)*AQ203*AT203*VLOOKUP('Données projet'!$B$10,Paramètres!$A$1:$I$89,3,0)*0.475*44/12</f>
        <v>1.366181270632158E-22</v>
      </c>
      <c r="AX203" s="23">
        <f t="shared" si="166"/>
        <v>3.1374229702925991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1.3141519994188957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1.9472943612303364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Robusta</v>
      </c>
      <c r="B6" s="155">
        <f>'Données projet'!D9</f>
        <v>1.4942</v>
      </c>
      <c r="C6" s="156">
        <f ca="1">IF(OR('Données projet'!B9="",'Données projet'!C9="",'Données projet'!C9=0%),0,Calculateur!S3)</f>
        <v>72.393882557915504</v>
      </c>
      <c r="D6" s="156">
        <f>IF(OR('Données projet'!B9="",'Données projet'!C9="",'Données projet'!C9=0%),0,Calculateur!T3)</f>
        <v>321.03333748974029</v>
      </c>
      <c r="E6" s="156">
        <f ca="1">MIN(C6,D6)</f>
        <v>72.393882557915504</v>
      </c>
      <c r="F6" s="156">
        <f ca="1">E6*B6</f>
        <v>108.17093931803734</v>
      </c>
      <c r="G6" s="156">
        <f ca="1">F6*(100%-'Données projet'!$C$24)*(100%-'Données projet'!$C$25)*(100%-'Données projet'!$C$26)*(100%-'Données projet'!$C$27)</f>
        <v>97.353845386233615</v>
      </c>
      <c r="H6" s="157">
        <f>IF(OR('Données projet'!B9="",'Données projet'!C9="",'Données projet'!C9=0%),0,AVERAGE(Calculateur!$AC$3:$AC$33)*B6)</f>
        <v>43.120897450752182</v>
      </c>
      <c r="I6" s="158">
        <f>H6*(100%-'Données projet'!$C$24)*(100%-'Données projet'!$C$25)*(100%-'Données projet'!$C$26)*(100%-'Données projet'!$C$27)</f>
        <v>38.808807705676962</v>
      </c>
      <c r="J6" s="159">
        <f>IF(OR('Données projet'!B9="",'Données projet'!C9="",'Données projet'!C9=0%),0,SUM(Calculateur!$V$3:$V$33)*VLOOKUP('Données projet'!$B$9,Paramètres!$A$1:$I$89,9,0)*B6)</f>
        <v>363.21013600000003</v>
      </c>
      <c r="K6" s="160">
        <f>J6*(100%-'Données projet'!$C$24)*(100%-'Données projet'!$C$25)*(100%-'Données projet'!$C$26)*(100%-'Données projet'!$C$27)</f>
        <v>326.88912240000002</v>
      </c>
      <c r="L6" s="161">
        <f ca="1">G6+I6+K6</f>
        <v>463.05177549191058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Robinier faux-acacia</v>
      </c>
      <c r="B7" s="163">
        <f>'Données projet'!D10</f>
        <v>0.91580000000000006</v>
      </c>
      <c r="C7" s="156">
        <f ca="1">IF(OR('Données projet'!B10="",'Données projet'!C10="",'Données projet'!C10=0%),0,Calculateur!AN3)</f>
        <v>395.97781616920071</v>
      </c>
      <c r="D7" s="156">
        <f>IF(OR('Données projet'!B10="",'Données projet'!C10="",'Données projet'!C10=0%),0,Calculateur!AO3)</f>
        <v>554.05128015315631</v>
      </c>
      <c r="E7" s="156">
        <f t="shared" ref="E7:E15" ca="1" si="0">MIN(C7,D7)</f>
        <v>395.97781616920071</v>
      </c>
      <c r="F7" s="156">
        <f t="shared" ref="F7:F15" ca="1" si="1">E7*B7</f>
        <v>362.63648404775404</v>
      </c>
      <c r="G7" s="156">
        <f ca="1">F7*(100%-'Données projet'!$C$24)*(100%-'Données projet'!$C$25)*(100%-'Données projet'!$C$26)*(100%-'Données projet'!$C$27)</f>
        <v>326.37283564297866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326.37283564297866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470.80742336579135</v>
      </c>
      <c r="G16" s="175">
        <f t="shared" ca="1" si="3"/>
        <v>423.72668102921227</v>
      </c>
      <c r="H16" s="176">
        <f t="shared" si="3"/>
        <v>43.120897450752182</v>
      </c>
      <c r="I16" s="176">
        <f t="shared" si="3"/>
        <v>38.808807705676962</v>
      </c>
      <c r="J16" s="177">
        <f t="shared" si="3"/>
        <v>363.21013600000003</v>
      </c>
      <c r="K16" s="177">
        <f t="shared" si="3"/>
        <v>326.88912240000002</v>
      </c>
      <c r="L16" s="178">
        <f t="shared" ca="1" si="3"/>
        <v>789.42461113488923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Robusta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Robinier faux-acacia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G7" zoomScale="90" zoomScaleNormal="90" workbookViewId="0">
      <selection activeCell="R28" sqref="R2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Robusta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5871.3428931337176</v>
      </c>
      <c r="U10" s="190">
        <f>'Données projet'!D9</f>
        <v>1.4942</v>
      </c>
      <c r="V10" s="189">
        <f>U10*T10</f>
        <v>8772.9605509204011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Robinier faux-acacia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3397.2345511196158</v>
      </c>
      <c r="U11" s="190">
        <f>'Données projet'!D10</f>
        <v>0.91580000000000006</v>
      </c>
      <c r="V11" s="189">
        <f t="shared" ref="V11" si="0">U11*T11</f>
        <v>3111.1874019153443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Robusta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5677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622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622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236</v>
      </c>
      <c r="C23" s="206">
        <v>60</v>
      </c>
      <c r="D23" s="194">
        <f>B23*C23</f>
        <v>14160</v>
      </c>
      <c r="E23" s="206"/>
      <c r="F23" s="261"/>
      <c r="H23" s="203">
        <v>3</v>
      </c>
      <c r="I23" s="204">
        <v>1022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-7635.9675059507354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>
        <v>4</v>
      </c>
      <c r="I24" s="204">
        <v>432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-7635.9675059507354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Robinier faux-acacia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5</v>
      </c>
      <c r="B54" s="193">
        <f>'Données projet'!D62</f>
        <v>0</v>
      </c>
      <c r="C54" s="204">
        <v>8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10</v>
      </c>
      <c r="B55" s="193">
        <f>'Données projet'!D63</f>
        <v>0</v>
      </c>
      <c r="C55" s="204">
        <v>12</v>
      </c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15</v>
      </c>
      <c r="B56" s="193">
        <f>'Données projet'!D64</f>
        <v>0</v>
      </c>
      <c r="C56" s="204">
        <v>18</v>
      </c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20</v>
      </c>
      <c r="B57" s="193">
        <f>'Données projet'!D65</f>
        <v>0</v>
      </c>
      <c r="C57" s="204">
        <v>25</v>
      </c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25</v>
      </c>
      <c r="B58" s="193">
        <f>'Données projet'!D66</f>
        <v>0</v>
      </c>
      <c r="C58" s="204">
        <v>32</v>
      </c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30</v>
      </c>
      <c r="B59" s="193">
        <f>'Données projet'!D67</f>
        <v>0</v>
      </c>
      <c r="C59" s="204">
        <v>48</v>
      </c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35</v>
      </c>
      <c r="B60" s="193">
        <f>'Données projet'!D68</f>
        <v>0</v>
      </c>
      <c r="C60" s="204">
        <v>55</v>
      </c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40</v>
      </c>
      <c r="B61" s="193">
        <f>'Données projet'!D69</f>
        <v>0</v>
      </c>
      <c r="C61" s="204">
        <v>56</v>
      </c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45</v>
      </c>
      <c r="B62" s="193">
        <f>'Données projet'!D70</f>
        <v>342</v>
      </c>
      <c r="C62" s="204">
        <v>72</v>
      </c>
      <c r="D62" s="191">
        <f t="shared" si="4"/>
        <v>24624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2023-06-19T11:55:44Z</dcterms:modified>
</cp:coreProperties>
</file>