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Castets-Pyrénées\Pyrénées\BRASSEMPOUY (40) BOUEIL Arnaud\Dossier à finaliser\"/>
    </mc:Choice>
  </mc:AlternateContent>
  <xr:revisionPtr revIDLastSave="0" documentId="13_ncr:1_{0B8286F3-2236-44CF-9638-3ABE57E2D32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<sst xmlns="http://schemas.openxmlformats.org/spreadsheetml/2006/main" count="1171" uniqueCount="324">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</sst>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1.9601694389256969</c:v>
                </c:pt>
                <c:pt idx="2">
                  <c:v>2.5836931350680472</c:v>
                </c:pt>
                <c:pt idx="3">
                  <c:v>3.4063770162090443</c:v>
                </c:pt>
                <c:pt idx="4">
                  <c:v>4.4920817856111688</c:v>
                </c:pt>
                <c:pt idx="5">
                  <c:v>5.925219115846077</c:v>
                </c:pt>
                <c:pt idx="6">
                  <c:v>7.8173872676390426</c:v>
                </c:pt>
                <c:pt idx="7">
                  <c:v>10.3161558448002</c:v>
                </c:pt>
                <c:pt idx="8">
                  <c:v>13.616697699954178</c:v>
                </c:pt>
                <c:pt idx="9">
                  <c:v>17.977193291390293</c:v>
                </c:pt>
                <c:pt idx="10">
                  <c:v>23.73923425573609</c:v>
                </c:pt>
                <c:pt idx="11">
                  <c:v>31.354852864112974</c:v>
                </c:pt>
                <c:pt idx="12">
                  <c:v>41.422334579565863</c:v>
                </c:pt>
                <c:pt idx="13">
                  <c:v>54.733674897034746</c:v>
                </c:pt>
                <c:pt idx="14">
                  <c:v>72.337475813902117</c:v>
                </c:pt>
                <c:pt idx="15">
                  <c:v>95.622317068801905</c:v>
                </c:pt>
                <c:pt idx="16">
                  <c:v>126.42728286885189</c:v>
                </c:pt>
                <c:pt idx="17">
                  <c:v>167.18850925539826</c:v>
                </c:pt>
                <c:pt idx="18">
                  <c:v>221.13351728633074</c:v>
                </c:pt>
                <c:pt idx="19">
                  <c:v>292.53894765576132</c:v>
                </c:pt>
                <c:pt idx="20">
                  <c:v>387.07242521413923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90" zoomScaleNormal="90" workbookViewId="0">
      <selection activeCell="I25" sqref="I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0.73</v>
      </c>
      <c r="D9" s="36">
        <f t="shared" ref="D9:D18" si="0">C9*$C$5</f>
        <v>2.0074999999999998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138</v>
      </c>
      <c r="C10" s="35">
        <v>0.27</v>
      </c>
      <c r="D10" s="36">
        <f t="shared" si="0"/>
        <v>0.74250000000000005</v>
      </c>
      <c r="E10" s="37">
        <v>30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310</v>
      </c>
      <c r="C36" s="63">
        <v>1</v>
      </c>
      <c r="D36" s="63">
        <v>310</v>
      </c>
      <c r="E36" s="54">
        <v>0.7</v>
      </c>
      <c r="F36" s="54"/>
      <c r="G36" s="54">
        <v>0.3</v>
      </c>
      <c r="H36" s="54"/>
      <c r="I36" s="52">
        <f>IFERROR(B36/A36,"")</f>
        <v>15.5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12</v>
      </c>
      <c r="B62" s="63">
        <v>106</v>
      </c>
      <c r="C62" s="63">
        <v>1</v>
      </c>
      <c r="D62" s="63">
        <v>34</v>
      </c>
      <c r="E62" s="54"/>
      <c r="F62" s="54"/>
      <c r="G62" s="54">
        <v>1</v>
      </c>
      <c r="H62" s="54"/>
      <c r="I62" s="56">
        <f>IFERROR(B62/A62,"")</f>
        <v>8.8333333333333339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17</v>
      </c>
      <c r="B63" s="63">
        <v>176</v>
      </c>
      <c r="C63" s="63">
        <v>2</v>
      </c>
      <c r="D63" s="63">
        <v>43</v>
      </c>
      <c r="E63" s="54">
        <v>0.2</v>
      </c>
      <c r="F63" s="54"/>
      <c r="G63" s="54">
        <v>0.8</v>
      </c>
      <c r="H63" s="54"/>
      <c r="I63" s="52">
        <f>IF(A63&lt;&gt;0,(B63-(B62-D62))/(A63-A62),"")</f>
        <v>20.8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22</v>
      </c>
      <c r="B64" s="63">
        <v>232</v>
      </c>
      <c r="C64" s="63">
        <v>3</v>
      </c>
      <c r="D64" s="63">
        <v>56</v>
      </c>
      <c r="E64" s="54">
        <v>0.4</v>
      </c>
      <c r="F64" s="54"/>
      <c r="G64" s="54">
        <v>0.6</v>
      </c>
      <c r="H64" s="54"/>
      <c r="I64" s="52">
        <f>IF(A64&lt;&gt;0,(B64-(B63-D63))/(A64-A63),"")</f>
        <v>19.8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309</v>
      </c>
      <c r="C65" s="63">
        <v>4</v>
      </c>
      <c r="D65" s="63">
        <v>309</v>
      </c>
      <c r="E65" s="54">
        <v>0.4</v>
      </c>
      <c r="F65" s="54">
        <v>0.4</v>
      </c>
      <c r="G65" s="54">
        <v>0.2</v>
      </c>
      <c r="H65" s="54"/>
      <c r="I65" s="52">
        <f>IF(A65&lt;&gt;0,(B65-(B64-D64))/(A65-A64),"")</f>
        <v>16.625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taeda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87.539629191511665</v>
      </c>
      <c r="T3" s="62">
        <f>IF('Données projet'!E9&gt;30,$R$33-$H$33,LOOKUP('Données projet'!$E$9,$A$3:$A$203,R3:R203)-LOOKUP('Données projet'!$E$9,$A$3:$A$203,$H$3:$H$203))</f>
        <v>411.51686965858363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187.13674266165236</v>
      </c>
      <c r="AO3" s="62">
        <f>IF('Données projet'!E10&gt;30,$AM$33-$H$33,LOOKUP('Données projet'!$E$10,$A$3:$A$203,AM3:AM203)-LOOKUP('Données projet'!$E$10,$A$3:$A$203,$H$3:$H$203))</f>
        <v>439.28159165815276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15.5</v>
      </c>
      <c r="N4" s="14">
        <f>IF('Données projet'!$A$36&gt;35,N3+M4-V3,IF(A4&lt;'Données projet'!$A$36,$K$205^A4,IF(A4='Données projet'!$A$36,'Données projet'!$B$36,N3+M4-V3)))</f>
        <v>1.3321958753513481</v>
      </c>
      <c r="O4" s="14">
        <f>N4*VLOOKUP('Données projet'!$B$9,Paramètres!$A$1:$I$89,3,0)*VLOOKUP('Données projet'!$B$9,Paramètres!$A$1:$I$89,5,0)</f>
        <v>0.76270878255615382</v>
      </c>
      <c r="P4" s="14">
        <f>EXP(-1.0587+0.8836*LN(O4)+0.284)</f>
        <v>0.36274735462606433</v>
      </c>
      <c r="Q4" s="22">
        <f t="shared" ref="Q4:Q34" si="2">(O4+P4)*0.475*44/12</f>
        <v>1.9601694389256969</v>
      </c>
      <c r="R4" s="62">
        <f t="shared" si="0"/>
        <v>259.84905832781453</v>
      </c>
      <c r="S4" s="62">
        <f ca="1">AVERAGE(OFFSET($R$3,0,0,'Données projet'!$E$9+1,1))-AVERAGE(OFFSET($H$3,0,0,'Données projet'!$E$9+1,1))</f>
        <v>87.539629191511665</v>
      </c>
      <c r="T4" s="62">
        <f>$T$3</f>
        <v>411.51686965858363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8.8333333333333339</v>
      </c>
      <c r="AI4" s="14">
        <f>IF('Données projet'!$A$62&gt;35,AI3+AH4-AQ3,IF(A4&lt;'Données projet'!$A$62,$AF$205^A4,IF(A4='Données projet'!$A$62,'Données projet'!$B$62,AI3+AH4-AQ3)))</f>
        <v>1.4749438547769935</v>
      </c>
      <c r="AJ4" s="14">
        <f>AI4*VLOOKUP('Données projet'!$B$10,Paramètres!$A$1:$I$89,3,0)*VLOOKUP('Données projet'!$B$10,Paramètres!$A$1:$I$89,5,0)</f>
        <v>0.88201642515664225</v>
      </c>
      <c r="AK4" s="14">
        <f>EXP(-1.0587+0.8836*LN(AJ4)+0.284)</f>
        <v>0.4124537465701128</v>
      </c>
      <c r="AL4" s="22">
        <f t="shared" ref="AL4:AL67" si="4">(AJ4+AK4)*0.475*44/12</f>
        <v>2.254535549090765</v>
      </c>
      <c r="AM4" s="62">
        <f t="shared" ref="AM4:AM67" si="5">AL4+(AD4+AE4)*44/12</f>
        <v>260.1434244379796</v>
      </c>
      <c r="AN4" s="62">
        <f ca="1">AVERAGE(OFFSET($AM$3,0,0,'Données projet'!$E$10+1,1))-AVERAGE(OFFSET($H$3,0,0,'Données projet'!$E$10+1,1))</f>
        <v>187.13674266165236</v>
      </c>
      <c r="AO4" s="62">
        <f>$AO$3</f>
        <v>439.28159165815276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15.5</v>
      </c>
      <c r="N5" s="14">
        <f>IF('Données projet'!$A$36&gt;35,N4+M5-V4,IF(A5&lt;'Données projet'!$A$36,$K$205^A5,IF(A5='Données projet'!$A$36,'Données projet'!$B$36,N4+M5-V4)))</f>
        <v>1.7747458503031446</v>
      </c>
      <c r="O5" s="14">
        <f>N5*VLOOKUP('Données projet'!$B$9,Paramètres!$A$1:$I$89,3,0)*VLOOKUP('Données projet'!$B$9,Paramètres!$A$1:$I$89,5,0)</f>
        <v>1.0160774942155564</v>
      </c>
      <c r="P5" s="14">
        <f t="shared" ref="P5:P68" si="33">EXP(-1.0587+0.8836*LN(O5)+0.284)</f>
        <v>0.46738267902925551</v>
      </c>
      <c r="Q5" s="22">
        <f t="shared" si="2"/>
        <v>2.5836931350680472</v>
      </c>
      <c r="R5" s="62">
        <f t="shared" si="0"/>
        <v>261.69480424617922</v>
      </c>
      <c r="S5" s="62">
        <f ca="1">AVERAGE(OFFSET($R$3,0,0,'Données projet'!$E$9+1,1))-AVERAGE(OFFSET($H$3,0,0,'Données projet'!$E$9+1,1))</f>
        <v>87.539629191511665</v>
      </c>
      <c r="T5" s="62">
        <f t="shared" ref="T5:T68" si="34">$T$3</f>
        <v>411.51686965858363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8.8333333333333339</v>
      </c>
      <c r="AI5" s="14">
        <f>IF('Données projet'!$A$62&gt;35,AI4+AH5-AQ4,IF(A5&lt;'Données projet'!$A$62,$AF$205^A5,IF(A5='Données projet'!$A$62,'Données projet'!$B$62,AI4+AH5-AQ4)))</f>
        <v>2.1754593747444169</v>
      </c>
      <c r="AJ5" s="14">
        <f>AI5*VLOOKUP('Données projet'!$B$10,Paramètres!$A$1:$I$89,3,0)*VLOOKUP('Données projet'!$B$10,Paramètres!$A$1:$I$89,5,0)</f>
        <v>1.3009247060971614</v>
      </c>
      <c r="AK5" s="14">
        <f t="shared" ref="AK5:AK68" si="35">EXP(-1.0587+0.8836*LN(AJ5)+0.284)</f>
        <v>0.58144049425293109</v>
      </c>
      <c r="AL5" s="22">
        <f t="shared" si="4"/>
        <v>3.2784527239430776</v>
      </c>
      <c r="AM5" s="62">
        <f t="shared" si="5"/>
        <v>262.38956383505422</v>
      </c>
      <c r="AN5" s="62">
        <f ca="1">AVERAGE(OFFSET($AM$3,0,0,'Données projet'!$E$10+1,1))-AVERAGE(OFFSET($H$3,0,0,'Données projet'!$E$10+1,1))</f>
        <v>187.13674266165236</v>
      </c>
      <c r="AO5" s="62">
        <f t="shared" ref="AO5:AO68" si="36">$AO$3</f>
        <v>439.28159165815276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15.5</v>
      </c>
      <c r="N6" s="14">
        <f>IF('Données projet'!$A$36&gt;35,N5+M6-V5,IF(A6&lt;'Données projet'!$A$36,$K$205^A6,IF(A6='Données projet'!$A$36,'Données projet'!$B$36,N5+M6-V5)))</f>
        <v>2.3643091015707705</v>
      </c>
      <c r="O6" s="14">
        <f>N6*VLOOKUP('Données projet'!$B$9,Paramètres!$A$1:$I$89,3,0)*VLOOKUP('Données projet'!$B$9,Paramètres!$A$1:$I$89,5,0)</f>
        <v>1.3536142468312975</v>
      </c>
      <c r="P6" s="14">
        <f t="shared" si="33"/>
        <v>0.60220030792987655</v>
      </c>
      <c r="Q6" s="22">
        <f t="shared" si="2"/>
        <v>3.4063770162090443</v>
      </c>
      <c r="R6" s="62">
        <f t="shared" si="0"/>
        <v>263.73971034954235</v>
      </c>
      <c r="S6" s="62">
        <f ca="1">AVERAGE(OFFSET($R$3,0,0,'Données projet'!$E$9+1,1))-AVERAGE(OFFSET($H$3,0,0,'Données projet'!$E$9+1,1))</f>
        <v>87.539629191511665</v>
      </c>
      <c r="T6" s="62">
        <f t="shared" si="34"/>
        <v>411.51686965858363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8.8333333333333339</v>
      </c>
      <c r="AI6" s="14">
        <f>IF('Données projet'!$A$62&gt;35,AI5+AH6-AQ5,IF(A6&lt;'Données projet'!$A$62,$AF$205^A6,IF(A6='Données projet'!$A$62,'Données projet'!$B$62,AI5+AH6-AQ5)))</f>
        <v>3.2086804360962784</v>
      </c>
      <c r="AJ6" s="14">
        <f>AI6*VLOOKUP('Données projet'!$B$10,Paramètres!$A$1:$I$89,3,0)*VLOOKUP('Données projet'!$B$10,Paramètres!$A$1:$I$89,5,0)</f>
        <v>1.9187909007855746</v>
      </c>
      <c r="AK6" s="14">
        <f t="shared" si="35"/>
        <v>0.81966293473739615</v>
      </c>
      <c r="AL6" s="22">
        <f t="shared" si="4"/>
        <v>4.7694737635358404</v>
      </c>
      <c r="AM6" s="62">
        <f t="shared" si="5"/>
        <v>265.10280709686913</v>
      </c>
      <c r="AN6" s="62">
        <f ca="1">AVERAGE(OFFSET($AM$3,0,0,'Données projet'!$E$10+1,1))-AVERAGE(OFFSET($H$3,0,0,'Données projet'!$E$10+1,1))</f>
        <v>187.13674266165236</v>
      </c>
      <c r="AO6" s="62">
        <f t="shared" si="36"/>
        <v>439.28159165815276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15.5</v>
      </c>
      <c r="N7" s="14">
        <f>IF('Données projet'!$A$36&gt;35,N6+M7-V6,IF(A7&lt;'Données projet'!$A$36,$K$205^A7,IF(A7='Données projet'!$A$36,'Données projet'!$B$36,N6+M7-V6)))</f>
        <v>3.1497228331682319</v>
      </c>
      <c r="O7" s="14">
        <f>N7*VLOOKUP('Données projet'!$B$9,Paramètres!$A$1:$I$89,3,0)*VLOOKUP('Données projet'!$B$9,Paramètres!$A$1:$I$89,5,0)</f>
        <v>1.8032793164454763</v>
      </c>
      <c r="P7" s="14">
        <f t="shared" si="33"/>
        <v>0.77590639778103254</v>
      </c>
      <c r="Q7" s="22">
        <f t="shared" si="2"/>
        <v>4.4920817856111688</v>
      </c>
      <c r="R7" s="62">
        <f t="shared" si="0"/>
        <v>266.04763734116671</v>
      </c>
      <c r="S7" s="62">
        <f ca="1">AVERAGE(OFFSET($R$3,0,0,'Données projet'!$E$9+1,1))-AVERAGE(OFFSET($H$3,0,0,'Données projet'!$E$9+1,1))</f>
        <v>87.539629191511665</v>
      </c>
      <c r="T7" s="62">
        <f t="shared" si="34"/>
        <v>411.51686965858363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8.8333333333333339</v>
      </c>
      <c r="AI7" s="14">
        <f>IF('Données projet'!$A$62&gt;35,AI6+AH7-AQ6,IF(A7&lt;'Données projet'!$A$62,$AF$205^A7,IF(A7='Données projet'!$A$62,'Données projet'!$B$62,AI6+AH7-AQ6)))</f>
        <v>4.7326234911633689</v>
      </c>
      <c r="AJ7" s="14">
        <f>AI7*VLOOKUP('Données projet'!$B$10,Paramètres!$A$1:$I$89,3,0)*VLOOKUP('Données projet'!$B$10,Paramètres!$A$1:$I$89,5,0)</f>
        <v>2.8301088477156946</v>
      </c>
      <c r="AK7" s="14">
        <f t="shared" si="35"/>
        <v>1.1554876779704684</v>
      </c>
      <c r="AL7" s="22">
        <f t="shared" si="4"/>
        <v>6.9415806155700679</v>
      </c>
      <c r="AM7" s="62">
        <f t="shared" si="5"/>
        <v>268.49713617112559</v>
      </c>
      <c r="AN7" s="62">
        <f ca="1">AVERAGE(OFFSET($AM$3,0,0,'Données projet'!$E$10+1,1))-AVERAGE(OFFSET($H$3,0,0,'Données projet'!$E$10+1,1))</f>
        <v>187.13674266165236</v>
      </c>
      <c r="AO7" s="62">
        <f t="shared" si="36"/>
        <v>439.28159165815276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15.5</v>
      </c>
      <c r="N8" s="14">
        <f>IF('Données projet'!$A$36&gt;35,N7+M8-V7,IF(A8&lt;'Données projet'!$A$36,$K$205^A8,IF(A8='Données projet'!$A$36,'Données projet'!$B$36,N7+M8-V7)))</f>
        <v>4.1960477668466805</v>
      </c>
      <c r="O8" s="14">
        <f>N8*VLOOKUP('Données projet'!$B$9,Paramètres!$A$1:$I$89,3,0)*VLOOKUP('Données projet'!$B$9,Paramètres!$A$1:$I$89,5,0)</f>
        <v>2.4023212674750618</v>
      </c>
      <c r="P8" s="14">
        <f t="shared" si="33"/>
        <v>0.99971841626431301</v>
      </c>
      <c r="Q8" s="22">
        <f t="shared" si="2"/>
        <v>5.925219115846077</v>
      </c>
      <c r="R8" s="62">
        <f t="shared" si="0"/>
        <v>268.70299689362383</v>
      </c>
      <c r="S8" s="62">
        <f ca="1">AVERAGE(OFFSET($R$3,0,0,'Données projet'!$E$9+1,1))-AVERAGE(OFFSET($H$3,0,0,'Données projet'!$E$9+1,1))</f>
        <v>87.539629191511665</v>
      </c>
      <c r="T8" s="62">
        <f t="shared" si="34"/>
        <v>411.51686965858363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8.8333333333333339</v>
      </c>
      <c r="AI8" s="14">
        <f>IF('Données projet'!$A$62&gt;35,AI7+AH8-AQ7,IF(A8&lt;'Données projet'!$A$62,$AF$205^A8,IF(A8='Données projet'!$A$62,'Données projet'!$B$62,AI7+AH8-AQ7)))</f>
        <v>6.9803539352646524</v>
      </c>
      <c r="AJ8" s="14">
        <f>AI8*VLOOKUP('Données projet'!$B$10,Paramètres!$A$1:$I$89,3,0)*VLOOKUP('Données projet'!$B$10,Paramètres!$A$1:$I$89,5,0)</f>
        <v>4.1742516532882625</v>
      </c>
      <c r="AK8" s="14">
        <f t="shared" si="35"/>
        <v>1.6289034398869595</v>
      </c>
      <c r="AL8" s="22">
        <f t="shared" si="4"/>
        <v>10.107161787280178</v>
      </c>
      <c r="AM8" s="62">
        <f t="shared" si="5"/>
        <v>272.88493956505795</v>
      </c>
      <c r="AN8" s="62">
        <f ca="1">AVERAGE(OFFSET($AM$3,0,0,'Données projet'!$E$10+1,1))-AVERAGE(OFFSET($H$3,0,0,'Données projet'!$E$10+1,1))</f>
        <v>187.13674266165236</v>
      </c>
      <c r="AO8" s="62">
        <f t="shared" si="36"/>
        <v>439.28159165815276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15.5</v>
      </c>
      <c r="N9" s="14">
        <f>IF('Données projet'!$A$36&gt;35,N8+M9-V8,IF(A9&lt;'Données projet'!$A$36,$K$205^A9,IF(A9='Données projet'!$A$36,'Données projet'!$B$36,N8+M9-V8)))</f>
        <v>5.589957527770383</v>
      </c>
      <c r="O9" s="14">
        <f>N9*VLOOKUP('Données projet'!$B$9,Paramètres!$A$1:$I$89,3,0)*VLOOKUP('Données projet'!$B$9,Paramètres!$A$1:$I$89,5,0)</f>
        <v>3.2003624837991</v>
      </c>
      <c r="P9" s="14">
        <f t="shared" si="33"/>
        <v>1.2880895358979576</v>
      </c>
      <c r="Q9" s="22">
        <f t="shared" si="2"/>
        <v>7.8173872676390426</v>
      </c>
      <c r="R9" s="62">
        <f t="shared" si="0"/>
        <v>271.81738726763905</v>
      </c>
      <c r="S9" s="62">
        <f ca="1">AVERAGE(OFFSET($R$3,0,0,'Données projet'!$E$9+1,1))-AVERAGE(OFFSET($H$3,0,0,'Données projet'!$E$9+1,1))</f>
        <v>87.539629191511665</v>
      </c>
      <c r="T9" s="62">
        <f t="shared" si="34"/>
        <v>411.51686965858363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8.8333333333333339</v>
      </c>
      <c r="AI9" s="14">
        <f>IF('Données projet'!$A$62&gt;35,AI8+AH9-AQ8,IF(A9&lt;'Données projet'!$A$62,$AF$205^A9,IF(A9='Données projet'!$A$62,'Données projet'!$B$62,AI8+AH9-AQ8)))</f>
        <v>10.295630140987003</v>
      </c>
      <c r="AJ9" s="14">
        <f>AI9*VLOOKUP('Données projet'!$B$10,Paramètres!$A$1:$I$89,3,0)*VLOOKUP('Données projet'!$B$10,Paramètres!$A$1:$I$89,5,0)</f>
        <v>6.1567868243102275</v>
      </c>
      <c r="AK9" s="14">
        <f t="shared" si="35"/>
        <v>2.2962827445602434</v>
      </c>
      <c r="AL9" s="22">
        <f t="shared" si="4"/>
        <v>14.722429499116073</v>
      </c>
      <c r="AM9" s="62">
        <f t="shared" si="5"/>
        <v>278.72242949911606</v>
      </c>
      <c r="AN9" s="62">
        <f ca="1">AVERAGE(OFFSET($AM$3,0,0,'Données projet'!$E$10+1,1))-AVERAGE(OFFSET($H$3,0,0,'Données projet'!$E$10+1,1))</f>
        <v>187.13674266165236</v>
      </c>
      <c r="AO9" s="62">
        <f t="shared" si="36"/>
        <v>439.28159165815276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15.5</v>
      </c>
      <c r="N10" s="14">
        <f>IF('Données projet'!$A$36&gt;35,N9+M10-V9,IF(A10&lt;'Données projet'!$A$36,$K$205^A10,IF(A10='Données projet'!$A$36,'Données projet'!$B$36,N9+M10-V9)))</f>
        <v>7.446918361884924</v>
      </c>
      <c r="O10" s="14">
        <f>N10*VLOOKUP('Données projet'!$B$9,Paramètres!$A$1:$I$89,3,0)*VLOOKUP('Données projet'!$B$9,Paramètres!$A$1:$I$89,5,0)</f>
        <v>4.2635097005463569</v>
      </c>
      <c r="P10" s="14">
        <f t="shared" si="33"/>
        <v>1.6596419806786382</v>
      </c>
      <c r="Q10" s="22">
        <f t="shared" si="2"/>
        <v>10.3161558448002</v>
      </c>
      <c r="R10" s="62">
        <f t="shared" si="0"/>
        <v>275.53837806702245</v>
      </c>
      <c r="S10" s="62">
        <f ca="1">AVERAGE(OFFSET($R$3,0,0,'Données projet'!$E$9+1,1))-AVERAGE(OFFSET($H$3,0,0,'Données projet'!$E$9+1,1))</f>
        <v>87.539629191511665</v>
      </c>
      <c r="T10" s="62">
        <f t="shared" si="34"/>
        <v>411.51686965858363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8.8333333333333339</v>
      </c>
      <c r="AI10" s="14">
        <f>IF('Données projet'!$A$62&gt;35,AI9+AH10-AQ9,IF(A10&lt;'Données projet'!$A$62,$AF$205^A10,IF(A10='Données projet'!$A$62,'Données projet'!$B$62,AI9+AH10-AQ9)))</f>
        <v>15.18547640750557</v>
      </c>
      <c r="AJ10" s="14">
        <f>AI10*VLOOKUP('Données projet'!$B$10,Paramètres!$A$1:$I$89,3,0)*VLOOKUP('Données projet'!$B$10,Paramètres!$A$1:$I$89,5,0)</f>
        <v>9.080914891688332</v>
      </c>
      <c r="AK10" s="14">
        <f t="shared" si="35"/>
        <v>3.2370945470721373</v>
      </c>
      <c r="AL10" s="22">
        <f t="shared" si="4"/>
        <v>21.45386643917448</v>
      </c>
      <c r="AM10" s="62">
        <f t="shared" si="5"/>
        <v>286.6760886613967</v>
      </c>
      <c r="AN10" s="62">
        <f ca="1">AVERAGE(OFFSET($AM$3,0,0,'Données projet'!$E$10+1,1))-AVERAGE(OFFSET($H$3,0,0,'Données projet'!$E$10+1,1))</f>
        <v>187.13674266165236</v>
      </c>
      <c r="AO10" s="62">
        <f t="shared" si="36"/>
        <v>439.28159165815276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15.5</v>
      </c>
      <c r="N11" s="14">
        <f>IF('Données projet'!$A$36&gt;35,N10+M11-V10,IF(A11&lt;'Données projet'!$A$36,$K$205^A11,IF(A11='Données projet'!$A$36,'Données projet'!$B$36,N10+M11-V10)))</f>
        <v>9.9207539257813142</v>
      </c>
      <c r="O11" s="14">
        <f>N11*VLOOKUP('Données projet'!$B$9,Paramètres!$A$1:$I$89,3,0)*VLOOKUP('Données projet'!$B$9,Paramètres!$A$1:$I$89,5,0)</f>
        <v>5.6798300375883182</v>
      </c>
      <c r="P11" s="14">
        <f t="shared" si="33"/>
        <v>2.1383695987490099</v>
      </c>
      <c r="Q11" s="22">
        <f t="shared" si="2"/>
        <v>13.616697699954178</v>
      </c>
      <c r="R11" s="62">
        <f t="shared" si="0"/>
        <v>280.06114214439862</v>
      </c>
      <c r="S11" s="62">
        <f ca="1">AVERAGE(OFFSET($R$3,0,0,'Données projet'!$E$9+1,1))-AVERAGE(OFFSET($H$3,0,0,'Données projet'!$E$9+1,1))</f>
        <v>87.539629191511665</v>
      </c>
      <c r="T11" s="62">
        <f t="shared" si="34"/>
        <v>411.51686965858363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8.8333333333333339</v>
      </c>
      <c r="AI11" s="14">
        <f>IF('Données projet'!$A$62&gt;35,AI10+AH11-AQ10,IF(A11&lt;'Données projet'!$A$62,$AF$205^A11,IF(A11='Données projet'!$A$62,'Données projet'!$B$62,AI10+AH11-AQ10)))</f>
        <v>22.397725109111352</v>
      </c>
      <c r="AJ11" s="14">
        <f>AI11*VLOOKUP('Données projet'!$B$10,Paramètres!$A$1:$I$89,3,0)*VLOOKUP('Données projet'!$B$10,Paramètres!$A$1:$I$89,5,0)</f>
        <v>13.39383961524859</v>
      </c>
      <c r="AK11" s="14">
        <f t="shared" si="35"/>
        <v>4.5633670903584358</v>
      </c>
      <c r="AL11" s="22">
        <f t="shared" si="4"/>
        <v>31.275468345598899</v>
      </c>
      <c r="AM11" s="62">
        <f t="shared" si="5"/>
        <v>297.71991279004334</v>
      </c>
      <c r="AN11" s="62">
        <f ca="1">AVERAGE(OFFSET($AM$3,0,0,'Données projet'!$E$10+1,1))-AVERAGE(OFFSET($H$3,0,0,'Données projet'!$E$10+1,1))</f>
        <v>187.13674266165236</v>
      </c>
      <c r="AO11" s="62">
        <f t="shared" si="36"/>
        <v>439.28159165815276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15.5</v>
      </c>
      <c r="N12" s="14">
        <f>IF('Données projet'!$A$36&gt;35,N11+M12-V11,IF(A12&lt;'Données projet'!$A$36,$K$205^A12,IF(A12='Données projet'!$A$36,'Données projet'!$B$36,N11+M12-V11)))</f>
        <v>13.216387460301561</v>
      </c>
      <c r="O12" s="14">
        <f>N12*VLOOKUP('Données projet'!$B$9,Paramètres!$A$1:$I$89,3,0)*VLOOKUP('Données projet'!$B$9,Paramètres!$A$1:$I$89,5,0)</f>
        <v>7.5666461487718495</v>
      </c>
      <c r="P12" s="14">
        <f t="shared" si="33"/>
        <v>2.7551873199689876</v>
      </c>
      <c r="Q12" s="22">
        <f t="shared" si="2"/>
        <v>17.977193291390293</v>
      </c>
      <c r="R12" s="62">
        <f t="shared" si="0"/>
        <v>285.64385995805696</v>
      </c>
      <c r="S12" s="62">
        <f ca="1">AVERAGE(OFFSET($R$3,0,0,'Données projet'!$E$9+1,1))-AVERAGE(OFFSET($H$3,0,0,'Données projet'!$E$9+1,1))</f>
        <v>87.539629191511665</v>
      </c>
      <c r="T12" s="62">
        <f t="shared" si="34"/>
        <v>411.51686965858363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8.8333333333333339</v>
      </c>
      <c r="AI12" s="14">
        <f>IF('Données projet'!$A$62&gt;35,AI11+AH12-AQ11,IF(A12&lt;'Données projet'!$A$62,$AF$205^A12,IF(A12='Données projet'!$A$62,'Données projet'!$B$62,AI11+AH12-AQ11)))</f>
        <v>33.035387010668153</v>
      </c>
      <c r="AJ12" s="14">
        <f>AI12*VLOOKUP('Données projet'!$B$10,Paramètres!$A$1:$I$89,3,0)*VLOOKUP('Données projet'!$B$10,Paramètres!$A$1:$I$89,5,0)</f>
        <v>19.755161432379555</v>
      </c>
      <c r="AK12" s="14">
        <f t="shared" si="35"/>
        <v>6.433027796547198</v>
      </c>
      <c r="AL12" s="22">
        <f t="shared" si="4"/>
        <v>45.61109624038076</v>
      </c>
      <c r="AM12" s="62">
        <f t="shared" si="5"/>
        <v>313.27776290704742</v>
      </c>
      <c r="AN12" s="62">
        <f ca="1">AVERAGE(OFFSET($AM$3,0,0,'Données projet'!$E$10+1,1))-AVERAGE(OFFSET($H$3,0,0,'Données projet'!$E$10+1,1))</f>
        <v>187.13674266165236</v>
      </c>
      <c r="AO12" s="62">
        <f t="shared" si="36"/>
        <v>439.28159165815276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15.5</v>
      </c>
      <c r="N13" s="14">
        <f>IF('Données projet'!$A$36&gt;35,N12+M13-V12,IF(A13&lt;'Données projet'!$A$36,$K$205^A13,IF(A13='Données projet'!$A$36,'Données projet'!$B$36,N12+M13-V12)))</f>
        <v>17.60681686165902</v>
      </c>
      <c r="O13" s="14">
        <f>N13*VLOOKUP('Données projet'!$B$9,Paramètres!$A$1:$I$89,3,0)*VLOOKUP('Données projet'!$B$9,Paramètres!$A$1:$I$89,5,0)</f>
        <v>10.080254789637022</v>
      </c>
      <c r="P13" s="14">
        <f t="shared" si="33"/>
        <v>3.5499275581540357</v>
      </c>
      <c r="Q13" s="22">
        <f t="shared" si="2"/>
        <v>23.73923425573609</v>
      </c>
      <c r="R13" s="62">
        <f t="shared" si="0"/>
        <v>292.62812314462496</v>
      </c>
      <c r="S13" s="62">
        <f ca="1">AVERAGE(OFFSET($R$3,0,0,'Données projet'!$E$9+1,1))-AVERAGE(OFFSET($H$3,0,0,'Données projet'!$E$9+1,1))</f>
        <v>87.539629191511665</v>
      </c>
      <c r="T13" s="62">
        <f t="shared" si="34"/>
        <v>411.51686965858363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8.8333333333333339</v>
      </c>
      <c r="AI13" s="14">
        <f>IF('Données projet'!$A$62&gt;35,AI12+AH13-AQ12,IF(A13&lt;'Données projet'!$A$62,$AF$205^A13,IF(A13='Données projet'!$A$62,'Données projet'!$B$62,AI12+AH13-AQ12)))</f>
        <v>48.725341061564706</v>
      </c>
      <c r="AJ13" s="14">
        <f>AI13*VLOOKUP('Données projet'!$B$10,Paramètres!$A$1:$I$89,3,0)*VLOOKUP('Données projet'!$B$10,Paramètres!$A$1:$I$89,5,0)</f>
        <v>29.137753954815693</v>
      </c>
      <c r="AK13" s="14">
        <f t="shared" si="35"/>
        <v>9.0687086556296208</v>
      </c>
      <c r="AL13" s="22">
        <f t="shared" si="4"/>
        <v>66.542922379858922</v>
      </c>
      <c r="AM13" s="62">
        <f t="shared" si="5"/>
        <v>335.43181126874777</v>
      </c>
      <c r="AN13" s="62">
        <f ca="1">AVERAGE(OFFSET($AM$3,0,0,'Données projet'!$E$10+1,1))-AVERAGE(OFFSET($H$3,0,0,'Données projet'!$E$10+1,1))</f>
        <v>187.13674266165236</v>
      </c>
      <c r="AO13" s="62">
        <f t="shared" si="36"/>
        <v>439.28159165815276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15.5</v>
      </c>
      <c r="N14" s="14">
        <f>IF('Données projet'!$A$36&gt;35,N13+M14-V13,IF(A14&lt;'Données projet'!$A$36,$K$205^A14,IF(A14='Données projet'!$A$36,'Données projet'!$B$36,N13+M14-V13)))</f>
        <v>23.455728801168714</v>
      </c>
      <c r="O14" s="14">
        <f>N14*VLOOKUP('Données projet'!$B$9,Paramètres!$A$1:$I$89,3,0)*VLOOKUP('Données projet'!$B$9,Paramètres!$A$1:$I$89,5,0)</f>
        <v>13.428873853245111</v>
      </c>
      <c r="P14" s="14">
        <f t="shared" si="33"/>
        <v>4.5739124802168858</v>
      </c>
      <c r="Q14" s="22">
        <f t="shared" si="2"/>
        <v>31.354852864112974</v>
      </c>
      <c r="R14" s="62">
        <f t="shared" si="0"/>
        <v>301.4659639752241</v>
      </c>
      <c r="S14" s="62">
        <f ca="1">AVERAGE(OFFSET($R$3,0,0,'Données projet'!$E$9+1,1))-AVERAGE(OFFSET($H$3,0,0,'Données projet'!$E$9+1,1))</f>
        <v>87.539629191511665</v>
      </c>
      <c r="T14" s="62">
        <f t="shared" si="34"/>
        <v>411.51686965858363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8.8333333333333339</v>
      </c>
      <c r="AI14" s="14">
        <f>IF('Données projet'!$A$62&gt;35,AI13+AH14-AQ13,IF(A14&lt;'Données projet'!$A$62,$AF$205^A14,IF(A14='Données projet'!$A$62,'Données projet'!$B$62,AI13+AH14-AQ13)))</f>
        <v>71.867142370667978</v>
      </c>
      <c r="AJ14" s="14">
        <f>AI14*VLOOKUP('Données projet'!$B$10,Paramètres!$A$1:$I$89,3,0)*VLOOKUP('Données projet'!$B$10,Paramètres!$A$1:$I$89,5,0)</f>
        <v>42.976551137659456</v>
      </c>
      <c r="AK14" s="14">
        <f t="shared" si="35"/>
        <v>12.784256384658107</v>
      </c>
      <c r="AL14" s="22">
        <f t="shared" si="4"/>
        <v>97.116739768036425</v>
      </c>
      <c r="AM14" s="62">
        <f t="shared" si="5"/>
        <v>367.22785087914758</v>
      </c>
      <c r="AN14" s="62">
        <f ca="1">AVERAGE(OFFSET($AM$3,0,0,'Données projet'!$E$10+1,1))-AVERAGE(OFFSET($H$3,0,0,'Données projet'!$E$10+1,1))</f>
        <v>187.13674266165236</v>
      </c>
      <c r="AO14" s="62">
        <f t="shared" si="36"/>
        <v>439.28159165815276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15.5</v>
      </c>
      <c r="N15" s="14">
        <f>IF('Données projet'!$A$36&gt;35,N14+M15-V14,IF(A15&lt;'Données projet'!$A$36,$K$205^A15,IF(A15='Données projet'!$A$36,'Données projet'!$B$36,N14+M15-V14)))</f>
        <v>31.24762516227678</v>
      </c>
      <c r="O15" s="14">
        <f>N15*VLOOKUP('Données projet'!$B$9,Paramètres!$A$1:$I$89,3,0)*VLOOKUP('Données projet'!$B$9,Paramètres!$A$1:$I$89,5,0)</f>
        <v>17.889890357906701</v>
      </c>
      <c r="P15" s="14">
        <f t="shared" si="33"/>
        <v>5.8932682523703512</v>
      </c>
      <c r="Q15" s="22">
        <f t="shared" si="2"/>
        <v>41.422334579565863</v>
      </c>
      <c r="R15" s="62">
        <f t="shared" si="0"/>
        <v>312.75566791289918</v>
      </c>
      <c r="S15" s="62">
        <f ca="1">AVERAGE(OFFSET($R$3,0,0,'Données projet'!$E$9+1,1))-AVERAGE(OFFSET($H$3,0,0,'Données projet'!$E$9+1,1))</f>
        <v>87.539629191511665</v>
      </c>
      <c r="T15" s="62">
        <f t="shared" si="34"/>
        <v>411.51686965858363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106</v>
      </c>
      <c r="AG15" s="13">
        <f>VLOOKUP(A15,'Données projet'!$A$61:$I$81,9,0)</f>
        <v>8.8333333333333339</v>
      </c>
      <c r="AH15" s="13">
        <f t="array" ref="AH15">INDEX(AG:AG,MIN(IF(ISNUMBER(AG15:AG211),ROW(AG15:AG211),"")))</f>
        <v>8.8333333333333339</v>
      </c>
      <c r="AI15" s="14">
        <f>IF('Données projet'!$A$62&gt;35,AI14+AH15-AQ14,IF(A15&lt;'Données projet'!$A$62,$AF$205^A15,IF(A15='Données projet'!$A$62,'Données projet'!$B$62,AI14+AH15-AQ14)))</f>
        <v>106</v>
      </c>
      <c r="AJ15" s="14">
        <f>AI15*VLOOKUP('Données projet'!$B$10,Paramètres!$A$1:$I$89,3,0)*VLOOKUP('Données projet'!$B$10,Paramètres!$A$1:$I$89,5,0)</f>
        <v>63.388000000000012</v>
      </c>
      <c r="AK15" s="14">
        <f t="shared" si="35"/>
        <v>18.022104085041263</v>
      </c>
      <c r="AL15" s="22">
        <f t="shared" si="4"/>
        <v>141.78926461478019</v>
      </c>
      <c r="AM15" s="62">
        <f t="shared" si="5"/>
        <v>413.12259794811348</v>
      </c>
      <c r="AN15" s="62">
        <f ca="1">AVERAGE(OFFSET($AM$3,0,0,'Données projet'!$E$10+1,1))-AVERAGE(OFFSET($H$3,0,0,'Données projet'!$E$10+1,1))</f>
        <v>187.13674266165236</v>
      </c>
      <c r="AO15" s="62">
        <f t="shared" si="36"/>
        <v>439.28159165815276</v>
      </c>
      <c r="AP15" s="16">
        <f>IF(ISNA(VLOOKUP(A15,'Données projet'!$A$61:$I$81,3,0)),0,VLOOKUP(A15,'Données projet'!$A$61:$I$81,3,0))</f>
        <v>1</v>
      </c>
      <c r="AQ15" s="16">
        <f>IF(ISNA(VLOOKUP(A15,'Données projet'!$A$61:$I$81,4,0)),0,VLOOKUP(A15,'Données projet'!$A$61:$I$81,4,0))</f>
        <v>34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1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23.020547073308105</v>
      </c>
      <c r="AX15" s="23">
        <f t="shared" si="6"/>
        <v>23.020547073308105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15.5</v>
      </c>
      <c r="N16" s="14">
        <f>IF('Données projet'!$A$36&gt;35,N15+M16-V15,IF(A16&lt;'Données projet'!$A$36,$K$205^A16,IF(A16='Données projet'!$A$36,'Données projet'!$B$36,N15+M16-V15)))</f>
        <v>41.627957355710123</v>
      </c>
      <c r="O16" s="14">
        <f>N16*VLOOKUP('Données projet'!$B$9,Paramètres!$A$1:$I$89,3,0)*VLOOKUP('Données projet'!$B$9,Paramètres!$A$1:$I$89,5,0)</f>
        <v>23.832838145291159</v>
      </c>
      <c r="P16" s="14">
        <f t="shared" si="33"/>
        <v>7.5931952884130025</v>
      </c>
      <c r="Q16" s="22">
        <f t="shared" si="2"/>
        <v>54.733674897034746</v>
      </c>
      <c r="R16" s="62">
        <f t="shared" si="0"/>
        <v>327.28923045259029</v>
      </c>
      <c r="S16" s="62">
        <f ca="1">AVERAGE(OFFSET($R$3,0,0,'Données projet'!$E$9+1,1))-AVERAGE(OFFSET($H$3,0,0,'Données projet'!$E$9+1,1))</f>
        <v>87.539629191511665</v>
      </c>
      <c r="T16" s="62">
        <f t="shared" si="34"/>
        <v>411.51686965858363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20.8</v>
      </c>
      <c r="AI16" s="14">
        <f>IF('Données projet'!$A$62&gt;35,AI15+AH16-AQ15,IF(A16&lt;'Données projet'!$A$62,$AF$205^A16,IF(A16='Données projet'!$A$62,'Données projet'!$B$62,AI15+AH16-AQ15)))</f>
        <v>92.8</v>
      </c>
      <c r="AJ16" s="14">
        <f>AI16*VLOOKUP('Données projet'!$B$10,Paramètres!$A$1:$I$89,3,0)*VLOOKUP('Données projet'!$B$10,Paramètres!$A$1:$I$89,5,0)</f>
        <v>55.494400000000006</v>
      </c>
      <c r="AK16" s="14">
        <f t="shared" si="35"/>
        <v>16.023988434505792</v>
      </c>
      <c r="AL16" s="22">
        <f t="shared" si="4"/>
        <v>124.5611931900976</v>
      </c>
      <c r="AM16" s="62">
        <f t="shared" si="5"/>
        <v>397.11674874565313</v>
      </c>
      <c r="AN16" s="62">
        <f ca="1">AVERAGE(OFFSET($AM$3,0,0,'Données projet'!$E$10+1,1))-AVERAGE(OFFSET($H$3,0,0,'Données projet'!$E$10+1,1))</f>
        <v>187.13674266165236</v>
      </c>
      <c r="AO16" s="62">
        <f t="shared" si="36"/>
        <v>439.28159165815276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16.277984942160291</v>
      </c>
      <c r="AX16" s="23">
        <f t="shared" si="6"/>
        <v>16.277984942160291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55.456593088578835</v>
      </c>
      <c r="O17" s="14">
        <f>N17*VLOOKUP('Données projet'!$B$9,Paramètres!$A$1:$I$89,3,0)*VLOOKUP('Données projet'!$B$9,Paramètres!$A$1:$I$89,5,0)</f>
        <v>31.750008675073158</v>
      </c>
      <c r="P17" s="14">
        <f t="shared" si="33"/>
        <v>9.7834702611385822</v>
      </c>
      <c r="Q17" s="22">
        <f t="shared" si="2"/>
        <v>72.337475813902117</v>
      </c>
      <c r="R17" s="62">
        <f t="shared" si="0"/>
        <v>346.1152535916799</v>
      </c>
      <c r="S17" s="62">
        <f ca="1">AVERAGE(OFFSET($R$3,0,0,'Données projet'!$E$9+1,1))-AVERAGE(OFFSET($H$3,0,0,'Données projet'!$E$9+1,1))</f>
        <v>87.539629191511665</v>
      </c>
      <c r="T17" s="62">
        <f t="shared" si="34"/>
        <v>411.51686965858363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20.8</v>
      </c>
      <c r="AI17" s="14">
        <f>IF('Données projet'!$A$62&gt;35,AI16+AH17-AQ16,IF(A17&lt;'Données projet'!$A$62,$AF$205^A17,IF(A17='Données projet'!$A$62,'Données projet'!$B$62,AI16+AH17-AQ16)))</f>
        <v>113.6</v>
      </c>
      <c r="AJ17" s="14">
        <f>AI17*VLOOKUP('Données projet'!$B$10,Paramètres!$A$1:$I$89,3,0)*VLOOKUP('Données projet'!$B$10,Paramètres!$A$1:$I$89,5,0)</f>
        <v>67.9328</v>
      </c>
      <c r="AK17" s="14">
        <f t="shared" si="35"/>
        <v>19.159206778906245</v>
      </c>
      <c r="AL17" s="22">
        <f t="shared" si="4"/>
        <v>151.68524513992836</v>
      </c>
      <c r="AM17" s="62">
        <f t="shared" si="5"/>
        <v>425.4630229177061</v>
      </c>
      <c r="AN17" s="62">
        <f ca="1">AVERAGE(OFFSET($AM$3,0,0,'Données projet'!$E$10+1,1))-AVERAGE(OFFSET($H$3,0,0,'Données projet'!$E$10+1,1))</f>
        <v>187.13674266165236</v>
      </c>
      <c r="AO17" s="62">
        <f t="shared" si="36"/>
        <v>439.28159165815276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11.510273536654053</v>
      </c>
      <c r="AX17" s="23">
        <f t="shared" si="6"/>
        <v>11.510273536654053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73.879044573642815</v>
      </c>
      <c r="O18" s="14">
        <f>N18*VLOOKUP('Données projet'!$B$9,Paramètres!$A$1:$I$89,3,0)*VLOOKUP('Données projet'!$B$9,Paramètres!$A$1:$I$89,5,0)</f>
        <v>42.297230599301983</v>
      </c>
      <c r="P18" s="14">
        <f t="shared" si="33"/>
        <v>12.605535181828298</v>
      </c>
      <c r="Q18" s="22">
        <f t="shared" si="2"/>
        <v>95.622317068801905</v>
      </c>
      <c r="R18" s="62">
        <f t="shared" si="0"/>
        <v>370.62231706880192</v>
      </c>
      <c r="S18" s="62">
        <f ca="1">AVERAGE(OFFSET($R$3,0,0,'Données projet'!$E$9+1,1))-AVERAGE(OFFSET($H$3,0,0,'Données projet'!$E$9+1,1))</f>
        <v>87.539629191511665</v>
      </c>
      <c r="T18" s="62">
        <f t="shared" si="34"/>
        <v>411.51686965858363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20.8</v>
      </c>
      <c r="AI18" s="14">
        <f>IF('Données projet'!$A$62&gt;35,AI17+AH18-AQ17,IF(A18&lt;'Données projet'!$A$62,$AF$205^A18,IF(A18='Données projet'!$A$62,'Données projet'!$B$62,AI17+AH18-AQ17)))</f>
        <v>134.4</v>
      </c>
      <c r="AJ18" s="14">
        <f>AI18*VLOOKUP('Données projet'!$B$10,Paramètres!$A$1:$I$89,3,0)*VLOOKUP('Données projet'!$B$10,Paramètres!$A$1:$I$89,5,0)</f>
        <v>80.371200000000016</v>
      </c>
      <c r="AK18" s="14">
        <f t="shared" si="35"/>
        <v>22.227919990990831</v>
      </c>
      <c r="AL18" s="22">
        <f t="shared" si="4"/>
        <v>178.69346731764236</v>
      </c>
      <c r="AM18" s="62">
        <f t="shared" si="5"/>
        <v>453.69346731764233</v>
      </c>
      <c r="AN18" s="62">
        <f ca="1">AVERAGE(OFFSET($AM$3,0,0,'Données projet'!$E$10+1,1))-AVERAGE(OFFSET($H$3,0,0,'Données projet'!$E$10+1,1))</f>
        <v>187.13674266165236</v>
      </c>
      <c r="AO18" s="62">
        <f t="shared" si="36"/>
        <v>439.28159165815276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8.1389924710801456</v>
      </c>
      <c r="AX18" s="23">
        <f t="shared" si="6"/>
        <v>8.1389924710801456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15.5</v>
      </c>
      <c r="N19" s="14">
        <f>IF('Données projet'!$A$36&gt;35,N18+M19-V18,IF(A19&lt;'Données projet'!$A$36,$K$205^A19,IF(A19='Données projet'!$A$36,'Données projet'!$B$36,N18+M19-V18)))</f>
        <v>98.421358455905363</v>
      </c>
      <c r="O19" s="14">
        <f>N19*VLOOKUP('Données projet'!$B$9,Paramètres!$A$1:$I$89,3,0)*VLOOKUP('Données projet'!$B$9,Paramètres!$A$1:$I$89,5,0)</f>
        <v>56.348196143174945</v>
      </c>
      <c r="P19" s="14">
        <f t="shared" si="33"/>
        <v>16.241631341333335</v>
      </c>
      <c r="Q19" s="22">
        <f t="shared" si="2"/>
        <v>126.42728286885189</v>
      </c>
      <c r="R19" s="62">
        <f t="shared" si="0"/>
        <v>402.6495050910741</v>
      </c>
      <c r="S19" s="62">
        <f ca="1">AVERAGE(OFFSET($R$3,0,0,'Données projet'!$E$9+1,1))-AVERAGE(OFFSET($H$3,0,0,'Données projet'!$E$9+1,1))</f>
        <v>87.539629191511665</v>
      </c>
      <c r="T19" s="62">
        <f t="shared" si="34"/>
        <v>411.51686965858363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20.8</v>
      </c>
      <c r="AI19" s="14">
        <f>IF('Données projet'!$A$62&gt;35,AI18+AH19-AQ18,IF(A19&lt;'Données projet'!$A$62,$AF$205^A19,IF(A19='Données projet'!$A$62,'Données projet'!$B$62,AI18+AH19-AQ18)))</f>
        <v>155.20000000000002</v>
      </c>
      <c r="AJ19" s="14">
        <f>AI19*VLOOKUP('Données projet'!$B$10,Paramètres!$A$1:$I$89,3,0)*VLOOKUP('Données projet'!$B$10,Paramètres!$A$1:$I$89,5,0)</f>
        <v>92.809600000000017</v>
      </c>
      <c r="AK19" s="14">
        <f t="shared" si="35"/>
        <v>25.241615800824192</v>
      </c>
      <c r="AL19" s="22">
        <f t="shared" si="4"/>
        <v>205.60586751976882</v>
      </c>
      <c r="AM19" s="62">
        <f t="shared" si="5"/>
        <v>481.82808974199105</v>
      </c>
      <c r="AN19" s="62">
        <f ca="1">AVERAGE(OFFSET($AM$3,0,0,'Données projet'!$E$10+1,1))-AVERAGE(OFFSET($H$3,0,0,'Données projet'!$E$10+1,1))</f>
        <v>187.13674266165236</v>
      </c>
      <c r="AO19" s="62">
        <f t="shared" si="36"/>
        <v>439.28159165815276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5.7551367683270263</v>
      </c>
      <c r="AX19" s="23">
        <f t="shared" si="6"/>
        <v>5.7551367683270263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15.5</v>
      </c>
      <c r="N20" s="14">
        <f>IF('Données projet'!$A$36&gt;35,N19+M20-V19,IF(A20&lt;'Données projet'!$A$36,$K$205^A20,IF(A20='Données projet'!$A$36,'Données projet'!$B$36,N19+M20-V19)))</f>
        <v>131.11652778143366</v>
      </c>
      <c r="O20" s="14">
        <f>N20*VLOOKUP('Données projet'!$B$9,Paramètres!$A$1:$I$89,3,0)*VLOOKUP('Données projet'!$B$9,Paramètres!$A$1:$I$89,5,0)</f>
        <v>75.066834485426398</v>
      </c>
      <c r="P20" s="14">
        <f t="shared" si="33"/>
        <v>20.926567957864467</v>
      </c>
      <c r="Q20" s="22">
        <f t="shared" si="2"/>
        <v>167.18850925539826</v>
      </c>
      <c r="R20" s="62">
        <f t="shared" si="0"/>
        <v>444.63295369984269</v>
      </c>
      <c r="S20" s="62">
        <f ca="1">AVERAGE(OFFSET($R$3,0,0,'Données projet'!$E$9+1,1))-AVERAGE(OFFSET($H$3,0,0,'Données projet'!$E$9+1,1))</f>
        <v>87.539629191511665</v>
      </c>
      <c r="T20" s="62">
        <f t="shared" si="34"/>
        <v>411.51686965858363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176</v>
      </c>
      <c r="AG20" s="13">
        <f>VLOOKUP(A20,'Données projet'!$A$61:$I$81,9,0)</f>
        <v>20.8</v>
      </c>
      <c r="AH20" s="13">
        <f t="array" ref="AH20">INDEX(AG:AG,MIN(IF(ISNUMBER(AG20:AG216),ROW(AG20:AG216),"")))</f>
        <v>20.8</v>
      </c>
      <c r="AI20" s="14">
        <f>IF('Données projet'!$A$62&gt;35,AI19+AH20-AQ19,IF(A20&lt;'Données projet'!$A$62,$AF$205^A20,IF(A20='Données projet'!$A$62,'Données projet'!$B$62,AI19+AH20-AQ19)))</f>
        <v>176.00000000000003</v>
      </c>
      <c r="AJ20" s="14">
        <f>AI20*VLOOKUP('Données projet'!$B$10,Paramètres!$A$1:$I$89,3,0)*VLOOKUP('Données projet'!$B$10,Paramètres!$A$1:$I$89,5,0)</f>
        <v>105.24800000000003</v>
      </c>
      <c r="AK20" s="14">
        <f t="shared" si="35"/>
        <v>28.208515027560551</v>
      </c>
      <c r="AL20" s="22">
        <f t="shared" si="4"/>
        <v>232.43676367300134</v>
      </c>
      <c r="AM20" s="62">
        <f t="shared" si="5"/>
        <v>509.88120811744579</v>
      </c>
      <c r="AN20" s="62">
        <f ca="1">AVERAGE(OFFSET($AM$3,0,0,'Données projet'!$E$10+1,1))-AVERAGE(OFFSET($H$3,0,0,'Données projet'!$E$10+1,1))</f>
        <v>187.13674266165236</v>
      </c>
      <c r="AO20" s="62">
        <f t="shared" si="36"/>
        <v>439.28159165815276</v>
      </c>
      <c r="AP20" s="16">
        <f>IF(ISNA(VLOOKUP(A20,'Données projet'!$A$61:$I$81,3,0)),0,VLOOKUP(A20,'Données projet'!$A$61:$I$81,3,0))</f>
        <v>2</v>
      </c>
      <c r="AQ20" s="16">
        <f>IF(ISNA(VLOOKUP(A20,'Données projet'!$A$61:$I$81,4,0)),0,VLOOKUP(A20,'Données projet'!$A$61:$I$81,4,0))</f>
        <v>43</v>
      </c>
      <c r="AR20" s="17">
        <f>IF(ISNA(VLOOKUP(A20,'Données projet'!$A$61:$I$81,5,0)),0%,VLOOKUP(A20,'Données projet'!$A$61:$I$81,5,0)*VLOOKUP('Données projet'!$B$10,Paramètres!$A$1:$I$89,7,0))</f>
        <v>9.0000000000000011E-2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0.8</v>
      </c>
      <c r="AU20" s="23">
        <f>EXP(-LN(2)/35)*AU19+(1-EXP(-LN(2)/35))/(LN(2)/35)*AQ20*AR20*VLOOKUP('Données projet'!$B$10,Paramètres!$A$1:$I$89,3,0)*0.475*44/12</f>
        <v>3.0700150566455107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27.360873274416509</v>
      </c>
      <c r="AX20" s="23">
        <f t="shared" si="6"/>
        <v>30.430888331062018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15.5</v>
      </c>
      <c r="N21" s="14">
        <f>IF('Données projet'!$A$36&gt;35,N20+M21-V20,IF(A21&lt;'Données projet'!$A$36,$K$205^A21,IF(A21='Données projet'!$A$36,'Données projet'!$B$36,N20+M21-V20)))</f>
        <v>174.67289750081636</v>
      </c>
      <c r="O21" s="14">
        <f>N21*VLOOKUP('Données projet'!$B$9,Paramètres!$A$1:$I$89,3,0)*VLOOKUP('Données projet'!$B$9,Paramètres!$A$1:$I$89,5,0)</f>
        <v>100.00372727716739</v>
      </c>
      <c r="P21" s="14">
        <f t="shared" si="33"/>
        <v>26.962885518811994</v>
      </c>
      <c r="Q21" s="22">
        <f t="shared" si="2"/>
        <v>221.13351728633074</v>
      </c>
      <c r="R21" s="62">
        <f t="shared" si="0"/>
        <v>499.80018395299743</v>
      </c>
      <c r="S21" s="62">
        <f ca="1">AVERAGE(OFFSET($R$3,0,0,'Données projet'!$E$9+1,1))-AVERAGE(OFFSET($H$3,0,0,'Données projet'!$E$9+1,1))</f>
        <v>87.539629191511665</v>
      </c>
      <c r="T21" s="62">
        <f t="shared" si="34"/>
        <v>411.51686965858363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19.8</v>
      </c>
      <c r="AI21" s="14">
        <f>IF('Données projet'!$A$62&gt;35,AI20+AH21-AQ20,IF(A21&lt;'Données projet'!$A$62,$AF$205^A21,IF(A21='Données projet'!$A$62,'Données projet'!$B$62,AI20+AH21-AQ20)))</f>
        <v>152.80000000000004</v>
      </c>
      <c r="AJ21" s="14">
        <f>AI21*VLOOKUP('Données projet'!$B$10,Paramètres!$A$1:$I$89,3,0)*VLOOKUP('Données projet'!$B$10,Paramètres!$A$1:$I$89,5,0)</f>
        <v>91.374400000000037</v>
      </c>
      <c r="AK21" s="14">
        <f t="shared" si="35"/>
        <v>24.89640423383166</v>
      </c>
      <c r="AL21" s="22">
        <f t="shared" si="4"/>
        <v>202.50498404059022</v>
      </c>
      <c r="AM21" s="62">
        <f t="shared" si="5"/>
        <v>481.1716507072569</v>
      </c>
      <c r="AN21" s="62">
        <f ca="1">AVERAGE(OFFSET($AM$3,0,0,'Données projet'!$E$10+1,1))-AVERAGE(OFFSET($H$3,0,0,'Données projet'!$E$10+1,1))</f>
        <v>187.13674266165236</v>
      </c>
      <c r="AO21" s="62">
        <f t="shared" si="36"/>
        <v>439.28159165815276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3.0098139339089802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19.347059031525692</v>
      </c>
      <c r="AX21" s="23">
        <f t="shared" si="6"/>
        <v>22.356872965434672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15.5</v>
      </c>
      <c r="N22" s="14">
        <f>IF('Données projet'!$A$36&gt;35,N21+M22-V21,IF(A22&lt;'Données projet'!$A$36,$K$205^A22,IF(A22='Données projet'!$A$36,'Données projet'!$B$36,N21+M22-V21)))</f>
        <v>232.69851358625635</v>
      </c>
      <c r="O22" s="14">
        <f>N22*VLOOKUP('Données projet'!$B$9,Paramètres!$A$1:$I$89,3,0)*VLOOKUP('Données projet'!$B$9,Paramètres!$A$1:$I$89,5,0)</f>
        <v>133.22455299840348</v>
      </c>
      <c r="P22" s="14">
        <f t="shared" si="33"/>
        <v>34.740393024043236</v>
      </c>
      <c r="Q22" s="22">
        <f t="shared" si="2"/>
        <v>292.53894765576132</v>
      </c>
      <c r="R22" s="62">
        <f t="shared" si="0"/>
        <v>572.42783654465018</v>
      </c>
      <c r="S22" s="62">
        <f ca="1">AVERAGE(OFFSET($R$3,0,0,'Données projet'!$E$9+1,1))-AVERAGE(OFFSET($H$3,0,0,'Données projet'!$E$9+1,1))</f>
        <v>87.539629191511665</v>
      </c>
      <c r="T22" s="62">
        <f t="shared" si="34"/>
        <v>411.51686965858363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19.8</v>
      </c>
      <c r="AI22" s="14">
        <f>IF('Données projet'!$A$62&gt;35,AI21+AH22-AQ21,IF(A22&lt;'Données projet'!$A$62,$AF$205^A22,IF(A22='Données projet'!$A$62,'Données projet'!$B$62,AI21+AH22-AQ21)))</f>
        <v>172.60000000000005</v>
      </c>
      <c r="AJ22" s="14">
        <f>AI22*VLOOKUP('Données projet'!$B$10,Paramètres!$A$1:$I$89,3,0)*VLOOKUP('Données projet'!$B$10,Paramètres!$A$1:$I$89,5,0)</f>
        <v>103.21480000000004</v>
      </c>
      <c r="AK22" s="14">
        <f t="shared" si="35"/>
        <v>27.726463199430338</v>
      </c>
      <c r="AL22" s="22">
        <f t="shared" si="4"/>
        <v>228.05603340567458</v>
      </c>
      <c r="AM22" s="62">
        <f t="shared" si="5"/>
        <v>507.94492229456341</v>
      </c>
      <c r="AN22" s="62">
        <f ca="1">AVERAGE(OFFSET($AM$3,0,0,'Données projet'!$E$10+1,1))-AVERAGE(OFFSET($H$3,0,0,'Données projet'!$E$10+1,1))</f>
        <v>187.13674266165236</v>
      </c>
      <c r="AO22" s="62">
        <f t="shared" si="36"/>
        <v>439.28159165815276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2.9507933184702542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13.680436637208256</v>
      </c>
      <c r="AX22" s="23">
        <f t="shared" si="6"/>
        <v>16.63122995567851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310</v>
      </c>
      <c r="L23" s="13">
        <f>VLOOKUP(A23,'Données projet'!$A$35:$I$55,9,0)</f>
        <v>15.5</v>
      </c>
      <c r="M23" s="13">
        <f t="array" ref="M23">INDEX(L:L,MIN(IF(ISNUMBER(L23:L219),ROW(L23:L219),"")))</f>
        <v>15.5</v>
      </c>
      <c r="N23" s="14">
        <f>IF('Données projet'!$A$36&gt;35,N22+M23-V22,IF(A23&lt;'Données projet'!$A$36,$K$205^A23,IF(A23='Données projet'!$A$36,'Données projet'!$B$36,N22+M23-V22)))</f>
        <v>310</v>
      </c>
      <c r="O23" s="14">
        <f>N23*VLOOKUP('Données projet'!$B$9,Paramètres!$A$1:$I$89,3,0)*VLOOKUP('Données projet'!$B$9,Paramètres!$A$1:$I$89,5,0)</f>
        <v>177.4812</v>
      </c>
      <c r="P23" s="14">
        <f t="shared" si="33"/>
        <v>44.761340792807246</v>
      </c>
      <c r="Q23" s="22">
        <f t="shared" si="2"/>
        <v>387.07242521413923</v>
      </c>
      <c r="R23" s="62">
        <f t="shared" si="0"/>
        <v>668.18353632525032</v>
      </c>
      <c r="S23" s="62">
        <f ca="1">AVERAGE(OFFSET($R$3,0,0,'Données projet'!$E$9+1,1))-AVERAGE(OFFSET($H$3,0,0,'Données projet'!$E$9+1,1))</f>
        <v>87.539629191511665</v>
      </c>
      <c r="T23" s="62">
        <f t="shared" si="34"/>
        <v>411.51686965858363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310</v>
      </c>
      <c r="W23" s="17">
        <f>IF(ISNA(VLOOKUP(A23,'Données projet'!$A$35:$I$55,5,0)),0%,VLOOKUP(A23,'Données projet'!$A$35:$I$55,5,0)*VLOOKUP('Données projet'!$B$9,Paramètres!$A$1:$I$89,7,0))</f>
        <v>0.42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0.3</v>
      </c>
      <c r="Z23" s="23">
        <f>EXP(-LN(2)/35)*Z22+(1-EXP(-LN(2)/35))/(LN(2)/35)*V23*W23*VLOOKUP('Données projet'!$B$9,Paramètres!$A$1:$I$89,3,0)*0.475*44/12</f>
        <v>82.404088000064647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50.237486710938548</v>
      </c>
      <c r="AC23" s="24">
        <f t="shared" si="3"/>
        <v>132.64157471100319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19.8</v>
      </c>
      <c r="AI23" s="14">
        <f>IF('Données projet'!$A$62&gt;35,AI22+AH23-AQ22,IF(A23&lt;'Données projet'!$A$62,$AF$205^A23,IF(A23='Données projet'!$A$62,'Données projet'!$B$62,AI22+AH23-AQ22)))</f>
        <v>192.40000000000006</v>
      </c>
      <c r="AJ23" s="14">
        <f>AI23*VLOOKUP('Données projet'!$B$10,Paramètres!$A$1:$I$89,3,0)*VLOOKUP('Données projet'!$B$10,Paramètres!$A$1:$I$89,5,0)</f>
        <v>115.05520000000004</v>
      </c>
      <c r="AK23" s="14">
        <f t="shared" si="35"/>
        <v>30.5188966745568</v>
      </c>
      <c r="AL23" s="22">
        <f t="shared" si="4"/>
        <v>253.54155170818649</v>
      </c>
      <c r="AM23" s="62">
        <f t="shared" si="5"/>
        <v>534.65266281929757</v>
      </c>
      <c r="AN23" s="62">
        <f ca="1">AVERAGE(OFFSET($AM$3,0,0,'Données projet'!$E$10+1,1))-AVERAGE(OFFSET($H$3,0,0,'Données projet'!$E$10+1,1))</f>
        <v>187.13674266165236</v>
      </c>
      <c r="AO23" s="62">
        <f t="shared" si="36"/>
        <v>439.28159165815276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2.8929300613012607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9.6735295157628478</v>
      </c>
      <c r="AX23" s="23">
        <f t="shared" si="6"/>
        <v>12.566459577064109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87.539629191511665</v>
      </c>
      <c r="T24" s="62">
        <f t="shared" si="34"/>
        <v>411.51686965858363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80.78819409591415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35.523267523073713</v>
      </c>
      <c r="AC24" s="24">
        <f t="shared" si="3"/>
        <v>116.31146161898786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19.8</v>
      </c>
      <c r="AI24" s="14">
        <f>IF('Données projet'!$A$62&gt;35,AI23+AH24-AQ23,IF(A24&lt;'Données projet'!$A$62,$AF$205^A24,IF(A24='Données projet'!$A$62,'Données projet'!$B$62,AI23+AH24-AQ23)))</f>
        <v>212.20000000000007</v>
      </c>
      <c r="AJ24" s="14">
        <f>AI24*VLOOKUP('Données projet'!$B$10,Paramètres!$A$1:$I$89,3,0)*VLOOKUP('Données projet'!$B$10,Paramètres!$A$1:$I$89,5,0)</f>
        <v>126.89560000000006</v>
      </c>
      <c r="AK24" s="14">
        <f t="shared" si="35"/>
        <v>33.278017701950326</v>
      </c>
      <c r="AL24" s="22">
        <f t="shared" si="4"/>
        <v>278.96905083089689</v>
      </c>
      <c r="AM24" s="62">
        <f t="shared" si="5"/>
        <v>561.30238416423026</v>
      </c>
      <c r="AN24" s="62">
        <f ca="1">AVERAGE(OFFSET($AM$3,0,0,'Données projet'!$E$10+1,1))-AVERAGE(OFFSET($H$3,0,0,'Données projet'!$E$10+1,1))</f>
        <v>187.13674266165236</v>
      </c>
      <c r="AO24" s="62">
        <f t="shared" si="36"/>
        <v>439.28159165815276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2.8362014673122493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6.8402183186041299</v>
      </c>
      <c r="AX24" s="23">
        <f t="shared" si="6"/>
        <v>9.6764197859163801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87.539629191511665</v>
      </c>
      <c r="T25" s="62">
        <f t="shared" si="34"/>
        <v>411.51686965858363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79.20398688562608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25.118743355469277</v>
      </c>
      <c r="AC25" s="24">
        <f t="shared" si="3"/>
        <v>104.32273024109536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232</v>
      </c>
      <c r="AG25" s="13">
        <f>VLOOKUP(A25,'Données projet'!$A$61:$I$81,9,0)</f>
        <v>19.8</v>
      </c>
      <c r="AH25" s="13">
        <f t="array" ref="AH25">INDEX(AG:AG,MIN(IF(ISNUMBER(AG25:AG221),ROW(AG25:AG221),"")))</f>
        <v>19.8</v>
      </c>
      <c r="AI25" s="14">
        <f>IF('Données projet'!$A$62&gt;35,AI24+AH25-AQ24,IF(A25&lt;'Données projet'!$A$62,$AF$205^A25,IF(A25='Données projet'!$A$62,'Données projet'!$B$62,AI24+AH25-AQ24)))</f>
        <v>232.00000000000009</v>
      </c>
      <c r="AJ25" s="14">
        <f>AI25*VLOOKUP('Données projet'!$B$10,Paramètres!$A$1:$I$89,3,0)*VLOOKUP('Données projet'!$B$10,Paramètres!$A$1:$I$89,5,0)</f>
        <v>138.73600000000005</v>
      </c>
      <c r="AK25" s="14">
        <f t="shared" si="35"/>
        <v>36.007288175538072</v>
      </c>
      <c r="AL25" s="22">
        <f t="shared" si="4"/>
        <v>304.34456023906222</v>
      </c>
      <c r="AM25" s="62">
        <f t="shared" si="5"/>
        <v>587.9001157946177</v>
      </c>
      <c r="AN25" s="62">
        <f ca="1">AVERAGE(OFFSET($AM$3,0,0,'Données projet'!$E$10+1,1))-AVERAGE(OFFSET($H$3,0,0,'Données projet'!$E$10+1,1))</f>
        <v>187.13674266165236</v>
      </c>
      <c r="AO25" s="62">
        <f t="shared" si="36"/>
        <v>439.28159165815276</v>
      </c>
      <c r="AP25" s="16">
        <f>IF(ISNA(VLOOKUP(A25,'Données projet'!$A$61:$I$81,3,0)),0,VLOOKUP(A25,'Données projet'!$A$61:$I$81,3,0))</f>
        <v>3</v>
      </c>
      <c r="AQ25" s="16">
        <f>IF(ISNA(VLOOKUP(A25,'Données projet'!$A$61:$I$81,4,0)),0,VLOOKUP(A25,'Données projet'!$A$61:$I$81,4,0))</f>
        <v>56</v>
      </c>
      <c r="AR25" s="17">
        <f>IF(ISNA(VLOOKUP(A25,'Données projet'!$A$61:$I$81,5,0)),0%,VLOOKUP(A25,'Données projet'!$A$61:$I$81,5,0)*VLOOKUP('Données projet'!$B$10,Paramètres!$A$1:$I$89,7,0))</f>
        <v>0.18000000000000002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0.6</v>
      </c>
      <c r="AU25" s="23">
        <f>EXP(-LN(2)/35)*AU24+(1-EXP(-LN(2)/35))/(LN(2)/35)*AQ25*AR25*VLOOKUP('Données projet'!$B$10,Paramètres!$A$1:$I$89,3,0)*0.475*44/12</f>
        <v>10.776903573527015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27.586481865621199</v>
      </c>
      <c r="AX25" s="23">
        <f t="shared" si="6"/>
        <v>38.363385439148217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87.539629191511665</v>
      </c>
      <c r="T26" s="62">
        <f t="shared" si="34"/>
        <v>411.51686965858363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77.650845012460763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17.76163376153686</v>
      </c>
      <c r="AC26" s="24">
        <f t="shared" si="3"/>
        <v>95.41247877399762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16.625</v>
      </c>
      <c r="AI26" s="14">
        <f>IF('Données projet'!$A$62&gt;35,AI25+AH26-AQ25,IF(A26&lt;'Données projet'!$A$62,$AF$205^A26,IF(A26='Données projet'!$A$62,'Données projet'!$B$62,AI25+AH26-AQ25)))</f>
        <v>192.62500000000009</v>
      </c>
      <c r="AJ26" s="14">
        <f>AI26*VLOOKUP('Données projet'!$B$10,Paramètres!$A$1:$I$89,3,0)*VLOOKUP('Données projet'!$B$10,Paramètres!$A$1:$I$89,5,0)</f>
        <v>115.18975000000006</v>
      </c>
      <c r="AK26" s="14">
        <f t="shared" si="35"/>
        <v>30.550430193620951</v>
      </c>
      <c r="AL26" s="22">
        <f t="shared" si="4"/>
        <v>253.83081383722325</v>
      </c>
      <c r="AM26" s="62">
        <f t="shared" si="5"/>
        <v>538.60859161500105</v>
      </c>
      <c r="AN26" s="62">
        <f ca="1">AVERAGE(OFFSET($AM$3,0,0,'Données projet'!$E$10+1,1))-AVERAGE(OFFSET($H$3,0,0,'Données projet'!$E$10+1,1))</f>
        <v>187.13674266165236</v>
      </c>
      <c r="AO26" s="62">
        <f t="shared" si="36"/>
        <v>439.28159165815276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10.565575067712274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19.506588396260472</v>
      </c>
      <c r="AX26" s="23">
        <f t="shared" si="6"/>
        <v>30.072163463972746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87.539629191511665</v>
      </c>
      <c r="T27" s="62">
        <f t="shared" si="34"/>
        <v>411.51686965858363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76.128159304105225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12.55937167773464</v>
      </c>
      <c r="AC27" s="24">
        <f t="shared" si="3"/>
        <v>88.68753098183987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16.625</v>
      </c>
      <c r="AI27" s="14">
        <f>IF('Données projet'!$A$62&gt;35,AI26+AH27-AQ26,IF(A27&lt;'Données projet'!$A$62,$AF$205^A27,IF(A27='Données projet'!$A$62,'Données projet'!$B$62,AI26+AH27-AQ26)))</f>
        <v>209.25000000000009</v>
      </c>
      <c r="AJ27" s="14">
        <f>AI27*VLOOKUP('Données projet'!$B$10,Paramètres!$A$1:$I$89,3,0)*VLOOKUP('Données projet'!$B$10,Paramètres!$A$1:$I$89,5,0)</f>
        <v>125.13150000000006</v>
      </c>
      <c r="AK27" s="14">
        <f t="shared" si="35"/>
        <v>32.868905092404546</v>
      </c>
      <c r="AL27" s="22">
        <f t="shared" si="4"/>
        <v>275.18403886927132</v>
      </c>
      <c r="AM27" s="62">
        <f t="shared" si="5"/>
        <v>561.18403886927126</v>
      </c>
      <c r="AN27" s="62">
        <f ca="1">AVERAGE(OFFSET($AM$3,0,0,'Données projet'!$E$10+1,1))-AVERAGE(OFFSET($H$3,0,0,'Données projet'!$E$10+1,1))</f>
        <v>187.13674266165236</v>
      </c>
      <c r="AO27" s="62">
        <f t="shared" si="36"/>
        <v>439.28159165815276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10.358390584998899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13.793240932810601</v>
      </c>
      <c r="AX27" s="23">
        <f t="shared" si="6"/>
        <v>24.151631517809498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87.539629191511665</v>
      </c>
      <c r="T28" s="62">
        <f t="shared" si="34"/>
        <v>411.51686965858363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74.635332533743963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8.8808168807684318</v>
      </c>
      <c r="AC28" s="24">
        <f t="shared" si="3"/>
        <v>83.516149414512398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16.625</v>
      </c>
      <c r="AI28" s="14">
        <f>IF('Données projet'!$A$62&gt;35,AI27+AH28-AQ27,IF(A28&lt;'Données projet'!$A$62,$AF$205^A28,IF(A28='Données projet'!$A$62,'Données projet'!$B$62,AI27+AH28-AQ27)))</f>
        <v>225.87500000000009</v>
      </c>
      <c r="AJ28" s="14">
        <f>AI28*VLOOKUP('Données projet'!$B$10,Paramètres!$A$1:$I$89,3,0)*VLOOKUP('Données projet'!$B$10,Paramètres!$A$1:$I$89,5,0)</f>
        <v>135.07325000000006</v>
      </c>
      <c r="AK28" s="14">
        <f t="shared" si="35"/>
        <v>35.166013795582487</v>
      </c>
      <c r="AL28" s="22">
        <f t="shared" si="4"/>
        <v>296.50005111063956</v>
      </c>
      <c r="AM28" s="62">
        <f t="shared" si="5"/>
        <v>583.72227333286173</v>
      </c>
      <c r="AN28" s="62">
        <f ca="1">AVERAGE(OFFSET($AM$3,0,0,'Données projet'!$E$10+1,1))-AVERAGE(OFFSET($H$3,0,0,'Données projet'!$E$10+1,1))</f>
        <v>187.13674266165236</v>
      </c>
      <c r="AO28" s="62">
        <f t="shared" si="36"/>
        <v>439.28159165815276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10.155268863621478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9.7532941981302379</v>
      </c>
      <c r="AX28" s="23">
        <f t="shared" si="6"/>
        <v>19.908563061751714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87.539629191511665</v>
      </c>
      <c r="T29" s="62">
        <f t="shared" si="34"/>
        <v>411.51686965858363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73.171779185815055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6.2796858388673211</v>
      </c>
      <c r="AC29" s="24">
        <f t="shared" si="3"/>
        <v>79.451465024682378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16.625</v>
      </c>
      <c r="AI29" s="14">
        <f>IF('Données projet'!$A$62&gt;35,AI28+AH29-AQ28,IF(A29&lt;'Données projet'!$A$62,$AF$205^A29,IF(A29='Données projet'!$A$62,'Données projet'!$B$62,AI28+AH29-AQ28)))</f>
        <v>242.50000000000009</v>
      </c>
      <c r="AJ29" s="14">
        <f>AI29*VLOOKUP('Données projet'!$B$10,Paramètres!$A$1:$I$89,3,0)*VLOOKUP('Données projet'!$B$10,Paramètres!$A$1:$I$89,5,0)</f>
        <v>145.01500000000004</v>
      </c>
      <c r="AK29" s="14">
        <f t="shared" si="35"/>
        <v>37.443507744276459</v>
      </c>
      <c r="AL29" s="22">
        <f t="shared" si="4"/>
        <v>317.78190098794829</v>
      </c>
      <c r="AM29" s="62">
        <f t="shared" si="5"/>
        <v>606.22634543239269</v>
      </c>
      <c r="AN29" s="62">
        <f ca="1">AVERAGE(OFFSET($AM$3,0,0,'Données projet'!$E$10+1,1))-AVERAGE(OFFSET($H$3,0,0,'Données projet'!$E$10+1,1))</f>
        <v>187.13674266165236</v>
      </c>
      <c r="AO29" s="62">
        <f t="shared" si="36"/>
        <v>439.28159165815276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9.956130235308251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6.8966204664053024</v>
      </c>
      <c r="AX29" s="23">
        <f t="shared" si="6"/>
        <v>16.852750701713553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87.539629191511665</v>
      </c>
      <c r="T30" s="62">
        <f t="shared" si="34"/>
        <v>411.51686965858363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71.736925226359645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4.4404084403842159</v>
      </c>
      <c r="AC30" s="24">
        <f t="shared" si="3"/>
        <v>76.177333666743863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16.625</v>
      </c>
      <c r="AI30" s="14">
        <f>IF('Données projet'!$A$62&gt;35,AI29+AH30-AQ29,IF(A30&lt;'Données projet'!$A$62,$AF$205^A30,IF(A30='Données projet'!$A$62,'Données projet'!$B$62,AI29+AH30-AQ29)))</f>
        <v>259.12500000000011</v>
      </c>
      <c r="AJ30" s="14">
        <f>AI30*VLOOKUP('Données projet'!$B$10,Paramètres!$A$1:$I$89,3,0)*VLOOKUP('Données projet'!$B$10,Paramètres!$A$1:$I$89,5,0)</f>
        <v>154.95675000000008</v>
      </c>
      <c r="AK30" s="14">
        <f t="shared" si="35"/>
        <v>39.702884639661342</v>
      </c>
      <c r="AL30" s="22">
        <f t="shared" si="4"/>
        <v>339.03219699741027</v>
      </c>
      <c r="AM30" s="62">
        <f t="shared" si="5"/>
        <v>628.69886366407695</v>
      </c>
      <c r="AN30" s="62">
        <f ca="1">AVERAGE(OFFSET($AM$3,0,0,'Données projet'!$E$10+1,1))-AVERAGE(OFFSET($H$3,0,0,'Données projet'!$E$10+1,1))</f>
        <v>187.13674266165236</v>
      </c>
      <c r="AO30" s="62">
        <f t="shared" si="36"/>
        <v>439.28159165815276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9.7608965940336763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4.8766470990651198</v>
      </c>
      <c r="AX30" s="23">
        <f t="shared" si="6"/>
        <v>14.637543693098795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87.539629191511665</v>
      </c>
      <c r="T31" s="62">
        <f t="shared" si="34"/>
        <v>411.51686965858363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70.330207877874656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3.1398429194336606</v>
      </c>
      <c r="AC31" s="24">
        <f t="shared" si="3"/>
        <v>73.470050797308318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16.625</v>
      </c>
      <c r="AI31" s="14">
        <f>IF('Données projet'!$A$62&gt;35,AI30+AH31-AQ30,IF(A31&lt;'Données projet'!$A$62,$AF$205^A31,IF(A31='Données projet'!$A$62,'Données projet'!$B$62,AI30+AH31-AQ30)))</f>
        <v>275.75000000000011</v>
      </c>
      <c r="AJ31" s="14">
        <f>AI31*VLOOKUP('Données projet'!$B$10,Paramètres!$A$1:$I$89,3,0)*VLOOKUP('Données projet'!$B$10,Paramètres!$A$1:$I$89,5,0)</f>
        <v>164.89850000000007</v>
      </c>
      <c r="AK31" s="14">
        <f t="shared" si="35"/>
        <v>41.94543913753872</v>
      </c>
      <c r="AL31" s="22">
        <f t="shared" si="4"/>
        <v>360.25319399788003</v>
      </c>
      <c r="AM31" s="62">
        <f t="shared" si="5"/>
        <v>651.14208288676889</v>
      </c>
      <c r="AN31" s="62">
        <f ca="1">AVERAGE(OFFSET($AM$3,0,0,'Données projet'!$E$10+1,1))-AVERAGE(OFFSET($H$3,0,0,'Données projet'!$E$10+1,1))</f>
        <v>187.13674266165236</v>
      </c>
      <c r="AO31" s="62">
        <f t="shared" si="36"/>
        <v>439.28159165815276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9.5694913653837332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3.4483102332026516</v>
      </c>
      <c r="AX31" s="23">
        <f t="shared" si="6"/>
        <v>13.017801598586384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87.539629191511665</v>
      </c>
      <c r="T32" s="62">
        <f t="shared" si="34"/>
        <v>411.51686965858363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68.951075398580599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2.2202042201921079</v>
      </c>
      <c r="AC32" s="24">
        <f t="shared" si="3"/>
        <v>71.171279618772701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16.625</v>
      </c>
      <c r="AI32" s="14">
        <f>IF('Données projet'!$A$62&gt;35,AI31+AH32-AQ31,IF(A32&lt;'Données projet'!$A$62,$AF$205^A32,IF(A32='Données projet'!$A$62,'Données projet'!$B$62,AI31+AH32-AQ31)))</f>
        <v>292.37500000000011</v>
      </c>
      <c r="AJ32" s="14">
        <f>AI32*VLOOKUP('Données projet'!$B$10,Paramètres!$A$1:$I$89,3,0)*VLOOKUP('Données projet'!$B$10,Paramètres!$A$1:$I$89,5,0)</f>
        <v>174.84025000000008</v>
      </c>
      <c r="AK32" s="14">
        <f t="shared" si="35"/>
        <v>44.172300963535264</v>
      </c>
      <c r="AL32" s="22">
        <f t="shared" si="4"/>
        <v>381.44685959482405</v>
      </c>
      <c r="AM32" s="62">
        <f t="shared" si="5"/>
        <v>673.55797070593519</v>
      </c>
      <c r="AN32" s="62">
        <f ca="1">AVERAGE(OFFSET($AM$3,0,0,'Données projet'!$E$10+1,1))-AVERAGE(OFFSET($H$3,0,0,'Données projet'!$E$10+1,1))</f>
        <v>187.13674266165236</v>
      </c>
      <c r="AO32" s="62">
        <f t="shared" si="36"/>
        <v>439.28159165815276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9.3818394765219537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2.4383235495325604</v>
      </c>
      <c r="AX32" s="23">
        <f t="shared" si="6"/>
        <v>11.820163026054514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87.539629191511665</v>
      </c>
      <c r="T33" s="62">
        <f t="shared" si="34"/>
        <v>411.51686965858363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67.598986866017739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1.5699214597168303</v>
      </c>
      <c r="AC33" s="24">
        <f t="shared" si="3"/>
        <v>69.168908325734563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309</v>
      </c>
      <c r="AG33" s="13">
        <f>VLOOKUP(A33,'Données projet'!$A$61:$I$81,9,0)</f>
        <v>16.625</v>
      </c>
      <c r="AH33" s="13">
        <f t="array" ref="AH33">INDEX(AG:AG,MIN(IF(ISNUMBER(AG33:AG229),ROW(AG33:AG229),"")))</f>
        <v>16.625</v>
      </c>
      <c r="AI33" s="14">
        <f>IF('Données projet'!$A$62&gt;35,AI32+AH33-AQ32,IF(A33&lt;'Données projet'!$A$62,$AF$205^A33,IF(A33='Données projet'!$A$62,'Données projet'!$B$62,AI32+AH33-AQ32)))</f>
        <v>309.00000000000011</v>
      </c>
      <c r="AJ33" s="14">
        <f>AI33*VLOOKUP('Données projet'!$B$10,Paramètres!$A$1:$I$89,3,0)*VLOOKUP('Données projet'!$B$10,Paramètres!$A$1:$I$89,5,0)</f>
        <v>184.7820000000001</v>
      </c>
      <c r="AK33" s="14">
        <f t="shared" si="35"/>
        <v>46.384464109944147</v>
      </c>
      <c r="AL33" s="22">
        <f t="shared" si="4"/>
        <v>402.61492499148613</v>
      </c>
      <c r="AM33" s="62">
        <f t="shared" si="5"/>
        <v>695.94825832481945</v>
      </c>
      <c r="AN33" s="62">
        <f ca="1">AVERAGE(OFFSET($AM$3,0,0,'Données projet'!$E$10+1,1))-AVERAGE(OFFSET($H$3,0,0,'Données projet'!$E$10+1,1))</f>
        <v>187.13674266165236</v>
      </c>
      <c r="AO33" s="62">
        <f t="shared" si="36"/>
        <v>439.28159165815276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309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0.18000000000000002</v>
      </c>
      <c r="AT33" s="17">
        <f>IF(ISNA(VLOOKUP(A33,'Données projet'!$A$61:$I$81,7,0)),0%,VLOOKUP(A33,'Données projet'!$A$61:$I$81,7,0))</f>
        <v>0.2</v>
      </c>
      <c r="AU33" s="23">
        <f>EXP(-LN(2)/35)*AU32+(1-EXP(-LN(2)/35))/(LN(2)/35)*AQ33*AR33*VLOOKUP('Données projet'!$B$10,Paramètres!$A$1:$I$89,3,0)*0.475*44/12</f>
        <v>53.320409303649647</v>
      </c>
      <c r="AV33" s="23">
        <f>EXP(-LN(2)/25)*AV32+(1-EXP(-LN(2)/25))/(LN(2)/25)*Calculateur!AQ33*Calculateur!AS33*VLOOKUP('Données projet'!$B$10,Paramètres!$A$1:$I$89,3,0)*0.475*44/12</f>
        <v>43.948814717135633</v>
      </c>
      <c r="AW33" s="23">
        <f>EXP(-LN(2)/2)*AW32+(1-EXP(-LN(2)/2))/(LN(2)/2)*AQ33*AT33*VLOOKUP('Données projet'!$B$10,Paramètres!$A$1:$I$89,3,0)*0.475*44/12</f>
        <v>43.567384796908406</v>
      </c>
      <c r="AX33" s="23">
        <f t="shared" si="6"/>
        <v>140.8366088176937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87.539629191511665</v>
      </c>
      <c r="T34" s="62">
        <f t="shared" si="34"/>
        <v>411.51686965858363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66.273411964885867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1.110102110096054</v>
      </c>
      <c r="AC34" s="24">
        <f t="shared" si="3"/>
        <v>67.383514074981917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1.1368683772161603E-13</v>
      </c>
      <c r="AJ34" s="14">
        <f>AI34*VLOOKUP('Données projet'!$B$10,Paramètres!$A$1:$I$89,3,0)*VLOOKUP('Données projet'!$B$10,Paramètres!$A$1:$I$89,5,0)</f>
        <v>6.7984728957526396E-14</v>
      </c>
      <c r="AK34" s="14">
        <f t="shared" si="35"/>
        <v>1.0682447123141398E-12</v>
      </c>
      <c r="AL34" s="22">
        <f t="shared" si="4"/>
        <v>1.978932943548152E-12</v>
      </c>
      <c r="AM34" s="62">
        <f t="shared" si="5"/>
        <v>293.3333333333353</v>
      </c>
      <c r="AN34" s="62">
        <f ca="1">AVERAGE(OFFSET($AM$3,0,0,'Données projet'!$E$10+1,1))-AVERAGE(OFFSET($H$3,0,0,'Données projet'!$E$10+1,1))</f>
        <v>187.13674266165236</v>
      </c>
      <c r="AO34" s="62">
        <f t="shared" si="36"/>
        <v>439.28159165815276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52.274828599443445</v>
      </c>
      <c r="AV34" s="23">
        <f>EXP(-LN(2)/25)*AV33+(1-EXP(-LN(2)/25))/(LN(2)/25)*Calculateur!AQ34*Calculateur!AS34*VLOOKUP('Données projet'!$B$10,Paramètres!$A$1:$I$89,3,0)*0.475*44/12</f>
        <v>42.74703206752784</v>
      </c>
      <c r="AW34" s="23">
        <f>EXP(-LN(2)/2)*AW33+(1-EXP(-LN(2)/2))/(LN(2)/2)*AQ34*AT34*VLOOKUP('Données projet'!$B$10,Paramètres!$A$1:$I$89,3,0)*0.475*44/12</f>
        <v>30.806793228457632</v>
      </c>
      <c r="AX34" s="23">
        <f t="shared" si="6"/>
        <v>125.82865389542893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87.539629191511665</v>
      </c>
      <c r="T35" s="62">
        <f t="shared" si="34"/>
        <v>411.51686965858363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64.973830779044334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0.78496072985841514</v>
      </c>
      <c r="AC35" s="24">
        <f t="shared" si="3"/>
        <v>65.758791508902746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1.1368683772161603E-13</v>
      </c>
      <c r="AJ35" s="14">
        <f>AI35*VLOOKUP('Données projet'!$B$10,Paramètres!$A$1:$I$89,3,0)*VLOOKUP('Données projet'!$B$10,Paramètres!$A$1:$I$89,5,0)</f>
        <v>6.7984728957526396E-14</v>
      </c>
      <c r="AK35" s="14">
        <f t="shared" si="35"/>
        <v>1.0682447123141398E-12</v>
      </c>
      <c r="AL35" s="22">
        <f t="shared" si="4"/>
        <v>1.978932943548152E-12</v>
      </c>
      <c r="AM35" s="62">
        <f t="shared" si="5"/>
        <v>293.3333333333353</v>
      </c>
      <c r="AN35" s="62">
        <f ca="1">AVERAGE(OFFSET($AM$3,0,0,'Données projet'!$E$10+1,1))-AVERAGE(OFFSET($H$3,0,0,'Données projet'!$E$10+1,1))</f>
        <v>187.13674266165236</v>
      </c>
      <c r="AO35" s="62">
        <f t="shared" si="36"/>
        <v>439.28159165815276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51.249751095105474</v>
      </c>
      <c r="AV35" s="23">
        <f>EXP(-LN(2)/25)*AV34+(1-EXP(-LN(2)/25))/(LN(2)/25)*Calculateur!AQ35*Calculateur!AS35*VLOOKUP('Données projet'!$B$10,Paramètres!$A$1:$I$89,3,0)*0.475*44/12</f>
        <v>41.578112227672577</v>
      </c>
      <c r="AW35" s="23">
        <f>EXP(-LN(2)/2)*AW34+(1-EXP(-LN(2)/2))/(LN(2)/2)*AQ35*AT35*VLOOKUP('Données projet'!$B$10,Paramètres!$A$1:$I$89,3,0)*0.475*44/12</f>
        <v>21.783692398454207</v>
      </c>
      <c r="AX35" s="23">
        <f t="shared" si="6"/>
        <v>114.61155572123226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87.539629191511665</v>
      </c>
      <c r="T36" s="62">
        <f t="shared" si="34"/>
        <v>411.51686965858363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63.699733587590899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0.55505105504802699</v>
      </c>
      <c r="AC36" s="24">
        <f t="shared" si="3"/>
        <v>64.254784642638924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1.1368683772161603E-13</v>
      </c>
      <c r="AJ36" s="14">
        <f>AI36*VLOOKUP('Données projet'!$B$10,Paramètres!$A$1:$I$89,3,0)*VLOOKUP('Données projet'!$B$10,Paramètres!$A$1:$I$89,5,0)</f>
        <v>6.7984728957526396E-14</v>
      </c>
      <c r="AK36" s="14">
        <f t="shared" si="35"/>
        <v>1.0682447123141398E-12</v>
      </c>
      <c r="AL36" s="22">
        <f t="shared" si="4"/>
        <v>1.978932943548152E-12</v>
      </c>
      <c r="AM36" s="62">
        <f t="shared" si="5"/>
        <v>293.3333333333353</v>
      </c>
      <c r="AN36" s="62">
        <f ca="1">AVERAGE(OFFSET($AM$3,0,0,'Données projet'!$E$10+1,1))-AVERAGE(OFFSET($H$3,0,0,'Données projet'!$E$10+1,1))</f>
        <v>187.13674266165236</v>
      </c>
      <c r="AO36" s="62">
        <f t="shared" si="36"/>
        <v>439.28159165815276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50.244774735392028</v>
      </c>
      <c r="AV36" s="23">
        <f>EXP(-LN(2)/25)*AV35+(1-EXP(-LN(2)/25))/(LN(2)/25)*Calculateur!AQ36*Calculateur!AS36*VLOOKUP('Données projet'!$B$10,Paramètres!$A$1:$I$89,3,0)*0.475*44/12</f>
        <v>40.441156562308976</v>
      </c>
      <c r="AW36" s="23">
        <f>EXP(-LN(2)/2)*AW35+(1-EXP(-LN(2)/2))/(LN(2)/2)*AQ36*AT36*VLOOKUP('Données projet'!$B$10,Paramètres!$A$1:$I$89,3,0)*0.475*44/12</f>
        <v>15.403396614228818</v>
      </c>
      <c r="AX36" s="23">
        <f t="shared" si="6"/>
        <v>106.08932791192981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87.539629191511665</v>
      </c>
      <c r="T37" s="62">
        <f t="shared" si="34"/>
        <v>411.51686965858363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62.450620664939315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0.39248036492920757</v>
      </c>
      <c r="AC37" s="24">
        <f t="shared" si="3"/>
        <v>62.843101029868521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1.1368683772161603E-13</v>
      </c>
      <c r="AJ37" s="14">
        <f>AI37*VLOOKUP('Données projet'!$B$10,Paramètres!$A$1:$I$89,3,0)*VLOOKUP('Données projet'!$B$10,Paramètres!$A$1:$I$89,5,0)</f>
        <v>6.7984728957526396E-14</v>
      </c>
      <c r="AK37" s="14">
        <f t="shared" si="35"/>
        <v>1.0682447123141398E-12</v>
      </c>
      <c r="AL37" s="22">
        <f t="shared" si="4"/>
        <v>1.978932943548152E-12</v>
      </c>
      <c r="AM37" s="62">
        <f t="shared" si="5"/>
        <v>293.3333333333353</v>
      </c>
      <c r="AN37" s="62">
        <f ca="1">AVERAGE(OFFSET($AM$3,0,0,'Données projet'!$E$10+1,1))-AVERAGE(OFFSET($H$3,0,0,'Données projet'!$E$10+1,1))</f>
        <v>187.13674266165236</v>
      </c>
      <c r="AO37" s="62">
        <f t="shared" si="36"/>
        <v>439.28159165815276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49.259505349117511</v>
      </c>
      <c r="AV37" s="23">
        <f>EXP(-LN(2)/25)*AV36+(1-EXP(-LN(2)/25))/(LN(2)/25)*Calculateur!AQ37*Calculateur!AS37*VLOOKUP('Données projet'!$B$10,Paramètres!$A$1:$I$89,3,0)*0.475*44/12</f>
        <v>39.335291009404642</v>
      </c>
      <c r="AW37" s="23">
        <f>EXP(-LN(2)/2)*AW36+(1-EXP(-LN(2)/2))/(LN(2)/2)*AQ37*AT37*VLOOKUP('Données projet'!$B$10,Paramètres!$A$1:$I$89,3,0)*0.475*44/12</f>
        <v>10.891846199227105</v>
      </c>
      <c r="AX37" s="23">
        <f t="shared" si="6"/>
        <v>99.486642557749263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87.539629191511665</v>
      </c>
      <c r="T38" s="62">
        <f t="shared" si="34"/>
        <v>411.51686965858363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61.226002084817274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0.27752552752401349</v>
      </c>
      <c r="AC38" s="24">
        <f t="shared" si="3"/>
        <v>61.503527612341287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1.1368683772161603E-13</v>
      </c>
      <c r="AJ38" s="14">
        <f>AI38*VLOOKUP('Données projet'!$B$10,Paramètres!$A$1:$I$89,3,0)*VLOOKUP('Données projet'!$B$10,Paramètres!$A$1:$I$89,5,0)</f>
        <v>6.7984728957526396E-14</v>
      </c>
      <c r="AK38" s="14">
        <f t="shared" si="35"/>
        <v>1.0682447123141398E-12</v>
      </c>
      <c r="AL38" s="22">
        <f t="shared" si="4"/>
        <v>1.978932943548152E-12</v>
      </c>
      <c r="AM38" s="62">
        <f t="shared" si="5"/>
        <v>293.3333333333353</v>
      </c>
      <c r="AN38" s="62">
        <f ca="1">AVERAGE(OFFSET($AM$3,0,0,'Données projet'!$E$10+1,1))-AVERAGE(OFFSET($H$3,0,0,'Données projet'!$E$10+1,1))</f>
        <v>187.13674266165236</v>
      </c>
      <c r="AO38" s="62">
        <f t="shared" si="36"/>
        <v>439.28159165815276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48.293556494552853</v>
      </c>
      <c r="AV38" s="23">
        <f>EXP(-LN(2)/25)*AV37+(1-EXP(-LN(2)/25))/(LN(2)/25)*Calculateur!AQ38*Calculateur!AS38*VLOOKUP('Données projet'!$B$10,Paramètres!$A$1:$I$89,3,0)*0.475*44/12</f>
        <v>38.259665408199417</v>
      </c>
      <c r="AW38" s="23">
        <f>EXP(-LN(2)/2)*AW37+(1-EXP(-LN(2)/2))/(LN(2)/2)*AQ38*AT38*VLOOKUP('Données projet'!$B$10,Paramètres!$A$1:$I$89,3,0)*0.475*44/12</f>
        <v>7.7016983071144107</v>
      </c>
      <c r="AX38" s="23">
        <f t="shared" si="6"/>
        <v>94.254920209866683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87.539629191511665</v>
      </c>
      <c r="T39" s="62">
        <f t="shared" si="34"/>
        <v>411.51686965858363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60.025397528107845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0.19624018246460379</v>
      </c>
      <c r="AC39" s="24">
        <f t="shared" si="3"/>
        <v>60.221637710572452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1.1368683772161603E-13</v>
      </c>
      <c r="AJ39" s="14">
        <f>AI39*VLOOKUP('Données projet'!$B$10,Paramètres!$A$1:$I$89,3,0)*VLOOKUP('Données projet'!$B$10,Paramètres!$A$1:$I$89,5,0)</f>
        <v>6.7984728957526396E-14</v>
      </c>
      <c r="AK39" s="14">
        <f t="shared" si="35"/>
        <v>1.0682447123141398E-12</v>
      </c>
      <c r="AL39" s="22">
        <f t="shared" si="4"/>
        <v>1.978932943548152E-12</v>
      </c>
      <c r="AM39" s="62">
        <f t="shared" si="5"/>
        <v>293.3333333333353</v>
      </c>
      <c r="AN39" s="62">
        <f ca="1">AVERAGE(OFFSET($AM$3,0,0,'Données projet'!$E$10+1,1))-AVERAGE(OFFSET($H$3,0,0,'Données projet'!$E$10+1,1))</f>
        <v>187.13674266165236</v>
      </c>
      <c r="AO39" s="62">
        <f t="shared" si="36"/>
        <v>439.28159165815276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47.346549307855575</v>
      </c>
      <c r="AV39" s="23">
        <f>EXP(-LN(2)/25)*AV38+(1-EXP(-LN(2)/25))/(LN(2)/25)*Calculateur!AQ39*Calculateur!AS39*VLOOKUP('Données projet'!$B$10,Paramètres!$A$1:$I$89,3,0)*0.475*44/12</f>
        <v>37.213452845623841</v>
      </c>
      <c r="AW39" s="23">
        <f>EXP(-LN(2)/2)*AW38+(1-EXP(-LN(2)/2))/(LN(2)/2)*AQ39*AT39*VLOOKUP('Données projet'!$B$10,Paramètres!$A$1:$I$89,3,0)*0.475*44/12</f>
        <v>5.4459230996135535</v>
      </c>
      <c r="AX39" s="23">
        <f t="shared" si="6"/>
        <v>90.005925253092968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87.539629191511665</v>
      </c>
      <c r="T40" s="62">
        <f t="shared" si="34"/>
        <v>411.51686965858363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58.848336094459022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0.13876276376200675</v>
      </c>
      <c r="AC40" s="24">
        <f t="shared" si="3"/>
        <v>58.987098858221032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1.1368683772161603E-13</v>
      </c>
      <c r="AJ40" s="14">
        <f>AI40*VLOOKUP('Données projet'!$B$10,Paramètres!$A$1:$I$89,3,0)*VLOOKUP('Données projet'!$B$10,Paramètres!$A$1:$I$89,5,0)</f>
        <v>6.7984728957526396E-14</v>
      </c>
      <c r="AK40" s="14">
        <f t="shared" si="35"/>
        <v>1.0682447123141398E-12</v>
      </c>
      <c r="AL40" s="22">
        <f t="shared" si="4"/>
        <v>1.978932943548152E-12</v>
      </c>
      <c r="AM40" s="62">
        <f t="shared" si="5"/>
        <v>293.3333333333353</v>
      </c>
      <c r="AN40" s="62">
        <f ca="1">AVERAGE(OFFSET($AM$3,0,0,'Données projet'!$E$10+1,1))-AVERAGE(OFFSET($H$3,0,0,'Données projet'!$E$10+1,1))</f>
        <v>187.13674266165236</v>
      </c>
      <c r="AO40" s="62">
        <f t="shared" si="36"/>
        <v>439.28159165815276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46.418112354472086</v>
      </c>
      <c r="AV40" s="23">
        <f>EXP(-LN(2)/25)*AV39+(1-EXP(-LN(2)/25))/(LN(2)/25)*Calculateur!AQ40*Calculateur!AS40*VLOOKUP('Données projet'!$B$10,Paramètres!$A$1:$I$89,3,0)*0.475*44/12</f>
        <v>36.195849020589826</v>
      </c>
      <c r="AW40" s="23">
        <f>EXP(-LN(2)/2)*AW39+(1-EXP(-LN(2)/2))/(LN(2)/2)*AQ40*AT40*VLOOKUP('Données projet'!$B$10,Paramètres!$A$1:$I$89,3,0)*0.475*44/12</f>
        <v>3.8508491535572058</v>
      </c>
      <c r="AX40" s="23">
        <f t="shared" si="6"/>
        <v>86.464810528619111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87.539629191511665</v>
      </c>
      <c r="T41" s="62">
        <f t="shared" si="34"/>
        <v>411.51686965858363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57.694356117587468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9.8120091232301893E-2</v>
      </c>
      <c r="AC41" s="24">
        <f t="shared" si="3"/>
        <v>57.792476208819771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1.1368683772161603E-13</v>
      </c>
      <c r="AJ41" s="14">
        <f>AI41*VLOOKUP('Données projet'!$B$10,Paramètres!$A$1:$I$89,3,0)*VLOOKUP('Données projet'!$B$10,Paramètres!$A$1:$I$89,5,0)</f>
        <v>6.7984728957526396E-14</v>
      </c>
      <c r="AK41" s="14">
        <f t="shared" si="35"/>
        <v>1.0682447123141398E-12</v>
      </c>
      <c r="AL41" s="22">
        <f t="shared" si="4"/>
        <v>1.978932943548152E-12</v>
      </c>
      <c r="AM41" s="62">
        <f t="shared" si="5"/>
        <v>293.3333333333353</v>
      </c>
      <c r="AN41" s="62">
        <f ca="1">AVERAGE(OFFSET($AM$3,0,0,'Données projet'!$E$10+1,1))-AVERAGE(OFFSET($H$3,0,0,'Données projet'!$E$10+1,1))</f>
        <v>187.13674266165236</v>
      </c>
      <c r="AO41" s="62">
        <f t="shared" si="36"/>
        <v>439.28159165815276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45.507881483453822</v>
      </c>
      <c r="AV41" s="23">
        <f>EXP(-LN(2)/25)*AV40+(1-EXP(-LN(2)/25))/(LN(2)/25)*Calculateur!AQ41*Calculateur!AS41*VLOOKUP('Données projet'!$B$10,Paramètres!$A$1:$I$89,3,0)*0.475*44/12</f>
        <v>35.206071625664826</v>
      </c>
      <c r="AW41" s="23">
        <f>EXP(-LN(2)/2)*AW40+(1-EXP(-LN(2)/2))/(LN(2)/2)*AQ41*AT41*VLOOKUP('Données projet'!$B$10,Paramètres!$A$1:$I$89,3,0)*0.475*44/12</f>
        <v>2.7229615498067772</v>
      </c>
      <c r="AX41" s="23">
        <f t="shared" si="6"/>
        <v>83.436914658925431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87.539629191511665</v>
      </c>
      <c r="T42" s="62">
        <f t="shared" si="34"/>
        <v>411.51686965858363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56.563004984204078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6.9381381881003373E-2</v>
      </c>
      <c r="AC42" s="24">
        <f t="shared" si="3"/>
        <v>56.632386366085079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1.1368683772161603E-13</v>
      </c>
      <c r="AJ42" s="14">
        <f>AI42*VLOOKUP('Données projet'!$B$10,Paramètres!$A$1:$I$89,3,0)*VLOOKUP('Données projet'!$B$10,Paramètres!$A$1:$I$89,5,0)</f>
        <v>6.7984728957526396E-14</v>
      </c>
      <c r="AK42" s="14">
        <f t="shared" si="35"/>
        <v>1.0682447123141398E-12</v>
      </c>
      <c r="AL42" s="22">
        <f t="shared" si="4"/>
        <v>1.978932943548152E-12</v>
      </c>
      <c r="AM42" s="62">
        <f t="shared" si="5"/>
        <v>293.3333333333353</v>
      </c>
      <c r="AN42" s="62">
        <f ca="1">AVERAGE(OFFSET($AM$3,0,0,'Données projet'!$E$10+1,1))-AVERAGE(OFFSET($H$3,0,0,'Données projet'!$E$10+1,1))</f>
        <v>187.13674266165236</v>
      </c>
      <c r="AO42" s="62">
        <f t="shared" si="36"/>
        <v>439.28159165815276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44.615499684630215</v>
      </c>
      <c r="AV42" s="23">
        <f>EXP(-LN(2)/25)*AV41+(1-EXP(-LN(2)/25))/(LN(2)/25)*Calculateur!AQ42*Calculateur!AS42*VLOOKUP('Données projet'!$B$10,Paramètres!$A$1:$I$89,3,0)*0.475*44/12</f>
        <v>34.243359745654182</v>
      </c>
      <c r="AW42" s="23">
        <f>EXP(-LN(2)/2)*AW41+(1-EXP(-LN(2)/2))/(LN(2)/2)*AQ42*AT42*VLOOKUP('Données projet'!$B$10,Paramètres!$A$1:$I$89,3,0)*0.475*44/12</f>
        <v>1.9254245767786033</v>
      </c>
      <c r="AX42" s="23">
        <f t="shared" si="6"/>
        <v>80.784284007063007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87.539629191511665</v>
      </c>
      <c r="T43" s="62">
        <f t="shared" si="34"/>
        <v>411.51686965858363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55.45383895649028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4.9060045616150946E-2</v>
      </c>
      <c r="AC43" s="24">
        <f t="shared" si="3"/>
        <v>55.502899002106432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1.1368683772161603E-13</v>
      </c>
      <c r="AJ43" s="14">
        <f>AI43*VLOOKUP('Données projet'!$B$10,Paramètres!$A$1:$I$89,3,0)*VLOOKUP('Données projet'!$B$10,Paramètres!$A$1:$I$89,5,0)</f>
        <v>6.7984728957526396E-14</v>
      </c>
      <c r="AK43" s="14">
        <f t="shared" si="35"/>
        <v>1.0682447123141398E-12</v>
      </c>
      <c r="AL43" s="22">
        <f t="shared" si="4"/>
        <v>1.978932943548152E-12</v>
      </c>
      <c r="AM43" s="62">
        <f t="shared" si="5"/>
        <v>293.3333333333353</v>
      </c>
      <c r="AN43" s="62">
        <f ca="1">AVERAGE(OFFSET($AM$3,0,0,'Données projet'!$E$10+1,1))-AVERAGE(OFFSET($H$3,0,0,'Données projet'!$E$10+1,1))</f>
        <v>187.13674266165236</v>
      </c>
      <c r="AO43" s="62">
        <f t="shared" si="36"/>
        <v>439.28159165815276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43.740616948582385</v>
      </c>
      <c r="AV43" s="23">
        <f>EXP(-LN(2)/25)*AV42+(1-EXP(-LN(2)/25))/(LN(2)/25)*Calculateur!AQ43*Calculateur!AS43*VLOOKUP('Données projet'!$B$10,Paramètres!$A$1:$I$89,3,0)*0.475*44/12</f>
        <v>33.306973272629243</v>
      </c>
      <c r="AW43" s="23">
        <f>EXP(-LN(2)/2)*AW42+(1-EXP(-LN(2)/2))/(LN(2)/2)*AQ43*AT43*VLOOKUP('Données projet'!$B$10,Paramètres!$A$1:$I$89,3,0)*0.475*44/12</f>
        <v>1.3614807749033888</v>
      </c>
      <c r="AX43" s="23">
        <f t="shared" si="6"/>
        <v>78.40907099611502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87.539629191511665</v>
      </c>
      <c r="T44" s="62">
        <f t="shared" si="34"/>
        <v>411.51686965858363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54.366422998055477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3.4690690940501687E-2</v>
      </c>
      <c r="AC44" s="24">
        <f t="shared" si="3"/>
        <v>54.401113688995977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1.1368683772161603E-13</v>
      </c>
      <c r="AJ44" s="14">
        <f>AI44*VLOOKUP('Données projet'!$B$10,Paramètres!$A$1:$I$89,3,0)*VLOOKUP('Données projet'!$B$10,Paramètres!$A$1:$I$89,5,0)</f>
        <v>6.7984728957526396E-14</v>
      </c>
      <c r="AK44" s="14">
        <f t="shared" si="35"/>
        <v>1.0682447123141398E-12</v>
      </c>
      <c r="AL44" s="22">
        <f t="shared" si="4"/>
        <v>1.978932943548152E-12</v>
      </c>
      <c r="AM44" s="62">
        <f t="shared" si="5"/>
        <v>293.3333333333353</v>
      </c>
      <c r="AN44" s="62">
        <f ca="1">AVERAGE(OFFSET($AM$3,0,0,'Données projet'!$E$10+1,1))-AVERAGE(OFFSET($H$3,0,0,'Données projet'!$E$10+1,1))</f>
        <v>187.13674266165236</v>
      </c>
      <c r="AO44" s="62">
        <f t="shared" si="36"/>
        <v>439.28159165815276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42.882890129362679</v>
      </c>
      <c r="AV44" s="23">
        <f>EXP(-LN(2)/25)*AV43+(1-EXP(-LN(2)/25))/(LN(2)/25)*Calculateur!AQ44*Calculateur!AS44*VLOOKUP('Données projet'!$B$10,Paramètres!$A$1:$I$89,3,0)*0.475*44/12</f>
        <v>32.396192336951593</v>
      </c>
      <c r="AW44" s="23">
        <f>EXP(-LN(2)/2)*AW43+(1-EXP(-LN(2)/2))/(LN(2)/2)*AQ44*AT44*VLOOKUP('Données projet'!$B$10,Paramètres!$A$1:$I$89,3,0)*0.475*44/12</f>
        <v>0.96271228838930178</v>
      </c>
      <c r="AX44" s="23">
        <f t="shared" si="6"/>
        <v>76.241794754703562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87.539629191511665</v>
      </c>
      <c r="T45" s="62">
        <f t="shared" si="34"/>
        <v>411.51686965858363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53.300330603307337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2.4530022808075473E-2</v>
      </c>
      <c r="AC45" s="24">
        <f t="shared" si="3"/>
        <v>53.324860626115409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1.1368683772161603E-13</v>
      </c>
      <c r="AJ45" s="14">
        <f>AI45*VLOOKUP('Données projet'!$B$10,Paramètres!$A$1:$I$89,3,0)*VLOOKUP('Données projet'!$B$10,Paramètres!$A$1:$I$89,5,0)</f>
        <v>6.7984728957526396E-14</v>
      </c>
      <c r="AK45" s="14">
        <f t="shared" si="35"/>
        <v>1.0682447123141398E-12</v>
      </c>
      <c r="AL45" s="22">
        <f t="shared" si="4"/>
        <v>1.978932943548152E-12</v>
      </c>
      <c r="AM45" s="62">
        <f t="shared" si="5"/>
        <v>293.3333333333353</v>
      </c>
      <c r="AN45" s="62">
        <f ca="1">AVERAGE(OFFSET($AM$3,0,0,'Données projet'!$E$10+1,1))-AVERAGE(OFFSET($H$3,0,0,'Données projet'!$E$10+1,1))</f>
        <v>187.13674266165236</v>
      </c>
      <c r="AO45" s="62">
        <f t="shared" si="36"/>
        <v>439.28159165815276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42.041982809906166</v>
      </c>
      <c r="AV45" s="23">
        <f>EXP(-LN(2)/25)*AV44+(1-EXP(-LN(2)/25))/(LN(2)/25)*Calculateur!AQ45*Calculateur!AS45*VLOOKUP('Données projet'!$B$10,Paramètres!$A$1:$I$89,3,0)*0.475*44/12</f>
        <v>31.510316753855939</v>
      </c>
      <c r="AW45" s="23">
        <f>EXP(-LN(2)/2)*AW44+(1-EXP(-LN(2)/2))/(LN(2)/2)*AQ45*AT45*VLOOKUP('Données projet'!$B$10,Paramètres!$A$1:$I$89,3,0)*0.475*44/12</f>
        <v>0.68074038745169452</v>
      </c>
      <c r="AX45" s="23">
        <f t="shared" si="6"/>
        <v>74.233039951213797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87.539629191511665</v>
      </c>
      <c r="T46" s="62">
        <f t="shared" si="34"/>
        <v>411.51686965858363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52.255143630168057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1.7345345470250843E-2</v>
      </c>
      <c r="AC46" s="24">
        <f t="shared" si="3"/>
        <v>52.272488975638311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1.1368683772161603E-13</v>
      </c>
      <c r="AJ46" s="14">
        <f>AI46*VLOOKUP('Données projet'!$B$10,Paramètres!$A$1:$I$89,3,0)*VLOOKUP('Données projet'!$B$10,Paramètres!$A$1:$I$89,5,0)</f>
        <v>6.7984728957526396E-14</v>
      </c>
      <c r="AK46" s="14">
        <f t="shared" si="35"/>
        <v>1.0682447123141398E-12</v>
      </c>
      <c r="AL46" s="22">
        <f t="shared" si="4"/>
        <v>1.978932943548152E-12</v>
      </c>
      <c r="AM46" s="62">
        <f t="shared" si="5"/>
        <v>293.3333333333353</v>
      </c>
      <c r="AN46" s="62">
        <f ca="1">AVERAGE(OFFSET($AM$3,0,0,'Données projet'!$E$10+1,1))-AVERAGE(OFFSET($H$3,0,0,'Données projet'!$E$10+1,1))</f>
        <v>187.13674266165236</v>
      </c>
      <c r="AO46" s="62">
        <f t="shared" si="36"/>
        <v>439.28159165815276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41.217565170081379</v>
      </c>
      <c r="AV46" s="23">
        <f>EXP(-LN(2)/25)*AV45+(1-EXP(-LN(2)/25))/(LN(2)/25)*Calculateur!AQ46*Calculateur!AS46*VLOOKUP('Données projet'!$B$10,Paramètres!$A$1:$I$89,3,0)*0.475*44/12</f>
        <v>30.648665485166209</v>
      </c>
      <c r="AW46" s="23">
        <f>EXP(-LN(2)/2)*AW45+(1-EXP(-LN(2)/2))/(LN(2)/2)*AQ46*AT46*VLOOKUP('Données projet'!$B$10,Paramètres!$A$1:$I$89,3,0)*0.475*44/12</f>
        <v>0.48135614419465095</v>
      </c>
      <c r="AX46" s="23">
        <f t="shared" si="6"/>
        <v>72.34758679944224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87.539629191511665</v>
      </c>
      <c r="T47" s="62">
        <f t="shared" si="34"/>
        <v>411.51686965858363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51.23045213607093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1.2265011404037737E-2</v>
      </c>
      <c r="AC47" s="24">
        <f t="shared" si="3"/>
        <v>51.24271714747497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1.1368683772161603E-13</v>
      </c>
      <c r="AJ47" s="14">
        <f>AI47*VLOOKUP('Données projet'!$B$10,Paramètres!$A$1:$I$89,3,0)*VLOOKUP('Données projet'!$B$10,Paramètres!$A$1:$I$89,5,0)</f>
        <v>6.7984728957526396E-14</v>
      </c>
      <c r="AK47" s="14">
        <f t="shared" si="35"/>
        <v>1.0682447123141398E-12</v>
      </c>
      <c r="AL47" s="22">
        <f t="shared" si="4"/>
        <v>1.978932943548152E-12</v>
      </c>
      <c r="AM47" s="62">
        <f t="shared" si="5"/>
        <v>293.3333333333353</v>
      </c>
      <c r="AN47" s="62">
        <f ca="1">AVERAGE(OFFSET($AM$3,0,0,'Données projet'!$E$10+1,1))-AVERAGE(OFFSET($H$3,0,0,'Données projet'!$E$10+1,1))</f>
        <v>187.13674266165236</v>
      </c>
      <c r="AO47" s="62">
        <f t="shared" si="36"/>
        <v>439.28159165815276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40.409313857328442</v>
      </c>
      <c r="AV47" s="23">
        <f>EXP(-LN(2)/25)*AV46+(1-EXP(-LN(2)/25))/(LN(2)/25)*Calculateur!AQ47*Calculateur!AS47*VLOOKUP('Données projet'!$B$10,Paramètres!$A$1:$I$89,3,0)*0.475*44/12</f>
        <v>29.81057611573107</v>
      </c>
      <c r="AW47" s="23">
        <f>EXP(-LN(2)/2)*AW46+(1-EXP(-LN(2)/2))/(LN(2)/2)*AQ47*AT47*VLOOKUP('Données projet'!$B$10,Paramètres!$A$1:$I$89,3,0)*0.475*44/12</f>
        <v>0.34037019372584731</v>
      </c>
      <c r="AX47" s="23">
        <f t="shared" si="6"/>
        <v>70.560260166785355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87.539629191511665</v>
      </c>
      <c r="T48" s="62">
        <f t="shared" si="34"/>
        <v>411.51686965858363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50.225854217172952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8.6726727351254217E-3</v>
      </c>
      <c r="AC48" s="24">
        <f t="shared" si="3"/>
        <v>50.234526889908075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1.1368683772161603E-13</v>
      </c>
      <c r="AJ48" s="14">
        <f>AI48*VLOOKUP('Données projet'!$B$10,Paramètres!$A$1:$I$89,3,0)*VLOOKUP('Données projet'!$B$10,Paramètres!$A$1:$I$89,5,0)</f>
        <v>6.7984728957526396E-14</v>
      </c>
      <c r="AK48" s="14">
        <f t="shared" si="35"/>
        <v>1.0682447123141398E-12</v>
      </c>
      <c r="AL48" s="22">
        <f t="shared" si="4"/>
        <v>1.978932943548152E-12</v>
      </c>
      <c r="AM48" s="62">
        <f t="shared" si="5"/>
        <v>293.3333333333353</v>
      </c>
      <c r="AN48" s="62">
        <f ca="1">AVERAGE(OFFSET($AM$3,0,0,'Données projet'!$E$10+1,1))-AVERAGE(OFFSET($H$3,0,0,'Données projet'!$E$10+1,1))</f>
        <v>187.13674266165236</v>
      </c>
      <c r="AO48" s="62">
        <f t="shared" si="36"/>
        <v>439.28159165815276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39.616911859833969</v>
      </c>
      <c r="AV48" s="23">
        <f>EXP(-LN(2)/25)*AV47+(1-EXP(-LN(2)/25))/(LN(2)/25)*Calculateur!AQ48*Calculateur!AS48*VLOOKUP('Données projet'!$B$10,Paramètres!$A$1:$I$89,3,0)*0.475*44/12</f>
        <v>28.99540434417634</v>
      </c>
      <c r="AW48" s="23">
        <f>EXP(-LN(2)/2)*AW47+(1-EXP(-LN(2)/2))/(LN(2)/2)*AQ48*AT48*VLOOKUP('Données projet'!$B$10,Paramètres!$A$1:$I$89,3,0)*0.475*44/12</f>
        <v>0.24067807209732553</v>
      </c>
      <c r="AX48" s="23">
        <f t="shared" si="6"/>
        <v>68.852994276107637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87.539629191511665</v>
      </c>
      <c r="T49" s="62">
        <f t="shared" si="34"/>
        <v>411.51686965858363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49.240955850720333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6.1325057020188683E-3</v>
      </c>
      <c r="AC49" s="24">
        <f t="shared" si="3"/>
        <v>49.247088356422353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1.1368683772161603E-13</v>
      </c>
      <c r="AJ49" s="14">
        <f>AI49*VLOOKUP('Données projet'!$B$10,Paramètres!$A$1:$I$89,3,0)*VLOOKUP('Données projet'!$B$10,Paramètres!$A$1:$I$89,5,0)</f>
        <v>6.7984728957526396E-14</v>
      </c>
      <c r="AK49" s="14">
        <f t="shared" si="35"/>
        <v>1.0682447123141398E-12</v>
      </c>
      <c r="AL49" s="22">
        <f t="shared" si="4"/>
        <v>1.978932943548152E-12</v>
      </c>
      <c r="AM49" s="62">
        <f t="shared" si="5"/>
        <v>293.3333333333353</v>
      </c>
      <c r="AN49" s="62">
        <f ca="1">AVERAGE(OFFSET($AM$3,0,0,'Données projet'!$E$10+1,1))-AVERAGE(OFFSET($H$3,0,0,'Données projet'!$E$10+1,1))</f>
        <v>187.13674266165236</v>
      </c>
      <c r="AO49" s="62">
        <f t="shared" si="36"/>
        <v>439.28159165815276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38.840048382192869</v>
      </c>
      <c r="AV49" s="23">
        <f>EXP(-LN(2)/25)*AV48+(1-EXP(-LN(2)/25))/(LN(2)/25)*Calculateur!AQ49*Calculateur!AS49*VLOOKUP('Données projet'!$B$10,Paramètres!$A$1:$I$89,3,0)*0.475*44/12</f>
        <v>28.202523487582791</v>
      </c>
      <c r="AW49" s="23">
        <f>EXP(-LN(2)/2)*AW48+(1-EXP(-LN(2)/2))/(LN(2)/2)*AQ49*AT49*VLOOKUP('Données projet'!$B$10,Paramètres!$A$1:$I$89,3,0)*0.475*44/12</f>
        <v>0.17018509686292368</v>
      </c>
      <c r="AX49" s="23">
        <f t="shared" si="6"/>
        <v>67.21275696663858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87.539629191511665</v>
      </c>
      <c r="T50" s="62">
        <f t="shared" si="34"/>
        <v>411.51686965858363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48.27537074050516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4.3363363675627108E-3</v>
      </c>
      <c r="AC50" s="24">
        <f t="shared" si="3"/>
        <v>48.279707076872725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1.1368683772161603E-13</v>
      </c>
      <c r="AJ50" s="14">
        <f>AI50*VLOOKUP('Données projet'!$B$10,Paramètres!$A$1:$I$89,3,0)*VLOOKUP('Données projet'!$B$10,Paramètres!$A$1:$I$89,5,0)</f>
        <v>6.7984728957526396E-14</v>
      </c>
      <c r="AK50" s="14">
        <f t="shared" si="35"/>
        <v>1.0682447123141398E-12</v>
      </c>
      <c r="AL50" s="22">
        <f t="shared" si="4"/>
        <v>1.978932943548152E-12</v>
      </c>
      <c r="AM50" s="62">
        <f t="shared" si="5"/>
        <v>293.3333333333353</v>
      </c>
      <c r="AN50" s="62">
        <f ca="1">AVERAGE(OFFSET($AM$3,0,0,'Données projet'!$E$10+1,1))-AVERAGE(OFFSET($H$3,0,0,'Données projet'!$E$10+1,1))</f>
        <v>187.13674266165236</v>
      </c>
      <c r="AO50" s="62">
        <f t="shared" si="36"/>
        <v>439.28159165815276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38.078418723508378</v>
      </c>
      <c r="AV50" s="23">
        <f>EXP(-LN(2)/25)*AV49+(1-EXP(-LN(2)/25))/(LN(2)/25)*Calculateur!AQ50*Calculateur!AS50*VLOOKUP('Données projet'!$B$10,Paramètres!$A$1:$I$89,3,0)*0.475*44/12</f>
        <v>27.431323999708589</v>
      </c>
      <c r="AW50" s="23">
        <f>EXP(-LN(2)/2)*AW49+(1-EXP(-LN(2)/2))/(LN(2)/2)*AQ50*AT50*VLOOKUP('Données projet'!$B$10,Paramètres!$A$1:$I$89,3,0)*0.475*44/12</f>
        <v>0.12033903604866278</v>
      </c>
      <c r="AX50" s="23">
        <f t="shared" si="6"/>
        <v>65.630081759265622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87.539629191511665</v>
      </c>
      <c r="T51" s="62">
        <f t="shared" si="34"/>
        <v>411.51686965858363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47.32872016535255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3.0662528510094341E-3</v>
      </c>
      <c r="AC51" s="24">
        <f t="shared" si="3"/>
        <v>47.331786418203556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1.1368683772161603E-13</v>
      </c>
      <c r="AJ51" s="14">
        <f>AI51*VLOOKUP('Données projet'!$B$10,Paramètres!$A$1:$I$89,3,0)*VLOOKUP('Données projet'!$B$10,Paramètres!$A$1:$I$89,5,0)</f>
        <v>6.7984728957526396E-14</v>
      </c>
      <c r="AK51" s="14">
        <f t="shared" si="35"/>
        <v>1.0682447123141398E-12</v>
      </c>
      <c r="AL51" s="22">
        <f t="shared" si="4"/>
        <v>1.978932943548152E-12</v>
      </c>
      <c r="AM51" s="62">
        <f t="shared" si="5"/>
        <v>293.3333333333353</v>
      </c>
      <c r="AN51" s="62">
        <f ca="1">AVERAGE(OFFSET($AM$3,0,0,'Données projet'!$E$10+1,1))-AVERAGE(OFFSET($H$3,0,0,'Données projet'!$E$10+1,1))</f>
        <v>187.13674266165236</v>
      </c>
      <c r="AO51" s="62">
        <f t="shared" si="36"/>
        <v>439.28159165815276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37.331724157882469</v>
      </c>
      <c r="AV51" s="23">
        <f>EXP(-LN(2)/25)*AV50+(1-EXP(-LN(2)/25))/(LN(2)/25)*Calculateur!AQ51*Calculateur!AS51*VLOOKUP('Données projet'!$B$10,Paramètres!$A$1:$I$89,3,0)*0.475*44/12</f>
        <v>26.681213002385924</v>
      </c>
      <c r="AW51" s="23">
        <f>EXP(-LN(2)/2)*AW50+(1-EXP(-LN(2)/2))/(LN(2)/2)*AQ51*AT51*VLOOKUP('Données projet'!$B$10,Paramètres!$A$1:$I$89,3,0)*0.475*44/12</f>
        <v>8.5092548431461856E-2</v>
      </c>
      <c r="AX51" s="23">
        <f t="shared" si="6"/>
        <v>64.098029708699855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87.539629191511665</v>
      </c>
      <c r="T52" s="62">
        <f t="shared" si="34"/>
        <v>411.51686965858363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46.400632830578843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2.1681681837813554E-3</v>
      </c>
      <c r="AC52" s="24">
        <f t="shared" si="3"/>
        <v>46.402800998762622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1.1368683772161603E-13</v>
      </c>
      <c r="AJ52" s="14">
        <f>AI52*VLOOKUP('Données projet'!$B$10,Paramètres!$A$1:$I$89,3,0)*VLOOKUP('Données projet'!$B$10,Paramètres!$A$1:$I$89,5,0)</f>
        <v>6.7984728957526396E-14</v>
      </c>
      <c r="AK52" s="14">
        <f t="shared" si="35"/>
        <v>1.0682447123141398E-12</v>
      </c>
      <c r="AL52" s="22">
        <f t="shared" si="4"/>
        <v>1.978932943548152E-12</v>
      </c>
      <c r="AM52" s="62">
        <f t="shared" si="5"/>
        <v>293.3333333333353</v>
      </c>
      <c r="AN52" s="62">
        <f ca="1">AVERAGE(OFFSET($AM$3,0,0,'Données projet'!$E$10+1,1))-AVERAGE(OFFSET($H$3,0,0,'Données projet'!$E$10+1,1))</f>
        <v>187.13674266165236</v>
      </c>
      <c r="AO52" s="62">
        <f t="shared" si="36"/>
        <v>439.28159165815276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36.599671817249771</v>
      </c>
      <c r="AV52" s="23">
        <f>EXP(-LN(2)/25)*AV51+(1-EXP(-LN(2)/25))/(LN(2)/25)*Calculateur!AQ52*Calculateur!AS52*VLOOKUP('Données projet'!$B$10,Paramètres!$A$1:$I$89,3,0)*0.475*44/12</f>
        <v>25.95161382973167</v>
      </c>
      <c r="AW52" s="23">
        <f>EXP(-LN(2)/2)*AW51+(1-EXP(-LN(2)/2))/(LN(2)/2)*AQ52*AT52*VLOOKUP('Données projet'!$B$10,Paramètres!$A$1:$I$89,3,0)*0.475*44/12</f>
        <v>6.0169518024331403E-2</v>
      </c>
      <c r="AX52" s="23">
        <f t="shared" si="6"/>
        <v>62.611455165005772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87.539629191511665</v>
      </c>
      <c r="T53" s="62">
        <f t="shared" si="34"/>
        <v>411.51686965858363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45.49074472236267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1.5331264255047171E-3</v>
      </c>
      <c r="AC53" s="24">
        <f t="shared" si="3"/>
        <v>45.492277848788177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1.1368683772161603E-13</v>
      </c>
      <c r="AJ53" s="14">
        <f>AI53*VLOOKUP('Données projet'!$B$10,Paramètres!$A$1:$I$89,3,0)*VLOOKUP('Données projet'!$B$10,Paramètres!$A$1:$I$89,5,0)</f>
        <v>6.7984728957526396E-14</v>
      </c>
      <c r="AK53" s="14">
        <f t="shared" si="35"/>
        <v>1.0682447123141398E-12</v>
      </c>
      <c r="AL53" s="22">
        <f t="shared" si="4"/>
        <v>1.978932943548152E-12</v>
      </c>
      <c r="AM53" s="62">
        <f t="shared" si="5"/>
        <v>293.3333333333353</v>
      </c>
      <c r="AN53" s="62">
        <f ca="1">AVERAGE(OFFSET($AM$3,0,0,'Données projet'!$E$10+1,1))-AVERAGE(OFFSET($H$3,0,0,'Données projet'!$E$10+1,1))</f>
        <v>187.13674266165236</v>
      </c>
      <c r="AO53" s="62">
        <f t="shared" si="36"/>
        <v>439.28159165815276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35.881974576509037</v>
      </c>
      <c r="AV53" s="23">
        <f>EXP(-LN(2)/25)*AV52+(1-EXP(-LN(2)/25))/(LN(2)/25)*Calculateur!AQ53*Calculateur!AS53*VLOOKUP('Données projet'!$B$10,Paramètres!$A$1:$I$89,3,0)*0.475*44/12</f>
        <v>25.2419655848216</v>
      </c>
      <c r="AW53" s="23">
        <f>EXP(-LN(2)/2)*AW52+(1-EXP(-LN(2)/2))/(LN(2)/2)*AQ53*AT53*VLOOKUP('Données projet'!$B$10,Paramètres!$A$1:$I$89,3,0)*0.475*44/12</f>
        <v>4.2546274215730935E-2</v>
      </c>
      <c r="AX53" s="23">
        <f t="shared" si="6"/>
        <v>61.166486435546368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87.539629191511665</v>
      </c>
      <c r="T54" s="62">
        <f t="shared" si="34"/>
        <v>411.51686965858363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44.598698964971668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1.0840840918906777E-3</v>
      </c>
      <c r="AC54" s="24">
        <f t="shared" si="3"/>
        <v>44.599783049063561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1.1368683772161603E-13</v>
      </c>
      <c r="AJ54" s="14">
        <f>AI54*VLOOKUP('Données projet'!$B$10,Paramètres!$A$1:$I$89,3,0)*VLOOKUP('Données projet'!$B$10,Paramètres!$A$1:$I$89,5,0)</f>
        <v>6.7984728957526396E-14</v>
      </c>
      <c r="AK54" s="14">
        <f t="shared" si="35"/>
        <v>1.0682447123141398E-12</v>
      </c>
      <c r="AL54" s="22">
        <f t="shared" si="4"/>
        <v>1.978932943548152E-12</v>
      </c>
      <c r="AM54" s="62">
        <f t="shared" si="5"/>
        <v>293.3333333333353</v>
      </c>
      <c r="AN54" s="62">
        <f ca="1">AVERAGE(OFFSET($AM$3,0,0,'Données projet'!$E$10+1,1))-AVERAGE(OFFSET($H$3,0,0,'Données projet'!$E$10+1,1))</f>
        <v>187.13674266165236</v>
      </c>
      <c r="AO54" s="62">
        <f t="shared" si="36"/>
        <v>439.28159165815276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35.178350940907137</v>
      </c>
      <c r="AV54" s="23">
        <f>EXP(-LN(2)/25)*AV53+(1-EXP(-LN(2)/25))/(LN(2)/25)*Calculateur!AQ54*Calculateur!AS54*VLOOKUP('Données projet'!$B$10,Paramètres!$A$1:$I$89,3,0)*0.475*44/12</f>
        <v>24.551722708487375</v>
      </c>
      <c r="AW54" s="23">
        <f>EXP(-LN(2)/2)*AW53+(1-EXP(-LN(2)/2))/(LN(2)/2)*AQ54*AT54*VLOOKUP('Données projet'!$B$10,Paramètres!$A$1:$I$89,3,0)*0.475*44/12</f>
        <v>3.0084759012165705E-2</v>
      </c>
      <c r="AX54" s="23">
        <f t="shared" si="6"/>
        <v>59.760158408406681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87.539629191511665</v>
      </c>
      <c r="T55" s="62">
        <f t="shared" si="34"/>
        <v>411.51686965858363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43.724145680788915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7.6656321275235854E-4</v>
      </c>
      <c r="AC55" s="24">
        <f t="shared" si="3"/>
        <v>43.724912244001665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1.1368683772161603E-13</v>
      </c>
      <c r="AJ55" s="14">
        <f>AI55*VLOOKUP('Données projet'!$B$10,Paramètres!$A$1:$I$89,3,0)*VLOOKUP('Données projet'!$B$10,Paramètres!$A$1:$I$89,5,0)</f>
        <v>6.7984728957526396E-14</v>
      </c>
      <c r="AK55" s="14">
        <f t="shared" si="35"/>
        <v>1.0682447123141398E-12</v>
      </c>
      <c r="AL55" s="22">
        <f t="shared" si="4"/>
        <v>1.978932943548152E-12</v>
      </c>
      <c r="AM55" s="62">
        <f t="shared" si="5"/>
        <v>293.3333333333353</v>
      </c>
      <c r="AN55" s="62">
        <f ca="1">AVERAGE(OFFSET($AM$3,0,0,'Données projet'!$E$10+1,1))-AVERAGE(OFFSET($H$3,0,0,'Données projet'!$E$10+1,1))</f>
        <v>187.13674266165236</v>
      </c>
      <c r="AO55" s="62">
        <f t="shared" si="36"/>
        <v>439.28159165815276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34.488524935631354</v>
      </c>
      <c r="AV55" s="23">
        <f>EXP(-LN(2)/25)*AV54+(1-EXP(-LN(2)/25))/(LN(2)/25)*Calculateur!AQ55*Calculateur!AS55*VLOOKUP('Données projet'!$B$10,Paramètres!$A$1:$I$89,3,0)*0.475*44/12</f>
        <v>23.880354559904806</v>
      </c>
      <c r="AW55" s="23">
        <f>EXP(-LN(2)/2)*AW54+(1-EXP(-LN(2)/2))/(LN(2)/2)*AQ55*AT55*VLOOKUP('Données projet'!$B$10,Paramètres!$A$1:$I$89,3,0)*0.475*44/12</f>
        <v>2.1273137107865471E-2</v>
      </c>
      <c r="AX55" s="23">
        <f t="shared" si="6"/>
        <v>58.390152632644032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87.539629191511665</v>
      </c>
      <c r="T56" s="62">
        <f t="shared" si="34"/>
        <v>411.51686965858363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42.866741853084157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5.4204204594533885E-4</v>
      </c>
      <c r="AC56" s="24">
        <f t="shared" si="3"/>
        <v>42.8672838951301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1.1368683772161603E-13</v>
      </c>
      <c r="AJ56" s="14">
        <f>AI56*VLOOKUP('Données projet'!$B$10,Paramètres!$A$1:$I$89,3,0)*VLOOKUP('Données projet'!$B$10,Paramètres!$A$1:$I$89,5,0)</f>
        <v>6.7984728957526396E-14</v>
      </c>
      <c r="AK56" s="14">
        <f t="shared" si="35"/>
        <v>1.0682447123141398E-12</v>
      </c>
      <c r="AL56" s="22">
        <f t="shared" si="4"/>
        <v>1.978932943548152E-12</v>
      </c>
      <c r="AM56" s="62">
        <f t="shared" si="5"/>
        <v>293.3333333333353</v>
      </c>
      <c r="AN56" s="62">
        <f ca="1">AVERAGE(OFFSET($AM$3,0,0,'Données projet'!$E$10+1,1))-AVERAGE(OFFSET($H$3,0,0,'Données projet'!$E$10+1,1))</f>
        <v>187.13674266165236</v>
      </c>
      <c r="AO56" s="62">
        <f t="shared" si="36"/>
        <v>439.28159165815276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33.812225997566706</v>
      </c>
      <c r="AV56" s="23">
        <f>EXP(-LN(2)/25)*AV55+(1-EXP(-LN(2)/25))/(LN(2)/25)*Calculateur!AQ56*Calculateur!AS56*VLOOKUP('Données projet'!$B$10,Paramètres!$A$1:$I$89,3,0)*0.475*44/12</f>
        <v>23.227345008650943</v>
      </c>
      <c r="AW56" s="23">
        <f>EXP(-LN(2)/2)*AW55+(1-EXP(-LN(2)/2))/(LN(2)/2)*AQ56*AT56*VLOOKUP('Données projet'!$B$10,Paramètres!$A$1:$I$89,3,0)*0.475*44/12</f>
        <v>1.5042379506082854E-2</v>
      </c>
      <c r="AX56" s="23">
        <f t="shared" si="6"/>
        <v>57.054613385723734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87.539629191511665</v>
      </c>
      <c r="T57" s="62">
        <f t="shared" si="34"/>
        <v>411.51686965858363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42.026151191475989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3.8328160637617927E-4</v>
      </c>
      <c r="AC57" s="24">
        <f t="shared" si="3"/>
        <v>42.026534473082364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1.1368683772161603E-13</v>
      </c>
      <c r="AJ57" s="14">
        <f>AI57*VLOOKUP('Données projet'!$B$10,Paramètres!$A$1:$I$89,3,0)*VLOOKUP('Données projet'!$B$10,Paramètres!$A$1:$I$89,5,0)</f>
        <v>6.7984728957526396E-14</v>
      </c>
      <c r="AK57" s="14">
        <f t="shared" si="35"/>
        <v>1.0682447123141398E-12</v>
      </c>
      <c r="AL57" s="22">
        <f t="shared" si="4"/>
        <v>1.978932943548152E-12</v>
      </c>
      <c r="AM57" s="62">
        <f t="shared" si="5"/>
        <v>293.3333333333353</v>
      </c>
      <c r="AN57" s="62">
        <f ca="1">AVERAGE(OFFSET($AM$3,0,0,'Données projet'!$E$10+1,1))-AVERAGE(OFFSET($H$3,0,0,'Données projet'!$E$10+1,1))</f>
        <v>187.13674266165236</v>
      </c>
      <c r="AO57" s="62">
        <f t="shared" si="36"/>
        <v>439.28159165815276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33.149188869175887</v>
      </c>
      <c r="AV57" s="23">
        <f>EXP(-LN(2)/25)*AV56+(1-EXP(-LN(2)/25))/(LN(2)/25)*Calculateur!AQ57*Calculateur!AS57*VLOOKUP('Données projet'!$B$10,Paramètres!$A$1:$I$89,3,0)*0.475*44/12</f>
        <v>22.592192037916394</v>
      </c>
      <c r="AW57" s="23">
        <f>EXP(-LN(2)/2)*AW56+(1-EXP(-LN(2)/2))/(LN(2)/2)*AQ57*AT57*VLOOKUP('Données projet'!$B$10,Paramètres!$A$1:$I$89,3,0)*0.475*44/12</f>
        <v>1.0636568553932737E-2</v>
      </c>
      <c r="AX57" s="23">
        <f t="shared" si="6"/>
        <v>55.752017475646213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87.539629191511665</v>
      </c>
      <c r="T58" s="62">
        <f t="shared" si="34"/>
        <v>411.51686965858363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41.202044000032281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2.7102102297266943E-4</v>
      </c>
      <c r="AC58" s="24">
        <f t="shared" si="3"/>
        <v>41.202315021055256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1.1368683772161603E-13</v>
      </c>
      <c r="AJ58" s="14">
        <f>AI58*VLOOKUP('Données projet'!$B$10,Paramètres!$A$1:$I$89,3,0)*VLOOKUP('Données projet'!$B$10,Paramètres!$A$1:$I$89,5,0)</f>
        <v>6.7984728957526396E-14</v>
      </c>
      <c r="AK58" s="14">
        <f t="shared" si="35"/>
        <v>1.0682447123141398E-12</v>
      </c>
      <c r="AL58" s="22">
        <f t="shared" si="4"/>
        <v>1.978932943548152E-12</v>
      </c>
      <c r="AM58" s="62">
        <f t="shared" si="5"/>
        <v>293.3333333333353</v>
      </c>
      <c r="AN58" s="62">
        <f ca="1">AVERAGE(OFFSET($AM$3,0,0,'Données projet'!$E$10+1,1))-AVERAGE(OFFSET($H$3,0,0,'Données projet'!$E$10+1,1))</f>
        <v>187.13674266165236</v>
      </c>
      <c r="AO58" s="62">
        <f t="shared" si="36"/>
        <v>439.28159165815276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32.499153494460096</v>
      </c>
      <c r="AV58" s="23">
        <f>EXP(-LN(2)/25)*AV57+(1-EXP(-LN(2)/25))/(LN(2)/25)*Calculateur!AQ58*Calculateur!AS58*VLOOKUP('Données projet'!$B$10,Paramètres!$A$1:$I$89,3,0)*0.475*44/12</f>
        <v>21.974407358567827</v>
      </c>
      <c r="AW58" s="23">
        <f>EXP(-LN(2)/2)*AW57+(1-EXP(-LN(2)/2))/(LN(2)/2)*AQ58*AT58*VLOOKUP('Données projet'!$B$10,Paramètres!$A$1:$I$89,3,0)*0.475*44/12</f>
        <v>7.5211897530414289E-3</v>
      </c>
      <c r="AX58" s="23">
        <f t="shared" si="6"/>
        <v>54.481082042780962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87.539629191511665</v>
      </c>
      <c r="T59" s="62">
        <f t="shared" si="34"/>
        <v>411.51686965858363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40.394097047957032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1.9164080318808963E-4</v>
      </c>
      <c r="AC59" s="24">
        <f t="shared" si="3"/>
        <v>40.39428868876022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1.1368683772161603E-13</v>
      </c>
      <c r="AJ59" s="14">
        <f>AI59*VLOOKUP('Données projet'!$B$10,Paramètres!$A$1:$I$89,3,0)*VLOOKUP('Données projet'!$B$10,Paramètres!$A$1:$I$89,5,0)</f>
        <v>6.7984728957526396E-14</v>
      </c>
      <c r="AK59" s="14">
        <f t="shared" si="35"/>
        <v>1.0682447123141398E-12</v>
      </c>
      <c r="AL59" s="22">
        <f t="shared" si="4"/>
        <v>1.978932943548152E-12</v>
      </c>
      <c r="AM59" s="62">
        <f t="shared" si="5"/>
        <v>293.3333333333353</v>
      </c>
      <c r="AN59" s="62">
        <f ca="1">AVERAGE(OFFSET($AM$3,0,0,'Données projet'!$E$10+1,1))-AVERAGE(OFFSET($H$3,0,0,'Données projet'!$E$10+1,1))</f>
        <v>187.13674266165236</v>
      </c>
      <c r="AO59" s="62">
        <f t="shared" si="36"/>
        <v>439.28159165815276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31.861864916960052</v>
      </c>
      <c r="AV59" s="23">
        <f>EXP(-LN(2)/25)*AV58+(1-EXP(-LN(2)/25))/(LN(2)/25)*Calculateur!AQ59*Calculateur!AS59*VLOOKUP('Données projet'!$B$10,Paramètres!$A$1:$I$89,3,0)*0.475*44/12</f>
        <v>21.373516033763931</v>
      </c>
      <c r="AW59" s="23">
        <f>EXP(-LN(2)/2)*AW58+(1-EXP(-LN(2)/2))/(LN(2)/2)*AQ59*AT59*VLOOKUP('Données projet'!$B$10,Paramètres!$A$1:$I$89,3,0)*0.475*44/12</f>
        <v>5.3182842769663695E-3</v>
      </c>
      <c r="AX59" s="23">
        <f t="shared" si="6"/>
        <v>53.240699235000946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87.539629191511665</v>
      </c>
      <c r="T60" s="62">
        <f t="shared" si="34"/>
        <v>411.51686965858363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39.601993442812997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1.3551051148633471E-4</v>
      </c>
      <c r="AC60" s="24">
        <f t="shared" si="3"/>
        <v>39.602128953324481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1.1368683772161603E-13</v>
      </c>
      <c r="AJ60" s="14">
        <f>AI60*VLOOKUP('Données projet'!$B$10,Paramètres!$A$1:$I$89,3,0)*VLOOKUP('Données projet'!$B$10,Paramètres!$A$1:$I$89,5,0)</f>
        <v>6.7984728957526396E-14</v>
      </c>
      <c r="AK60" s="14">
        <f t="shared" si="35"/>
        <v>1.0682447123141398E-12</v>
      </c>
      <c r="AL60" s="22">
        <f t="shared" si="4"/>
        <v>1.978932943548152E-12</v>
      </c>
      <c r="AM60" s="62">
        <f t="shared" si="5"/>
        <v>293.3333333333353</v>
      </c>
      <c r="AN60" s="62">
        <f ca="1">AVERAGE(OFFSET($AM$3,0,0,'Données projet'!$E$10+1,1))-AVERAGE(OFFSET($H$3,0,0,'Données projet'!$E$10+1,1))</f>
        <v>187.13674266165236</v>
      </c>
      <c r="AO60" s="62">
        <f t="shared" si="36"/>
        <v>439.28159165815276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31.237073179757132</v>
      </c>
      <c r="AV60" s="23">
        <f>EXP(-LN(2)/25)*AV59+(1-EXP(-LN(2)/25))/(LN(2)/25)*Calculateur!AQ60*Calculateur!AS60*VLOOKUP('Données projet'!$B$10,Paramètres!$A$1:$I$89,3,0)*0.475*44/12</f>
        <v>20.789056113836299</v>
      </c>
      <c r="AW60" s="23">
        <f>EXP(-LN(2)/2)*AW59+(1-EXP(-LN(2)/2))/(LN(2)/2)*AQ60*AT60*VLOOKUP('Données projet'!$B$10,Paramètres!$A$1:$I$89,3,0)*0.475*44/12</f>
        <v>3.7605948765207149E-3</v>
      </c>
      <c r="AX60" s="23">
        <f t="shared" si="6"/>
        <v>52.029889888469945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87.539629191511665</v>
      </c>
      <c r="T61" s="62">
        <f t="shared" si="34"/>
        <v>411.51686965858363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38.825422506230346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9.5820401594044817E-5</v>
      </c>
      <c r="AC61" s="24">
        <f t="shared" si="3"/>
        <v>38.825518326631943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1.1368683772161603E-13</v>
      </c>
      <c r="AJ61" s="14">
        <f>AI61*VLOOKUP('Données projet'!$B$10,Paramètres!$A$1:$I$89,3,0)*VLOOKUP('Données projet'!$B$10,Paramètres!$A$1:$I$89,5,0)</f>
        <v>6.7984728957526396E-14</v>
      </c>
      <c r="AK61" s="14">
        <f t="shared" si="35"/>
        <v>1.0682447123141398E-12</v>
      </c>
      <c r="AL61" s="22">
        <f t="shared" si="4"/>
        <v>1.978932943548152E-12</v>
      </c>
      <c r="AM61" s="62">
        <f t="shared" si="5"/>
        <v>293.3333333333353</v>
      </c>
      <c r="AN61" s="62">
        <f ca="1">AVERAGE(OFFSET($AM$3,0,0,'Données projet'!$E$10+1,1))-AVERAGE(OFFSET($H$3,0,0,'Données projet'!$E$10+1,1))</f>
        <v>187.13674266165236</v>
      </c>
      <c r="AO61" s="62">
        <f t="shared" si="36"/>
        <v>439.28159165815276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30.624533227435432</v>
      </c>
      <c r="AV61" s="23">
        <f>EXP(-LN(2)/25)*AV60+(1-EXP(-LN(2)/25))/(LN(2)/25)*Calculateur!AQ61*Calculateur!AS61*VLOOKUP('Données projet'!$B$10,Paramètres!$A$1:$I$89,3,0)*0.475*44/12</f>
        <v>20.220578281154499</v>
      </c>
      <c r="AW61" s="23">
        <f>EXP(-LN(2)/2)*AW60+(1-EXP(-LN(2)/2))/(LN(2)/2)*AQ61*AT61*VLOOKUP('Données projet'!$B$10,Paramètres!$A$1:$I$89,3,0)*0.475*44/12</f>
        <v>2.6591421384831852E-3</v>
      </c>
      <c r="AX61" s="23">
        <f t="shared" si="6"/>
        <v>50.847770650728414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87.539629191511665</v>
      </c>
      <c r="T62" s="62">
        <f t="shared" si="34"/>
        <v>411.51686965858363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38.064079652052577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6.7755255743167357E-5</v>
      </c>
      <c r="AC62" s="24">
        <f t="shared" si="3"/>
        <v>38.064147407308319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1.1368683772161603E-13</v>
      </c>
      <c r="AJ62" s="14">
        <f>AI62*VLOOKUP('Données projet'!$B$10,Paramètres!$A$1:$I$89,3,0)*VLOOKUP('Données projet'!$B$10,Paramètres!$A$1:$I$89,5,0)</f>
        <v>6.7984728957526396E-14</v>
      </c>
      <c r="AK62" s="14">
        <f t="shared" si="35"/>
        <v>1.0682447123141398E-12</v>
      </c>
      <c r="AL62" s="22">
        <f t="shared" si="4"/>
        <v>1.978932943548152E-12</v>
      </c>
      <c r="AM62" s="62">
        <f t="shared" si="5"/>
        <v>293.3333333333353</v>
      </c>
      <c r="AN62" s="62">
        <f ca="1">AVERAGE(OFFSET($AM$3,0,0,'Données projet'!$E$10+1,1))-AVERAGE(OFFSET($H$3,0,0,'Données projet'!$E$10+1,1))</f>
        <v>187.13674266165236</v>
      </c>
      <c r="AO62" s="62">
        <f t="shared" si="36"/>
        <v>439.28159165815276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30.024004809966282</v>
      </c>
      <c r="AV62" s="23">
        <f>EXP(-LN(2)/25)*AV61+(1-EXP(-LN(2)/25))/(LN(2)/25)*Calculateur!AQ62*Calculateur!AS62*VLOOKUP('Données projet'!$B$10,Paramètres!$A$1:$I$89,3,0)*0.475*44/12</f>
        <v>19.667645504702332</v>
      </c>
      <c r="AW62" s="23">
        <f>EXP(-LN(2)/2)*AW61+(1-EXP(-LN(2)/2))/(LN(2)/2)*AQ62*AT62*VLOOKUP('Données projet'!$B$10,Paramètres!$A$1:$I$89,3,0)*0.475*44/12</f>
        <v>1.8802974382603579E-3</v>
      </c>
      <c r="AX62" s="23">
        <f t="shared" si="6"/>
        <v>49.693530612106876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87.539629191511665</v>
      </c>
      <c r="T63" s="62">
        <f t="shared" si="34"/>
        <v>411.51686965858363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37.317666266871946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4.7910200797022408E-5</v>
      </c>
      <c r="AC63" s="24">
        <f t="shared" si="3"/>
        <v>37.317714177072745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1.1368683772161603E-13</v>
      </c>
      <c r="AJ63" s="14">
        <f>AI63*VLOOKUP('Données projet'!$B$10,Paramètres!$A$1:$I$89,3,0)*VLOOKUP('Données projet'!$B$10,Paramètres!$A$1:$I$89,5,0)</f>
        <v>6.7984728957526396E-14</v>
      </c>
      <c r="AK63" s="14">
        <f t="shared" si="35"/>
        <v>1.0682447123141398E-12</v>
      </c>
      <c r="AL63" s="22">
        <f t="shared" si="4"/>
        <v>1.978932943548152E-12</v>
      </c>
      <c r="AM63" s="62">
        <f t="shared" si="5"/>
        <v>293.3333333333353</v>
      </c>
      <c r="AN63" s="62">
        <f ca="1">AVERAGE(OFFSET($AM$3,0,0,'Données projet'!$E$10+1,1))-AVERAGE(OFFSET($H$3,0,0,'Données projet'!$E$10+1,1))</f>
        <v>187.13674266165236</v>
      </c>
      <c r="AO63" s="62">
        <f t="shared" si="36"/>
        <v>439.28159165815276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29.435252388477537</v>
      </c>
      <c r="AV63" s="23">
        <f>EXP(-LN(2)/25)*AV62+(1-EXP(-LN(2)/25))/(LN(2)/25)*Calculateur!AQ63*Calculateur!AS63*VLOOKUP('Données projet'!$B$10,Paramètres!$A$1:$I$89,3,0)*0.475*44/12</f>
        <v>19.129832704099719</v>
      </c>
      <c r="AW63" s="23">
        <f>EXP(-LN(2)/2)*AW62+(1-EXP(-LN(2)/2))/(LN(2)/2)*AQ63*AT63*VLOOKUP('Données projet'!$B$10,Paramètres!$A$1:$I$89,3,0)*0.475*44/12</f>
        <v>1.3295710692415928E-3</v>
      </c>
      <c r="AX63" s="23">
        <f t="shared" si="6"/>
        <v>48.566414663646498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87.539629191511665</v>
      </c>
      <c r="T64" s="62">
        <f t="shared" si="34"/>
        <v>411.51686965858363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36.585889592907499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3.3877627871583678E-5</v>
      </c>
      <c r="AC64" s="24">
        <f t="shared" si="3"/>
        <v>36.58592347053537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1.1368683772161603E-13</v>
      </c>
      <c r="AJ64" s="14">
        <f>AI64*VLOOKUP('Données projet'!$B$10,Paramètres!$A$1:$I$89,3,0)*VLOOKUP('Données projet'!$B$10,Paramètres!$A$1:$I$89,5,0)</f>
        <v>6.7984728957526396E-14</v>
      </c>
      <c r="AK64" s="14">
        <f t="shared" si="35"/>
        <v>1.0682447123141398E-12</v>
      </c>
      <c r="AL64" s="22">
        <f t="shared" si="4"/>
        <v>1.978932943548152E-12</v>
      </c>
      <c r="AM64" s="62">
        <f t="shared" si="5"/>
        <v>293.3333333333353</v>
      </c>
      <c r="AN64" s="62">
        <f ca="1">AVERAGE(OFFSET($AM$3,0,0,'Données projet'!$E$10+1,1))-AVERAGE(OFFSET($H$3,0,0,'Données projet'!$E$10+1,1))</f>
        <v>187.13674266165236</v>
      </c>
      <c r="AO64" s="62">
        <f t="shared" si="36"/>
        <v>439.28159165815276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28.858045042870664</v>
      </c>
      <c r="AV64" s="23">
        <f>EXP(-LN(2)/25)*AV63+(1-EXP(-LN(2)/25))/(LN(2)/25)*Calculateur!AQ64*Calculateur!AS64*VLOOKUP('Données projet'!$B$10,Paramètres!$A$1:$I$89,3,0)*0.475*44/12</f>
        <v>18.606726422811931</v>
      </c>
      <c r="AW64" s="23">
        <f>EXP(-LN(2)/2)*AW63+(1-EXP(-LN(2)/2))/(LN(2)/2)*AQ64*AT64*VLOOKUP('Données projet'!$B$10,Paramètres!$A$1:$I$89,3,0)*0.475*44/12</f>
        <v>9.4014871913017904E-4</v>
      </c>
      <c r="AX64" s="23">
        <f t="shared" si="6"/>
        <v>47.465711614401727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87.539629191511665</v>
      </c>
      <c r="T65" s="62">
        <f t="shared" si="34"/>
        <v>411.51686965858363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35.868462613179794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2.3955100398511204E-5</v>
      </c>
      <c r="AC65" s="24">
        <f t="shared" si="3"/>
        <v>35.86848656828019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1.1368683772161603E-13</v>
      </c>
      <c r="AJ65" s="14">
        <f>AI65*VLOOKUP('Données projet'!$B$10,Paramètres!$A$1:$I$89,3,0)*VLOOKUP('Données projet'!$B$10,Paramètres!$A$1:$I$89,5,0)</f>
        <v>6.7984728957526396E-14</v>
      </c>
      <c r="AK65" s="14">
        <f t="shared" si="35"/>
        <v>1.0682447123141398E-12</v>
      </c>
      <c r="AL65" s="22">
        <f t="shared" si="4"/>
        <v>1.978932943548152E-12</v>
      </c>
      <c r="AM65" s="62">
        <f t="shared" si="5"/>
        <v>293.3333333333353</v>
      </c>
      <c r="AN65" s="62">
        <f ca="1">AVERAGE(OFFSET($AM$3,0,0,'Données projet'!$E$10+1,1))-AVERAGE(OFFSET($H$3,0,0,'Données projet'!$E$10+1,1))</f>
        <v>187.13674266165236</v>
      </c>
      <c r="AO65" s="62">
        <f t="shared" si="36"/>
        <v>439.28159165815276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28.292156381249427</v>
      </c>
      <c r="AV65" s="23">
        <f>EXP(-LN(2)/25)*AV64+(1-EXP(-LN(2)/25))/(LN(2)/25)*Calculateur!AQ65*Calculateur!AS65*VLOOKUP('Données projet'!$B$10,Paramètres!$A$1:$I$89,3,0)*0.475*44/12</f>
        <v>18.097924510294924</v>
      </c>
      <c r="AW65" s="23">
        <f>EXP(-LN(2)/2)*AW64+(1-EXP(-LN(2)/2))/(LN(2)/2)*AQ65*AT65*VLOOKUP('Données projet'!$B$10,Paramètres!$A$1:$I$89,3,0)*0.475*44/12</f>
        <v>6.6478553462079651E-4</v>
      </c>
      <c r="AX65" s="23">
        <f t="shared" si="6"/>
        <v>46.390745677078968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87.539629191511665</v>
      </c>
      <c r="T66" s="62">
        <f t="shared" si="34"/>
        <v>411.51686965858363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35.1651039389373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1.6938813935791839E-5</v>
      </c>
      <c r="AC66" s="24">
        <f t="shared" si="3"/>
        <v>35.165120877751235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1.1368683772161603E-13</v>
      </c>
      <c r="AJ66" s="14">
        <f>AI66*VLOOKUP('Données projet'!$B$10,Paramètres!$A$1:$I$89,3,0)*VLOOKUP('Données projet'!$B$10,Paramètres!$A$1:$I$89,5,0)</f>
        <v>6.7984728957526396E-14</v>
      </c>
      <c r="AK66" s="14">
        <f t="shared" si="35"/>
        <v>1.0682447123141398E-12</v>
      </c>
      <c r="AL66" s="22">
        <f t="shared" si="4"/>
        <v>1.978932943548152E-12</v>
      </c>
      <c r="AM66" s="62">
        <f t="shared" si="5"/>
        <v>293.3333333333353</v>
      </c>
      <c r="AN66" s="62">
        <f ca="1">AVERAGE(OFFSET($AM$3,0,0,'Données projet'!$E$10+1,1))-AVERAGE(OFFSET($H$3,0,0,'Données projet'!$E$10+1,1))</f>
        <v>187.13674266165236</v>
      </c>
      <c r="AO66" s="62">
        <f t="shared" si="36"/>
        <v>439.28159165815276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27.737364451124581</v>
      </c>
      <c r="AV66" s="23">
        <f>EXP(-LN(2)/25)*AV65+(1-EXP(-LN(2)/25))/(LN(2)/25)*Calculateur!AQ66*Calculateur!AS66*VLOOKUP('Données projet'!$B$10,Paramètres!$A$1:$I$89,3,0)*0.475*44/12</f>
        <v>17.603035812832424</v>
      </c>
      <c r="AW66" s="23">
        <f>EXP(-LN(2)/2)*AW65+(1-EXP(-LN(2)/2))/(LN(2)/2)*AQ66*AT66*VLOOKUP('Données projet'!$B$10,Paramètres!$A$1:$I$89,3,0)*0.475*44/12</f>
        <v>4.7007435956508963E-4</v>
      </c>
      <c r="AX66" s="23">
        <f t="shared" si="6"/>
        <v>45.34087033831657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87.539629191511665</v>
      </c>
      <c r="T67" s="62">
        <f t="shared" si="34"/>
        <v>411.51686965858363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34.475537699290271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1.1977550199255602E-5</v>
      </c>
      <c r="AC67" s="24">
        <f t="shared" si="3"/>
        <v>34.475549676840473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1.1368683772161603E-13</v>
      </c>
      <c r="AJ67" s="14">
        <f>AI67*VLOOKUP('Données projet'!$B$10,Paramètres!$A$1:$I$89,3,0)*VLOOKUP('Données projet'!$B$10,Paramètres!$A$1:$I$89,5,0)</f>
        <v>6.7984728957526396E-14</v>
      </c>
      <c r="AK67" s="14">
        <f t="shared" si="35"/>
        <v>1.0682447123141398E-12</v>
      </c>
      <c r="AL67" s="22">
        <f t="shared" si="4"/>
        <v>1.978932943548152E-12</v>
      </c>
      <c r="AM67" s="62">
        <f t="shared" si="5"/>
        <v>293.3333333333353</v>
      </c>
      <c r="AN67" s="62">
        <f ca="1">AVERAGE(OFFSET($AM$3,0,0,'Données projet'!$E$10+1,1))-AVERAGE(OFFSET($H$3,0,0,'Données projet'!$E$10+1,1))</f>
        <v>187.13674266165236</v>
      </c>
      <c r="AO67" s="62">
        <f t="shared" si="36"/>
        <v>439.28159165815276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27.193451652359816</v>
      </c>
      <c r="AV67" s="23">
        <f>EXP(-LN(2)/25)*AV66+(1-EXP(-LN(2)/25))/(LN(2)/25)*Calculateur!AQ67*Calculateur!AS67*VLOOKUP('Données projet'!$B$10,Paramètres!$A$1:$I$89,3,0)*0.475*44/12</f>
        <v>17.121679872827102</v>
      </c>
      <c r="AW67" s="23">
        <f>EXP(-LN(2)/2)*AW66+(1-EXP(-LN(2)/2))/(LN(2)/2)*AQ67*AT67*VLOOKUP('Données projet'!$B$10,Paramètres!$A$1:$I$89,3,0)*0.475*44/12</f>
        <v>3.3239276731039831E-4</v>
      </c>
      <c r="AX67" s="23">
        <f t="shared" si="6"/>
        <v>44.315463917954226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87.539629191511665</v>
      </c>
      <c r="T68" s="62">
        <f t="shared" si="34"/>
        <v>411.51686965858363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33.799493433008841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8.4694069678959196E-6</v>
      </c>
      <c r="AC68" s="24">
        <f t="shared" ref="AC68:AC131" si="57">SUM(Z68:AB68)</f>
        <v>33.799501902415813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1.1368683772161603E-13</v>
      </c>
      <c r="AJ68" s="14">
        <f>AI68*VLOOKUP('Données projet'!$B$10,Paramètres!$A$1:$I$89,3,0)*VLOOKUP('Données projet'!$B$10,Paramètres!$A$1:$I$89,5,0)</f>
        <v>6.7984728957526396E-14</v>
      </c>
      <c r="AK68" s="14">
        <f t="shared" si="35"/>
        <v>1.0682447123141398E-12</v>
      </c>
      <c r="AL68" s="22">
        <f t="shared" ref="AL68:AL131" si="58">(AJ68+AK68)*0.475*44/12</f>
        <v>1.978932943548152E-12</v>
      </c>
      <c r="AM68" s="62">
        <f t="shared" ref="AM68:AM131" si="59">AL68+(AD68+AE68)*44/12</f>
        <v>293.3333333333353</v>
      </c>
      <c r="AN68" s="62">
        <f ca="1">AVERAGE(OFFSET($AM$3,0,0,'Données projet'!$E$10+1,1))-AVERAGE(OFFSET($H$3,0,0,'Données projet'!$E$10+1,1))</f>
        <v>187.13674266165236</v>
      </c>
      <c r="AO68" s="62">
        <f t="shared" si="36"/>
        <v>439.28159165815276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26.660204651824781</v>
      </c>
      <c r="AV68" s="23">
        <f>EXP(-LN(2)/25)*AV67+(1-EXP(-LN(2)/25))/(LN(2)/25)*Calculateur!AQ68*Calculateur!AS68*VLOOKUP('Données projet'!$B$10,Paramètres!$A$1:$I$89,3,0)*0.475*44/12</f>
        <v>16.653486636314632</v>
      </c>
      <c r="AW68" s="23">
        <f>EXP(-LN(2)/2)*AW67+(1-EXP(-LN(2)/2))/(LN(2)/2)*AQ68*AT68*VLOOKUP('Données projet'!$B$10,Paramètres!$A$1:$I$89,3,0)*0.475*44/12</f>
        <v>2.3503717978254484E-4</v>
      </c>
      <c r="AX68" s="23">
        <f t="shared" ref="AX68:AX131" si="60">SUM(AU68:AW68)</f>
        <v>43.313926325319194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87.539629191511665</v>
      </c>
      <c r="T69" s="62">
        <f t="shared" ref="T69:T132" si="88">$T$3</f>
        <v>411.51686965858363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33.136705982442905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5.9887750996278011E-6</v>
      </c>
      <c r="AC69" s="24">
        <f t="shared" si="57"/>
        <v>33.136711971218006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1.1368683772161603E-13</v>
      </c>
      <c r="AJ69" s="14">
        <f>AI69*VLOOKUP('Données projet'!$B$10,Paramètres!$A$1:$I$89,3,0)*VLOOKUP('Données projet'!$B$10,Paramètres!$A$1:$I$89,5,0)</f>
        <v>6.7984728957526396E-14</v>
      </c>
      <c r="AK69" s="14">
        <f t="shared" ref="AK69:AK132" si="89">EXP(-1.0587+0.8836*LN(AJ69)+0.284)</f>
        <v>1.0682447123141398E-12</v>
      </c>
      <c r="AL69" s="22">
        <f t="shared" si="58"/>
        <v>1.978932943548152E-12</v>
      </c>
      <c r="AM69" s="62">
        <f t="shared" si="59"/>
        <v>293.3333333333353</v>
      </c>
      <c r="AN69" s="62">
        <f ca="1">AVERAGE(OFFSET($AM$3,0,0,'Données projet'!$E$10+1,1))-AVERAGE(OFFSET($H$3,0,0,'Données projet'!$E$10+1,1))</f>
        <v>187.13674266165236</v>
      </c>
      <c r="AO69" s="62">
        <f t="shared" ref="AO69:AO132" si="90">$AO$3</f>
        <v>439.28159165815276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26.137414299721684</v>
      </c>
      <c r="AV69" s="23">
        <f>EXP(-LN(2)/25)*AV68+(1-EXP(-LN(2)/25))/(LN(2)/25)*Calculateur!AQ69*Calculateur!AS69*VLOOKUP('Données projet'!$B$10,Paramètres!$A$1:$I$89,3,0)*0.475*44/12</f>
        <v>16.198096168475807</v>
      </c>
      <c r="AW69" s="23">
        <f>EXP(-LN(2)/2)*AW68+(1-EXP(-LN(2)/2))/(LN(2)/2)*AQ69*AT69*VLOOKUP('Données projet'!$B$10,Paramètres!$A$1:$I$89,3,0)*0.475*44/12</f>
        <v>1.6619638365519918E-4</v>
      </c>
      <c r="AX69" s="23">
        <f t="shared" si="60"/>
        <v>42.335676664581143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87.539629191511665</v>
      </c>
      <c r="T70" s="62">
        <f t="shared" si="88"/>
        <v>411.51686965858363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32.486915389522139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4.2347034839479598E-6</v>
      </c>
      <c r="AC70" s="24">
        <f t="shared" si="57"/>
        <v>32.486919624225621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1.1368683772161603E-13</v>
      </c>
      <c r="AJ70" s="14">
        <f>AI70*VLOOKUP('Données projet'!$B$10,Paramètres!$A$1:$I$89,3,0)*VLOOKUP('Données projet'!$B$10,Paramètres!$A$1:$I$89,5,0)</f>
        <v>6.7984728957526396E-14</v>
      </c>
      <c r="AK70" s="14">
        <f t="shared" si="89"/>
        <v>1.0682447123141398E-12</v>
      </c>
      <c r="AL70" s="22">
        <f t="shared" si="58"/>
        <v>1.978932943548152E-12</v>
      </c>
      <c r="AM70" s="62">
        <f t="shared" si="59"/>
        <v>293.3333333333353</v>
      </c>
      <c r="AN70" s="62">
        <f ca="1">AVERAGE(OFFSET($AM$3,0,0,'Données projet'!$E$10+1,1))-AVERAGE(OFFSET($H$3,0,0,'Données projet'!$E$10+1,1))</f>
        <v>187.13674266165236</v>
      </c>
      <c r="AO70" s="62">
        <f t="shared" si="90"/>
        <v>439.28159165815276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25.624875547552698</v>
      </c>
      <c r="AV70" s="23">
        <f>EXP(-LN(2)/25)*AV69+(1-EXP(-LN(2)/25))/(LN(2)/25)*Calculateur!AQ70*Calculateur!AS70*VLOOKUP('Données projet'!$B$10,Paramètres!$A$1:$I$89,3,0)*0.475*44/12</f>
        <v>15.75515837692798</v>
      </c>
      <c r="AW70" s="23">
        <f>EXP(-LN(2)/2)*AW69+(1-EXP(-LN(2)/2))/(LN(2)/2)*AQ70*AT70*VLOOKUP('Données projet'!$B$10,Paramètres!$A$1:$I$89,3,0)*0.475*44/12</f>
        <v>1.1751858989127243E-4</v>
      </c>
      <c r="AX70" s="23">
        <f t="shared" si="60"/>
        <v>41.380151443070567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87.539629191511665</v>
      </c>
      <c r="T71" s="62">
        <f t="shared" si="88"/>
        <v>411.51686965858363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31.849866793795421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2.9943875498139005E-6</v>
      </c>
      <c r="AC71" s="24">
        <f t="shared" si="57"/>
        <v>31.849869788182971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1.1368683772161603E-13</v>
      </c>
      <c r="AJ71" s="14">
        <f>AI71*VLOOKUP('Données projet'!$B$10,Paramètres!$A$1:$I$89,3,0)*VLOOKUP('Données projet'!$B$10,Paramètres!$A$1:$I$89,5,0)</f>
        <v>6.7984728957526396E-14</v>
      </c>
      <c r="AK71" s="14">
        <f t="shared" si="89"/>
        <v>1.0682447123141398E-12</v>
      </c>
      <c r="AL71" s="22">
        <f t="shared" si="58"/>
        <v>1.978932943548152E-12</v>
      </c>
      <c r="AM71" s="62">
        <f t="shared" si="59"/>
        <v>293.3333333333353</v>
      </c>
      <c r="AN71" s="62">
        <f ca="1">AVERAGE(OFFSET($AM$3,0,0,'Données projet'!$E$10+1,1))-AVERAGE(OFFSET($H$3,0,0,'Données projet'!$E$10+1,1))</f>
        <v>187.13674266165236</v>
      </c>
      <c r="AO71" s="62">
        <f t="shared" si="90"/>
        <v>439.28159165815276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25.122387367695975</v>
      </c>
      <c r="AV71" s="23">
        <f>EXP(-LN(2)/25)*AV70+(1-EXP(-LN(2)/25))/(LN(2)/25)*Calculateur!AQ71*Calculateur!AS71*VLOOKUP('Données projet'!$B$10,Paramètres!$A$1:$I$89,3,0)*0.475*44/12</f>
        <v>15.324332742583115</v>
      </c>
      <c r="AW71" s="23">
        <f>EXP(-LN(2)/2)*AW70+(1-EXP(-LN(2)/2))/(LN(2)/2)*AQ71*AT71*VLOOKUP('Données projet'!$B$10,Paramètres!$A$1:$I$89,3,0)*0.475*44/12</f>
        <v>8.3098191827599605E-5</v>
      </c>
      <c r="AX71" s="23">
        <f t="shared" si="60"/>
        <v>40.446803208470918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87.539629191511665</v>
      </c>
      <c r="T72" s="62">
        <f t="shared" si="88"/>
        <v>411.51686965858363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31.225310332469629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2.1173517419739799E-6</v>
      </c>
      <c r="AC72" s="24">
        <f t="shared" si="57"/>
        <v>31.22531244982137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1.1368683772161603E-13</v>
      </c>
      <c r="AJ72" s="14">
        <f>AI72*VLOOKUP('Données projet'!$B$10,Paramètres!$A$1:$I$89,3,0)*VLOOKUP('Données projet'!$B$10,Paramètres!$A$1:$I$89,5,0)</f>
        <v>6.7984728957526396E-14</v>
      </c>
      <c r="AK72" s="14">
        <f t="shared" si="89"/>
        <v>1.0682447123141398E-12</v>
      </c>
      <c r="AL72" s="22">
        <f t="shared" si="58"/>
        <v>1.978932943548152E-12</v>
      </c>
      <c r="AM72" s="62">
        <f t="shared" si="59"/>
        <v>293.3333333333353</v>
      </c>
      <c r="AN72" s="62">
        <f ca="1">AVERAGE(OFFSET($AM$3,0,0,'Données projet'!$E$10+1,1))-AVERAGE(OFFSET($H$3,0,0,'Données projet'!$E$10+1,1))</f>
        <v>187.13674266165236</v>
      </c>
      <c r="AO72" s="62">
        <f t="shared" si="90"/>
        <v>439.28159165815276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24.629752674558716</v>
      </c>
      <c r="AV72" s="23">
        <f>EXP(-LN(2)/25)*AV71+(1-EXP(-LN(2)/25))/(LN(2)/25)*Calculateur!AQ72*Calculateur!AS72*VLOOKUP('Données projet'!$B$10,Paramètres!$A$1:$I$89,3,0)*0.475*44/12</f>
        <v>14.905288057865546</v>
      </c>
      <c r="AW72" s="23">
        <f>EXP(-LN(2)/2)*AW71+(1-EXP(-LN(2)/2))/(LN(2)/2)*AQ72*AT72*VLOOKUP('Données projet'!$B$10,Paramètres!$A$1:$I$89,3,0)*0.475*44/12</f>
        <v>5.8759294945636231E-5</v>
      </c>
      <c r="AX72" s="23">
        <f t="shared" si="60"/>
        <v>39.535099491719208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87.539629191511665</v>
      </c>
      <c r="T73" s="62">
        <f t="shared" si="88"/>
        <v>411.51686965858363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30.613001042408609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1.4971937749069503E-6</v>
      </c>
      <c r="AC73" s="24">
        <f t="shared" si="57"/>
        <v>30.613002539602384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1.1368683772161603E-13</v>
      </c>
      <c r="AJ73" s="14">
        <f>AI73*VLOOKUP('Données projet'!$B$10,Paramètres!$A$1:$I$89,3,0)*VLOOKUP('Données projet'!$B$10,Paramètres!$A$1:$I$89,5,0)</f>
        <v>6.7984728957526396E-14</v>
      </c>
      <c r="AK73" s="14">
        <f t="shared" si="89"/>
        <v>1.0682447123141398E-12</v>
      </c>
      <c r="AL73" s="22">
        <f t="shared" si="58"/>
        <v>1.978932943548152E-12</v>
      </c>
      <c r="AM73" s="62">
        <f t="shared" si="59"/>
        <v>293.3333333333353</v>
      </c>
      <c r="AN73" s="62">
        <f ca="1">AVERAGE(OFFSET($AM$3,0,0,'Données projet'!$E$10+1,1))-AVERAGE(OFFSET($H$3,0,0,'Données projet'!$E$10+1,1))</f>
        <v>187.13674266165236</v>
      </c>
      <c r="AO73" s="62">
        <f t="shared" si="90"/>
        <v>439.28159165815276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24.146778247276387</v>
      </c>
      <c r="AV73" s="23">
        <f>EXP(-LN(2)/25)*AV72+(1-EXP(-LN(2)/25))/(LN(2)/25)*Calculateur!AQ73*Calculateur!AS73*VLOOKUP('Données projet'!$B$10,Paramètres!$A$1:$I$89,3,0)*0.475*44/12</f>
        <v>14.49770217208818</v>
      </c>
      <c r="AW73" s="23">
        <f>EXP(-LN(2)/2)*AW72+(1-EXP(-LN(2)/2))/(LN(2)/2)*AQ73*AT73*VLOOKUP('Données projet'!$B$10,Paramètres!$A$1:$I$89,3,0)*0.475*44/12</f>
        <v>4.1549095913799809E-5</v>
      </c>
      <c r="AX73" s="23">
        <f t="shared" si="60"/>
        <v>38.644521968460481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87.539629191511665</v>
      </c>
      <c r="T74" s="62">
        <f t="shared" si="88"/>
        <v>411.51686965858363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30.012698764053898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1.0586758709869899E-6</v>
      </c>
      <c r="AC74" s="24">
        <f t="shared" si="57"/>
        <v>30.012699822729768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1.1368683772161603E-13</v>
      </c>
      <c r="AJ74" s="14">
        <f>AI74*VLOOKUP('Données projet'!$B$10,Paramètres!$A$1:$I$89,3,0)*VLOOKUP('Données projet'!$B$10,Paramètres!$A$1:$I$89,5,0)</f>
        <v>6.7984728957526396E-14</v>
      </c>
      <c r="AK74" s="14">
        <f t="shared" si="89"/>
        <v>1.0682447123141398E-12</v>
      </c>
      <c r="AL74" s="22">
        <f t="shared" si="58"/>
        <v>1.978932943548152E-12</v>
      </c>
      <c r="AM74" s="62">
        <f t="shared" si="59"/>
        <v>293.3333333333353</v>
      </c>
      <c r="AN74" s="62">
        <f ca="1">AVERAGE(OFFSET($AM$3,0,0,'Données projet'!$E$10+1,1))-AVERAGE(OFFSET($H$3,0,0,'Données projet'!$E$10+1,1))</f>
        <v>187.13674266165236</v>
      </c>
      <c r="AO74" s="62">
        <f t="shared" si="90"/>
        <v>439.28159165815276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23.673274653927752</v>
      </c>
      <c r="AV74" s="23">
        <f>EXP(-LN(2)/25)*AV73+(1-EXP(-LN(2)/25))/(LN(2)/25)*Calculateur!AQ74*Calculateur!AS74*VLOOKUP('Données projet'!$B$10,Paramètres!$A$1:$I$89,3,0)*0.475*44/12</f>
        <v>14.101261743791406</v>
      </c>
      <c r="AW74" s="23">
        <f>EXP(-LN(2)/2)*AW73+(1-EXP(-LN(2)/2))/(LN(2)/2)*AQ74*AT74*VLOOKUP('Données projet'!$B$10,Paramètres!$A$1:$I$89,3,0)*0.475*44/12</f>
        <v>2.9379647472818119E-5</v>
      </c>
      <c r="AX74" s="23">
        <f t="shared" si="60"/>
        <v>37.774565777366632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87.539629191511665</v>
      </c>
      <c r="T75" s="62">
        <f t="shared" si="88"/>
        <v>411.51686965858363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29.424168047229486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7.4859688745347513E-7</v>
      </c>
      <c r="AC75" s="24">
        <f t="shared" si="57"/>
        <v>29.424168795826372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1.1368683772161603E-13</v>
      </c>
      <c r="AJ75" s="14">
        <f>AI75*VLOOKUP('Données projet'!$B$10,Paramètres!$A$1:$I$89,3,0)*VLOOKUP('Données projet'!$B$10,Paramètres!$A$1:$I$89,5,0)</f>
        <v>6.7984728957526396E-14</v>
      </c>
      <c r="AK75" s="14">
        <f t="shared" si="89"/>
        <v>1.0682447123141398E-12</v>
      </c>
      <c r="AL75" s="22">
        <f t="shared" si="58"/>
        <v>1.978932943548152E-12</v>
      </c>
      <c r="AM75" s="62">
        <f t="shared" si="59"/>
        <v>293.3333333333353</v>
      </c>
      <c r="AN75" s="62">
        <f ca="1">AVERAGE(OFFSET($AM$3,0,0,'Données projet'!$E$10+1,1))-AVERAGE(OFFSET($H$3,0,0,'Données projet'!$E$10+1,1))</f>
        <v>187.13674266165236</v>
      </c>
      <c r="AO75" s="62">
        <f t="shared" si="90"/>
        <v>439.28159165815276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23.209056177236008</v>
      </c>
      <c r="AV75" s="23">
        <f>EXP(-LN(2)/25)*AV74+(1-EXP(-LN(2)/25))/(LN(2)/25)*Calculateur!AQ75*Calculateur!AS75*VLOOKUP('Données projet'!$B$10,Paramètres!$A$1:$I$89,3,0)*0.475*44/12</f>
        <v>13.715661999854303</v>
      </c>
      <c r="AW75" s="23">
        <f>EXP(-LN(2)/2)*AW74+(1-EXP(-LN(2)/2))/(LN(2)/2)*AQ75*AT75*VLOOKUP('Données projet'!$B$10,Paramètres!$A$1:$I$89,3,0)*0.475*44/12</f>
        <v>2.0774547956899908E-5</v>
      </c>
      <c r="AX75" s="23">
        <f t="shared" si="60"/>
        <v>36.924738951638268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87.539629191511665</v>
      </c>
      <c r="T76" s="62">
        <f t="shared" si="88"/>
        <v>411.51686965858363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28.847178058793709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5.2933793549349497E-7</v>
      </c>
      <c r="AC76" s="24">
        <f t="shared" si="57"/>
        <v>28.847178588131644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1.1368683772161603E-13</v>
      </c>
      <c r="AJ76" s="14">
        <f>AI76*VLOOKUP('Données projet'!$B$10,Paramètres!$A$1:$I$89,3,0)*VLOOKUP('Données projet'!$B$10,Paramètres!$A$1:$I$89,5,0)</f>
        <v>6.7984728957526396E-14</v>
      </c>
      <c r="AK76" s="14">
        <f t="shared" si="89"/>
        <v>1.0682447123141398E-12</v>
      </c>
      <c r="AL76" s="22">
        <f t="shared" si="58"/>
        <v>1.978932943548152E-12</v>
      </c>
      <c r="AM76" s="62">
        <f t="shared" si="59"/>
        <v>293.3333333333353</v>
      </c>
      <c r="AN76" s="62">
        <f ca="1">AVERAGE(OFFSET($AM$3,0,0,'Données projet'!$E$10+1,1))-AVERAGE(OFFSET($H$3,0,0,'Données projet'!$E$10+1,1))</f>
        <v>187.13674266165236</v>
      </c>
      <c r="AO76" s="62">
        <f t="shared" si="90"/>
        <v>439.28159165815276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22.753940741726876</v>
      </c>
      <c r="AV76" s="23">
        <f>EXP(-LN(2)/25)*AV75+(1-EXP(-LN(2)/25))/(LN(2)/25)*Calculateur!AQ76*Calculateur!AS76*VLOOKUP('Données projet'!$B$10,Paramètres!$A$1:$I$89,3,0)*0.475*44/12</f>
        <v>13.340606501192971</v>
      </c>
      <c r="AW76" s="23">
        <f>EXP(-LN(2)/2)*AW75+(1-EXP(-LN(2)/2))/(LN(2)/2)*AQ76*AT76*VLOOKUP('Données projet'!$B$10,Paramètres!$A$1:$I$89,3,0)*0.475*44/12</f>
        <v>1.4689823736409063E-5</v>
      </c>
      <c r="AX76" s="23">
        <f t="shared" si="60"/>
        <v>36.094561932743581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87.539629191511665</v>
      </c>
      <c r="T77" s="62">
        <f t="shared" si="88"/>
        <v>411.51686965858363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28.281502492102014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3.7429844372673757E-7</v>
      </c>
      <c r="AC77" s="24">
        <f t="shared" si="57"/>
        <v>28.281502866400459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1.1368683772161603E-13</v>
      </c>
      <c r="AJ77" s="14">
        <f>AI77*VLOOKUP('Données projet'!$B$10,Paramètres!$A$1:$I$89,3,0)*VLOOKUP('Données projet'!$B$10,Paramètres!$A$1:$I$89,5,0)</f>
        <v>6.7984728957526396E-14</v>
      </c>
      <c r="AK77" s="14">
        <f t="shared" si="89"/>
        <v>1.0682447123141398E-12</v>
      </c>
      <c r="AL77" s="22">
        <f t="shared" si="58"/>
        <v>1.978932943548152E-12</v>
      </c>
      <c r="AM77" s="62">
        <f t="shared" si="59"/>
        <v>293.3333333333353</v>
      </c>
      <c r="AN77" s="62">
        <f ca="1">AVERAGE(OFFSET($AM$3,0,0,'Données projet'!$E$10+1,1))-AVERAGE(OFFSET($H$3,0,0,'Données projet'!$E$10+1,1))</f>
        <v>187.13674266165236</v>
      </c>
      <c r="AO77" s="62">
        <f t="shared" si="90"/>
        <v>439.28159165815276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22.307749842315072</v>
      </c>
      <c r="AV77" s="23">
        <f>EXP(-LN(2)/25)*AV76+(1-EXP(-LN(2)/25))/(LN(2)/25)*Calculateur!AQ77*Calculateur!AS77*VLOOKUP('Données projet'!$B$10,Paramètres!$A$1:$I$89,3,0)*0.475*44/12</f>
        <v>12.975806914865844</v>
      </c>
      <c r="AW77" s="23">
        <f>EXP(-LN(2)/2)*AW76+(1-EXP(-LN(2)/2))/(LN(2)/2)*AQ77*AT77*VLOOKUP('Données projet'!$B$10,Paramètres!$A$1:$I$89,3,0)*0.475*44/12</f>
        <v>1.0387273978449956E-5</v>
      </c>
      <c r="AX77" s="23">
        <f t="shared" si="60"/>
        <v>35.283567144454899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87.539629191511665</v>
      </c>
      <c r="T78" s="62">
        <f t="shared" si="88"/>
        <v>411.51686965858363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27.726919478245115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2.6466896774674749E-7</v>
      </c>
      <c r="AC78" s="24">
        <f t="shared" si="57"/>
        <v>27.726919742914085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1.1368683772161603E-13</v>
      </c>
      <c r="AJ78" s="14">
        <f>AI78*VLOOKUP('Données projet'!$B$10,Paramètres!$A$1:$I$89,3,0)*VLOOKUP('Données projet'!$B$10,Paramètres!$A$1:$I$89,5,0)</f>
        <v>6.7984728957526396E-14</v>
      </c>
      <c r="AK78" s="14">
        <f t="shared" si="89"/>
        <v>1.0682447123141398E-12</v>
      </c>
      <c r="AL78" s="22">
        <f t="shared" si="58"/>
        <v>1.978932943548152E-12</v>
      </c>
      <c r="AM78" s="62">
        <f t="shared" si="59"/>
        <v>293.3333333333353</v>
      </c>
      <c r="AN78" s="62">
        <f ca="1">AVERAGE(OFFSET($AM$3,0,0,'Données projet'!$E$10+1,1))-AVERAGE(OFFSET($H$3,0,0,'Données projet'!$E$10+1,1))</f>
        <v>187.13674266165236</v>
      </c>
      <c r="AO78" s="62">
        <f t="shared" si="90"/>
        <v>439.28159165815276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21.870308474291157</v>
      </c>
      <c r="AV78" s="23">
        <f>EXP(-LN(2)/25)*AV77+(1-EXP(-LN(2)/25))/(LN(2)/25)*Calculateur!AQ78*Calculateur!AS78*VLOOKUP('Données projet'!$B$10,Paramètres!$A$1:$I$89,3,0)*0.475*44/12</f>
        <v>12.620982792410809</v>
      </c>
      <c r="AW78" s="23">
        <f>EXP(-LN(2)/2)*AW77+(1-EXP(-LN(2)/2))/(LN(2)/2)*AQ78*AT78*VLOOKUP('Données projet'!$B$10,Paramètres!$A$1:$I$89,3,0)*0.475*44/12</f>
        <v>7.3449118682045322E-6</v>
      </c>
      <c r="AX78" s="23">
        <f t="shared" si="60"/>
        <v>34.491298611613836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87.539629191511665</v>
      </c>
      <c r="T79" s="62">
        <f t="shared" si="88"/>
        <v>411.51686965858363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27.183211499027713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1.8714922186336878E-7</v>
      </c>
      <c r="AC79" s="24">
        <f t="shared" si="57"/>
        <v>27.183211686176936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1.1368683772161603E-13</v>
      </c>
      <c r="AJ79" s="14">
        <f>AI79*VLOOKUP('Données projet'!$B$10,Paramètres!$A$1:$I$89,3,0)*VLOOKUP('Données projet'!$B$10,Paramètres!$A$1:$I$89,5,0)</f>
        <v>6.7984728957526396E-14</v>
      </c>
      <c r="AK79" s="14">
        <f t="shared" si="89"/>
        <v>1.0682447123141398E-12</v>
      </c>
      <c r="AL79" s="22">
        <f t="shared" si="58"/>
        <v>1.978932943548152E-12</v>
      </c>
      <c r="AM79" s="62">
        <f t="shared" si="59"/>
        <v>293.3333333333353</v>
      </c>
      <c r="AN79" s="62">
        <f ca="1">AVERAGE(OFFSET($AM$3,0,0,'Données projet'!$E$10+1,1))-AVERAGE(OFFSET($H$3,0,0,'Données projet'!$E$10+1,1))</f>
        <v>187.13674266165236</v>
      </c>
      <c r="AO79" s="62">
        <f t="shared" si="90"/>
        <v>439.28159165815276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21.441445064681304</v>
      </c>
      <c r="AV79" s="23">
        <f>EXP(-LN(2)/25)*AV78+(1-EXP(-LN(2)/25))/(LN(2)/25)*Calculateur!AQ79*Calculateur!AS79*VLOOKUP('Données projet'!$B$10,Paramètres!$A$1:$I$89,3,0)*0.475*44/12</f>
        <v>12.275861354243697</v>
      </c>
      <c r="AW79" s="23">
        <f>EXP(-LN(2)/2)*AW78+(1-EXP(-LN(2)/2))/(LN(2)/2)*AQ79*AT79*VLOOKUP('Données projet'!$B$10,Paramètres!$A$1:$I$89,3,0)*0.475*44/12</f>
        <v>5.1936369892249787E-6</v>
      </c>
      <c r="AX79" s="23">
        <f t="shared" si="60"/>
        <v>33.717311612561986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87.539629191511665</v>
      </c>
      <c r="T80" s="62">
        <f t="shared" si="88"/>
        <v>411.51686965858363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26.650165301653644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1.3233448387337374E-7</v>
      </c>
      <c r="AC80" s="24">
        <f t="shared" si="57"/>
        <v>26.650165433988128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1.1368683772161603E-13</v>
      </c>
      <c r="AJ80" s="14">
        <f>AI80*VLOOKUP('Données projet'!$B$10,Paramètres!$A$1:$I$89,3,0)*VLOOKUP('Données projet'!$B$10,Paramètres!$A$1:$I$89,5,0)</f>
        <v>6.7984728957526396E-14</v>
      </c>
      <c r="AK80" s="14">
        <f t="shared" si="89"/>
        <v>1.0682447123141398E-12</v>
      </c>
      <c r="AL80" s="22">
        <f t="shared" si="58"/>
        <v>1.978932943548152E-12</v>
      </c>
      <c r="AM80" s="62">
        <f t="shared" si="59"/>
        <v>293.3333333333353</v>
      </c>
      <c r="AN80" s="62">
        <f ca="1">AVERAGE(OFFSET($AM$3,0,0,'Données projet'!$E$10+1,1))-AVERAGE(OFFSET($H$3,0,0,'Données projet'!$E$10+1,1))</f>
        <v>187.13674266165236</v>
      </c>
      <c r="AO80" s="62">
        <f t="shared" si="90"/>
        <v>439.28159165815276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21.020991404953048</v>
      </c>
      <c r="AV80" s="23">
        <f>EXP(-LN(2)/25)*AV79+(1-EXP(-LN(2)/25))/(LN(2)/25)*Calculateur!AQ80*Calculateur!AS80*VLOOKUP('Données projet'!$B$10,Paramètres!$A$1:$I$89,3,0)*0.475*44/12</f>
        <v>11.940177279952412</v>
      </c>
      <c r="AW80" s="23">
        <f>EXP(-LN(2)/2)*AW79+(1-EXP(-LN(2)/2))/(LN(2)/2)*AQ80*AT80*VLOOKUP('Données projet'!$B$10,Paramètres!$A$1:$I$89,3,0)*0.475*44/12</f>
        <v>3.6724559341022665E-6</v>
      </c>
      <c r="AX80" s="23">
        <f t="shared" si="60"/>
        <v>32.961172357361392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87.539629191511665</v>
      </c>
      <c r="T81" s="62">
        <f t="shared" si="88"/>
        <v>411.51686965858363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26.127571815084004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9.3574610931684392E-8</v>
      </c>
      <c r="AC81" s="24">
        <f t="shared" si="57"/>
        <v>26.127571908658613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1.1368683772161603E-13</v>
      </c>
      <c r="AJ81" s="14">
        <f>AI81*VLOOKUP('Données projet'!$B$10,Paramètres!$A$1:$I$89,3,0)*VLOOKUP('Données projet'!$B$10,Paramètres!$A$1:$I$89,5,0)</f>
        <v>6.7984728957526396E-14</v>
      </c>
      <c r="AK81" s="14">
        <f t="shared" si="89"/>
        <v>1.0682447123141398E-12</v>
      </c>
      <c r="AL81" s="22">
        <f t="shared" si="58"/>
        <v>1.978932943548152E-12</v>
      </c>
      <c r="AM81" s="62">
        <f t="shared" si="59"/>
        <v>293.3333333333353</v>
      </c>
      <c r="AN81" s="62">
        <f ca="1">AVERAGE(OFFSET($AM$3,0,0,'Données projet'!$E$10+1,1))-AVERAGE(OFFSET($H$3,0,0,'Données projet'!$E$10+1,1))</f>
        <v>187.13674266165236</v>
      </c>
      <c r="AO81" s="62">
        <f t="shared" si="90"/>
        <v>439.28159165815276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20.608782585040654</v>
      </c>
      <c r="AV81" s="23">
        <f>EXP(-LN(2)/25)*AV80+(1-EXP(-LN(2)/25))/(LN(2)/25)*Calculateur!AQ81*Calculateur!AS81*VLOOKUP('Données projet'!$B$10,Paramètres!$A$1:$I$89,3,0)*0.475*44/12</f>
        <v>11.61367250432548</v>
      </c>
      <c r="AW81" s="23">
        <f>EXP(-LN(2)/2)*AW80+(1-EXP(-LN(2)/2))/(LN(2)/2)*AQ81*AT81*VLOOKUP('Données projet'!$B$10,Paramètres!$A$1:$I$89,3,0)*0.475*44/12</f>
        <v>2.5968184946124898E-6</v>
      </c>
      <c r="AX81" s="23">
        <f t="shared" si="60"/>
        <v>32.222457686184633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87.539629191511665</v>
      </c>
      <c r="T82" s="62">
        <f t="shared" si="88"/>
        <v>411.51686965858363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25.61522606803544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6.6167241936686872E-8</v>
      </c>
      <c r="AC82" s="24">
        <f t="shared" si="57"/>
        <v>25.615226134202683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1.1368683772161603E-13</v>
      </c>
      <c r="AJ82" s="14">
        <f>AI82*VLOOKUP('Données projet'!$B$10,Paramètres!$A$1:$I$89,3,0)*VLOOKUP('Données projet'!$B$10,Paramètres!$A$1:$I$89,5,0)</f>
        <v>6.7984728957526396E-14</v>
      </c>
      <c r="AK82" s="14">
        <f t="shared" si="89"/>
        <v>1.0682447123141398E-12</v>
      </c>
      <c r="AL82" s="22">
        <f t="shared" si="58"/>
        <v>1.978932943548152E-12</v>
      </c>
      <c r="AM82" s="62">
        <f t="shared" si="59"/>
        <v>293.3333333333353</v>
      </c>
      <c r="AN82" s="62">
        <f ca="1">AVERAGE(OFFSET($AM$3,0,0,'Données projet'!$E$10+1,1))-AVERAGE(OFFSET($H$3,0,0,'Données projet'!$E$10+1,1))</f>
        <v>187.13674266165236</v>
      </c>
      <c r="AO82" s="62">
        <f t="shared" si="90"/>
        <v>439.28159165815276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20.204656928664189</v>
      </c>
      <c r="AV82" s="23">
        <f>EXP(-LN(2)/25)*AV81+(1-EXP(-LN(2)/25))/(LN(2)/25)*Calculateur!AQ82*Calculateur!AS82*VLOOKUP('Données projet'!$B$10,Paramètres!$A$1:$I$89,3,0)*0.475*44/12</f>
        <v>11.296096018958206</v>
      </c>
      <c r="AW82" s="23">
        <f>EXP(-LN(2)/2)*AW81+(1-EXP(-LN(2)/2))/(LN(2)/2)*AQ82*AT82*VLOOKUP('Données projet'!$B$10,Paramètres!$A$1:$I$89,3,0)*0.475*44/12</f>
        <v>1.8362279670511337E-6</v>
      </c>
      <c r="AX82" s="23">
        <f t="shared" si="60"/>
        <v>31.500754783850361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87.539629191511665</v>
      </c>
      <c r="T83" s="62">
        <f t="shared" si="88"/>
        <v>411.51686965858363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25.112927108586451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4.6787305465842196E-8</v>
      </c>
      <c r="AC83" s="24">
        <f t="shared" si="57"/>
        <v>25.112927155373757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1.1368683772161603E-13</v>
      </c>
      <c r="AJ83" s="14">
        <f>AI83*VLOOKUP('Données projet'!$B$10,Paramètres!$A$1:$I$89,3,0)*VLOOKUP('Données projet'!$B$10,Paramètres!$A$1:$I$89,5,0)</f>
        <v>6.7984728957526396E-14</v>
      </c>
      <c r="AK83" s="14">
        <f t="shared" si="89"/>
        <v>1.0682447123141398E-12</v>
      </c>
      <c r="AL83" s="22">
        <f t="shared" si="58"/>
        <v>1.978932943548152E-12</v>
      </c>
      <c r="AM83" s="62">
        <f t="shared" si="59"/>
        <v>293.3333333333353</v>
      </c>
      <c r="AN83" s="62">
        <f ca="1">AVERAGE(OFFSET($AM$3,0,0,'Données projet'!$E$10+1,1))-AVERAGE(OFFSET($H$3,0,0,'Données projet'!$E$10+1,1))</f>
        <v>187.13674266165236</v>
      </c>
      <c r="AO83" s="62">
        <f t="shared" si="90"/>
        <v>439.28159165815276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19.808455929916953</v>
      </c>
      <c r="AV83" s="23">
        <f>EXP(-LN(2)/25)*AV82+(1-EXP(-LN(2)/25))/(LN(2)/25)*Calculateur!AQ83*Calculateur!AS83*VLOOKUP('Données projet'!$B$10,Paramètres!$A$1:$I$89,3,0)*0.475*44/12</f>
        <v>10.987203679283922</v>
      </c>
      <c r="AW83" s="23">
        <f>EXP(-LN(2)/2)*AW82+(1-EXP(-LN(2)/2))/(LN(2)/2)*AQ83*AT83*VLOOKUP('Données projet'!$B$10,Paramètres!$A$1:$I$89,3,0)*0.475*44/12</f>
        <v>1.2984092473062451E-6</v>
      </c>
      <c r="AX83" s="23">
        <f t="shared" si="60"/>
        <v>30.795660907610124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87.539629191511665</v>
      </c>
      <c r="T84" s="62">
        <f t="shared" si="88"/>
        <v>411.51686965858363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24.620477925360142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3.3083620968343436E-8</v>
      </c>
      <c r="AC84" s="24">
        <f t="shared" si="57"/>
        <v>24.620477958443761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1.1368683772161603E-13</v>
      </c>
      <c r="AJ84" s="14">
        <f>AI84*VLOOKUP('Données projet'!$B$10,Paramètres!$A$1:$I$89,3,0)*VLOOKUP('Données projet'!$B$10,Paramètres!$A$1:$I$89,5,0)</f>
        <v>6.7984728957526396E-14</v>
      </c>
      <c r="AK84" s="14">
        <f t="shared" si="89"/>
        <v>1.0682447123141398E-12</v>
      </c>
      <c r="AL84" s="22">
        <f t="shared" si="58"/>
        <v>1.978932943548152E-12</v>
      </c>
      <c r="AM84" s="62">
        <f t="shared" si="59"/>
        <v>293.3333333333353</v>
      </c>
      <c r="AN84" s="62">
        <f ca="1">AVERAGE(OFFSET($AM$3,0,0,'Données projet'!$E$10+1,1))-AVERAGE(OFFSET($H$3,0,0,'Données projet'!$E$10+1,1))</f>
        <v>187.13674266165236</v>
      </c>
      <c r="AO84" s="62">
        <f t="shared" si="90"/>
        <v>439.28159165815276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19.420024191096402</v>
      </c>
      <c r="AV84" s="23">
        <f>EXP(-LN(2)/25)*AV83+(1-EXP(-LN(2)/25))/(LN(2)/25)*Calculateur!AQ84*Calculateur!AS84*VLOOKUP('Données projet'!$B$10,Paramètres!$A$1:$I$89,3,0)*0.475*44/12</f>
        <v>10.686758016881974</v>
      </c>
      <c r="AW84" s="23">
        <f>EXP(-LN(2)/2)*AW83+(1-EXP(-LN(2)/2))/(LN(2)/2)*AQ84*AT84*VLOOKUP('Données projet'!$B$10,Paramètres!$A$1:$I$89,3,0)*0.475*44/12</f>
        <v>9.1811398352556695E-7</v>
      </c>
      <c r="AX84" s="23">
        <f t="shared" si="60"/>
        <v>30.10678312609236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87.539629191511665</v>
      </c>
      <c r="T85" s="62">
        <f t="shared" si="88"/>
        <v>411.51686965858363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24.137685370252559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2.3393652732921098E-8</v>
      </c>
      <c r="AC85" s="24">
        <f t="shared" si="57"/>
        <v>24.137685393646212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1.1368683772161603E-13</v>
      </c>
      <c r="AJ85" s="14">
        <f>AI85*VLOOKUP('Données projet'!$B$10,Paramètres!$A$1:$I$89,3,0)*VLOOKUP('Données projet'!$B$10,Paramètres!$A$1:$I$89,5,0)</f>
        <v>6.7984728957526396E-14</v>
      </c>
      <c r="AK85" s="14">
        <f t="shared" si="89"/>
        <v>1.0682447123141398E-12</v>
      </c>
      <c r="AL85" s="22">
        <f t="shared" si="58"/>
        <v>1.978932943548152E-12</v>
      </c>
      <c r="AM85" s="62">
        <f t="shared" si="59"/>
        <v>293.3333333333353</v>
      </c>
      <c r="AN85" s="62">
        <f ca="1">AVERAGE(OFFSET($AM$3,0,0,'Données projet'!$E$10+1,1))-AVERAGE(OFFSET($H$3,0,0,'Données projet'!$E$10+1,1))</f>
        <v>187.13674266165236</v>
      </c>
      <c r="AO85" s="62">
        <f t="shared" si="90"/>
        <v>439.28159165815276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19.039209361754157</v>
      </c>
      <c r="AV85" s="23">
        <f>EXP(-LN(2)/25)*AV84+(1-EXP(-LN(2)/25))/(LN(2)/25)*Calculateur!AQ85*Calculateur!AS85*VLOOKUP('Données projet'!$B$10,Paramètres!$A$1:$I$89,3,0)*0.475*44/12</f>
        <v>10.394528056918157</v>
      </c>
      <c r="AW85" s="23">
        <f>EXP(-LN(2)/2)*AW84+(1-EXP(-LN(2)/2))/(LN(2)/2)*AQ85*AT85*VLOOKUP('Données projet'!$B$10,Paramètres!$A$1:$I$89,3,0)*0.475*44/12</f>
        <v>6.4920462365312265E-7</v>
      </c>
      <c r="AX85" s="23">
        <f t="shared" si="60"/>
        <v>29.433738067876938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87.539629191511665</v>
      </c>
      <c r="T86" s="62">
        <f t="shared" si="88"/>
        <v>411.51686965858363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23.664360082676254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1.6541810484171718E-8</v>
      </c>
      <c r="AC86" s="24">
        <f t="shared" si="57"/>
        <v>23.664360099218065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1.1368683772161603E-13</v>
      </c>
      <c r="AJ86" s="14">
        <f>AI86*VLOOKUP('Données projet'!$B$10,Paramètres!$A$1:$I$89,3,0)*VLOOKUP('Données projet'!$B$10,Paramètres!$A$1:$I$89,5,0)</f>
        <v>6.7984728957526396E-14</v>
      </c>
      <c r="AK86" s="14">
        <f t="shared" si="89"/>
        <v>1.0682447123141398E-12</v>
      </c>
      <c r="AL86" s="22">
        <f t="shared" si="58"/>
        <v>1.978932943548152E-12</v>
      </c>
      <c r="AM86" s="62">
        <f t="shared" si="59"/>
        <v>293.3333333333353</v>
      </c>
      <c r="AN86" s="62">
        <f ca="1">AVERAGE(OFFSET($AM$3,0,0,'Données projet'!$E$10+1,1))-AVERAGE(OFFSET($H$3,0,0,'Données projet'!$E$10+1,1))</f>
        <v>187.13674266165236</v>
      </c>
      <c r="AO86" s="62">
        <f t="shared" si="90"/>
        <v>439.28159165815276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18.665862078941203</v>
      </c>
      <c r="AV86" s="23">
        <f>EXP(-LN(2)/25)*AV85+(1-EXP(-LN(2)/25))/(LN(2)/25)*Calculateur!AQ86*Calculateur!AS86*VLOOKUP('Données projet'!$B$10,Paramètres!$A$1:$I$89,3,0)*0.475*44/12</f>
        <v>10.110289140577256</v>
      </c>
      <c r="AW86" s="23">
        <f>EXP(-LN(2)/2)*AW85+(1-EXP(-LN(2)/2))/(LN(2)/2)*AQ86*AT86*VLOOKUP('Données projet'!$B$10,Paramètres!$A$1:$I$89,3,0)*0.475*44/12</f>
        <v>4.5905699176278358E-7</v>
      </c>
      <c r="AX86" s="23">
        <f t="shared" si="60"/>
        <v>28.776151678575452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87.539629191511665</v>
      </c>
      <c r="T87" s="62">
        <f t="shared" si="88"/>
        <v>411.51686965858363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23.2003164152894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1.1696826366460549E-8</v>
      </c>
      <c r="AC87" s="24">
        <f t="shared" si="57"/>
        <v>23.200316426986227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1.1368683772161603E-13</v>
      </c>
      <c r="AJ87" s="14">
        <f>AI87*VLOOKUP('Données projet'!$B$10,Paramètres!$A$1:$I$89,3,0)*VLOOKUP('Données projet'!$B$10,Paramètres!$A$1:$I$89,5,0)</f>
        <v>6.7984728957526396E-14</v>
      </c>
      <c r="AK87" s="14">
        <f t="shared" si="89"/>
        <v>1.0682447123141398E-12</v>
      </c>
      <c r="AL87" s="22">
        <f t="shared" si="58"/>
        <v>1.978932943548152E-12</v>
      </c>
      <c r="AM87" s="62">
        <f t="shared" si="59"/>
        <v>293.3333333333353</v>
      </c>
      <c r="AN87" s="62">
        <f ca="1">AVERAGE(OFFSET($AM$3,0,0,'Données projet'!$E$10+1,1))-AVERAGE(OFFSET($H$3,0,0,'Données projet'!$E$10+1,1))</f>
        <v>187.13674266165236</v>
      </c>
      <c r="AO87" s="62">
        <f t="shared" si="90"/>
        <v>439.28159165815276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18.299835908624853</v>
      </c>
      <c r="AV87" s="23">
        <f>EXP(-LN(2)/25)*AV86+(1-EXP(-LN(2)/25))/(LN(2)/25)*Calculateur!AQ87*Calculateur!AS87*VLOOKUP('Données projet'!$B$10,Paramètres!$A$1:$I$89,3,0)*0.475*44/12</f>
        <v>9.833822752351173</v>
      </c>
      <c r="AW87" s="23">
        <f>EXP(-LN(2)/2)*AW86+(1-EXP(-LN(2)/2))/(LN(2)/2)*AQ87*AT87*VLOOKUP('Données projet'!$B$10,Paramètres!$A$1:$I$89,3,0)*0.475*44/12</f>
        <v>3.2460231182656138E-7</v>
      </c>
      <c r="AX87" s="23">
        <f t="shared" si="60"/>
        <v>28.133658985578336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87.539629191511665</v>
      </c>
      <c r="T88" s="62">
        <f t="shared" si="88"/>
        <v>411.51686965858363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22.745372361181314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8.270905242085859E-9</v>
      </c>
      <c r="AC88" s="24">
        <f t="shared" si="57"/>
        <v>22.74537236945222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1.1368683772161603E-13</v>
      </c>
      <c r="AJ88" s="14">
        <f>AI88*VLOOKUP('Données projet'!$B$10,Paramètres!$A$1:$I$89,3,0)*VLOOKUP('Données projet'!$B$10,Paramètres!$A$1:$I$89,5,0)</f>
        <v>6.7984728957526396E-14</v>
      </c>
      <c r="AK88" s="14">
        <f t="shared" si="89"/>
        <v>1.0682447123141398E-12</v>
      </c>
      <c r="AL88" s="22">
        <f t="shared" si="58"/>
        <v>1.978932943548152E-12</v>
      </c>
      <c r="AM88" s="62">
        <f t="shared" si="59"/>
        <v>293.3333333333353</v>
      </c>
      <c r="AN88" s="62">
        <f ca="1">AVERAGE(OFFSET($AM$3,0,0,'Données projet'!$E$10+1,1))-AVERAGE(OFFSET($H$3,0,0,'Données projet'!$E$10+1,1))</f>
        <v>187.13674266165236</v>
      </c>
      <c r="AO88" s="62">
        <f t="shared" si="90"/>
        <v>439.28159165815276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17.940987288254487</v>
      </c>
      <c r="AV88" s="23">
        <f>EXP(-LN(2)/25)*AV87+(1-EXP(-LN(2)/25))/(LN(2)/25)*Calculateur!AQ88*Calculateur!AS88*VLOOKUP('Données projet'!$B$10,Paramètres!$A$1:$I$89,3,0)*0.475*44/12</f>
        <v>9.5649163520498668</v>
      </c>
      <c r="AW88" s="23">
        <f>EXP(-LN(2)/2)*AW87+(1-EXP(-LN(2)/2))/(LN(2)/2)*AQ88*AT88*VLOOKUP('Données projet'!$B$10,Paramètres!$A$1:$I$89,3,0)*0.475*44/12</f>
        <v>2.2952849588139182E-7</v>
      </c>
      <c r="AX88" s="23">
        <f t="shared" si="60"/>
        <v>27.505903869832849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87.539629191511665</v>
      </c>
      <c r="T89" s="62">
        <f t="shared" si="88"/>
        <v>411.51686965858363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22.299349482485813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5.8484131832302745E-9</v>
      </c>
      <c r="AC89" s="24">
        <f t="shared" si="57"/>
        <v>22.299349488334226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1.1368683772161603E-13</v>
      </c>
      <c r="AJ89" s="14">
        <f>AI89*VLOOKUP('Données projet'!$B$10,Paramètres!$A$1:$I$89,3,0)*VLOOKUP('Données projet'!$B$10,Paramètres!$A$1:$I$89,5,0)</f>
        <v>6.7984728957526396E-14</v>
      </c>
      <c r="AK89" s="14">
        <f t="shared" si="89"/>
        <v>1.0682447123141398E-12</v>
      </c>
      <c r="AL89" s="22">
        <f t="shared" si="58"/>
        <v>1.978932943548152E-12</v>
      </c>
      <c r="AM89" s="62">
        <f t="shared" si="59"/>
        <v>293.3333333333353</v>
      </c>
      <c r="AN89" s="62">
        <f ca="1">AVERAGE(OFFSET($AM$3,0,0,'Données projet'!$E$10+1,1))-AVERAGE(OFFSET($H$3,0,0,'Données projet'!$E$10+1,1))</f>
        <v>187.13674266165236</v>
      </c>
      <c r="AO89" s="62">
        <f t="shared" si="90"/>
        <v>439.28159165815276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17.589175470453537</v>
      </c>
      <c r="AV89" s="23">
        <f>EXP(-LN(2)/25)*AV88+(1-EXP(-LN(2)/25))/(LN(2)/25)*Calculateur!AQ89*Calculateur!AS89*VLOOKUP('Données projet'!$B$10,Paramètres!$A$1:$I$89,3,0)*0.475*44/12</f>
        <v>9.3033632114059728</v>
      </c>
      <c r="AW89" s="23">
        <f>EXP(-LN(2)/2)*AW88+(1-EXP(-LN(2)/2))/(LN(2)/2)*AQ89*AT89*VLOOKUP('Données projet'!$B$10,Paramètres!$A$1:$I$89,3,0)*0.475*44/12</f>
        <v>1.6230115591328072E-7</v>
      </c>
      <c r="AX89" s="23">
        <f t="shared" si="60"/>
        <v>26.892538844160665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87.539629191511665</v>
      </c>
      <c r="T90" s="62">
        <f t="shared" si="88"/>
        <v>411.51686965858363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21.862072840394436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4.1354526210429295E-9</v>
      </c>
      <c r="AC90" s="24">
        <f t="shared" si="57"/>
        <v>21.862072844529887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1.1368683772161603E-13</v>
      </c>
      <c r="AJ90" s="14">
        <f>AI90*VLOOKUP('Données projet'!$B$10,Paramètres!$A$1:$I$89,3,0)*VLOOKUP('Données projet'!$B$10,Paramètres!$A$1:$I$89,5,0)</f>
        <v>6.7984728957526396E-14</v>
      </c>
      <c r="AK90" s="14">
        <f t="shared" si="89"/>
        <v>1.0682447123141398E-12</v>
      </c>
      <c r="AL90" s="22">
        <f t="shared" si="58"/>
        <v>1.978932943548152E-12</v>
      </c>
      <c r="AM90" s="62">
        <f t="shared" si="59"/>
        <v>293.3333333333353</v>
      </c>
      <c r="AN90" s="62">
        <f ca="1">AVERAGE(OFFSET($AM$3,0,0,'Données projet'!$E$10+1,1))-AVERAGE(OFFSET($H$3,0,0,'Données projet'!$E$10+1,1))</f>
        <v>187.13674266165236</v>
      </c>
      <c r="AO90" s="62">
        <f t="shared" si="90"/>
        <v>439.28159165815276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17.244262467815645</v>
      </c>
      <c r="AV90" s="23">
        <f>EXP(-LN(2)/25)*AV89+(1-EXP(-LN(2)/25))/(LN(2)/25)*Calculateur!AQ90*Calculateur!AS90*VLOOKUP('Données projet'!$B$10,Paramètres!$A$1:$I$89,3,0)*0.475*44/12</f>
        <v>9.0489622551474689</v>
      </c>
      <c r="AW90" s="23">
        <f>EXP(-LN(2)/2)*AW89+(1-EXP(-LN(2)/2))/(LN(2)/2)*AQ90*AT90*VLOOKUP('Données projet'!$B$10,Paramètres!$A$1:$I$89,3,0)*0.475*44/12</f>
        <v>1.1476424794069594E-7</v>
      </c>
      <c r="AX90" s="23">
        <f t="shared" si="60"/>
        <v>26.293224837727362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87.539629191511665</v>
      </c>
      <c r="T91" s="62">
        <f t="shared" si="88"/>
        <v>411.51686965858363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21.433370926542057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2.9242065916151372E-9</v>
      </c>
      <c r="AC91" s="24">
        <f t="shared" si="57"/>
        <v>21.433370929466264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1.1368683772161603E-13</v>
      </c>
      <c r="AJ91" s="14">
        <f>AI91*VLOOKUP('Données projet'!$B$10,Paramètres!$A$1:$I$89,3,0)*VLOOKUP('Données projet'!$B$10,Paramètres!$A$1:$I$89,5,0)</f>
        <v>6.7984728957526396E-14</v>
      </c>
      <c r="AK91" s="14">
        <f t="shared" si="89"/>
        <v>1.0682447123141398E-12</v>
      </c>
      <c r="AL91" s="22">
        <f t="shared" si="58"/>
        <v>1.978932943548152E-12</v>
      </c>
      <c r="AM91" s="62">
        <f t="shared" si="59"/>
        <v>293.3333333333353</v>
      </c>
      <c r="AN91" s="62">
        <f ca="1">AVERAGE(OFFSET($AM$3,0,0,'Données projet'!$E$10+1,1))-AVERAGE(OFFSET($H$3,0,0,'Données projet'!$E$10+1,1))</f>
        <v>187.13674266165236</v>
      </c>
      <c r="AO91" s="62">
        <f t="shared" si="90"/>
        <v>439.28159165815276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16.906112998783325</v>
      </c>
      <c r="AV91" s="23">
        <f>EXP(-LN(2)/25)*AV90+(1-EXP(-LN(2)/25))/(LN(2)/25)*Calculateur!AQ91*Calculateur!AS91*VLOOKUP('Données projet'!$B$10,Paramètres!$A$1:$I$89,3,0)*0.475*44/12</f>
        <v>8.8015179064162172</v>
      </c>
      <c r="AW91" s="23">
        <f>EXP(-LN(2)/2)*AW90+(1-EXP(-LN(2)/2))/(LN(2)/2)*AQ91*AT91*VLOOKUP('Données projet'!$B$10,Paramètres!$A$1:$I$89,3,0)*0.475*44/12</f>
        <v>8.1150577956640371E-8</v>
      </c>
      <c r="AX91" s="23">
        <f t="shared" si="60"/>
        <v>25.707630986350122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87.539629191511665</v>
      </c>
      <c r="T92" s="62">
        <f t="shared" si="88"/>
        <v>411.51686965858363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21.013075595737973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2.0677263105214647E-9</v>
      </c>
      <c r="AC92" s="24">
        <f t="shared" si="57"/>
        <v>21.013075597805699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1.1368683772161603E-13</v>
      </c>
      <c r="AJ92" s="14">
        <f>AI92*VLOOKUP('Données projet'!$B$10,Paramètres!$A$1:$I$89,3,0)*VLOOKUP('Données projet'!$B$10,Paramètres!$A$1:$I$89,5,0)</f>
        <v>6.7984728957526396E-14</v>
      </c>
      <c r="AK92" s="14">
        <f t="shared" si="89"/>
        <v>1.0682447123141398E-12</v>
      </c>
      <c r="AL92" s="22">
        <f t="shared" si="58"/>
        <v>1.978932943548152E-12</v>
      </c>
      <c r="AM92" s="62">
        <f t="shared" si="59"/>
        <v>293.3333333333353</v>
      </c>
      <c r="AN92" s="62">
        <f ca="1">AVERAGE(OFFSET($AM$3,0,0,'Données projet'!$E$10+1,1))-AVERAGE(OFFSET($H$3,0,0,'Données projet'!$E$10+1,1))</f>
        <v>187.13674266165236</v>
      </c>
      <c r="AO92" s="62">
        <f t="shared" si="90"/>
        <v>439.28159165815276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16.574594434587915</v>
      </c>
      <c r="AV92" s="23">
        <f>EXP(-LN(2)/25)*AV91+(1-EXP(-LN(2)/25))/(LN(2)/25)*Calculateur!AQ92*Calculateur!AS92*VLOOKUP('Données projet'!$B$10,Paramètres!$A$1:$I$89,3,0)*0.475*44/12</f>
        <v>8.5608399364135543</v>
      </c>
      <c r="AW92" s="23">
        <f>EXP(-LN(2)/2)*AW91+(1-EXP(-LN(2)/2))/(LN(2)/2)*AQ92*AT92*VLOOKUP('Données projet'!$B$10,Paramètres!$A$1:$I$89,3,0)*0.475*44/12</f>
        <v>5.7382123970347974E-8</v>
      </c>
      <c r="AX92" s="23">
        <f t="shared" si="60"/>
        <v>25.135434428383594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87.539629191511665</v>
      </c>
      <c r="T93" s="62">
        <f t="shared" si="88"/>
        <v>411.51686965858363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20.601022000016119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1.4621032958075686E-9</v>
      </c>
      <c r="AC93" s="24">
        <f t="shared" si="57"/>
        <v>20.601022001478221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1.1368683772161603E-13</v>
      </c>
      <c r="AJ93" s="14">
        <f>AI93*VLOOKUP('Données projet'!$B$10,Paramètres!$A$1:$I$89,3,0)*VLOOKUP('Données projet'!$B$10,Paramètres!$A$1:$I$89,5,0)</f>
        <v>6.7984728957526396E-14</v>
      </c>
      <c r="AK93" s="14">
        <f t="shared" si="89"/>
        <v>1.0682447123141398E-12</v>
      </c>
      <c r="AL93" s="22">
        <f t="shared" si="58"/>
        <v>1.978932943548152E-12</v>
      </c>
      <c r="AM93" s="62">
        <f t="shared" si="59"/>
        <v>293.3333333333353</v>
      </c>
      <c r="AN93" s="62">
        <f ca="1">AVERAGE(OFFSET($AM$3,0,0,'Données projet'!$E$10+1,1))-AVERAGE(OFFSET($H$3,0,0,'Données projet'!$E$10+1,1))</f>
        <v>187.13674266165236</v>
      </c>
      <c r="AO93" s="62">
        <f t="shared" si="90"/>
        <v>439.28159165815276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16.249576747230019</v>
      </c>
      <c r="AV93" s="23">
        <f>EXP(-LN(2)/25)*AV92+(1-EXP(-LN(2)/25))/(LN(2)/25)*Calculateur!AQ93*Calculateur!AS93*VLOOKUP('Données projet'!$B$10,Paramètres!$A$1:$I$89,3,0)*0.475*44/12</f>
        <v>8.3267433181573196</v>
      </c>
      <c r="AW93" s="23">
        <f>EXP(-LN(2)/2)*AW92+(1-EXP(-LN(2)/2))/(LN(2)/2)*AQ93*AT93*VLOOKUP('Données projet'!$B$10,Paramètres!$A$1:$I$89,3,0)*0.475*44/12</f>
        <v>4.0575288978320192E-8</v>
      </c>
      <c r="AX93" s="23">
        <f t="shared" si="60"/>
        <v>24.57632010596263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87.539629191511665</v>
      </c>
      <c r="T94" s="62">
        <f t="shared" si="88"/>
        <v>411.51686965858363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20.197048523978495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1.0338631552607324E-9</v>
      </c>
      <c r="AC94" s="24">
        <f t="shared" si="57"/>
        <v>20.197048525012359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1.1368683772161603E-13</v>
      </c>
      <c r="AJ94" s="14">
        <f>AI94*VLOOKUP('Données projet'!$B$10,Paramètres!$A$1:$I$89,3,0)*VLOOKUP('Données projet'!$B$10,Paramètres!$A$1:$I$89,5,0)</f>
        <v>6.7984728957526396E-14</v>
      </c>
      <c r="AK94" s="14">
        <f t="shared" si="89"/>
        <v>1.0682447123141398E-12</v>
      </c>
      <c r="AL94" s="22">
        <f t="shared" si="58"/>
        <v>1.978932943548152E-12</v>
      </c>
      <c r="AM94" s="62">
        <f t="shared" si="59"/>
        <v>293.3333333333353</v>
      </c>
      <c r="AN94" s="62">
        <f ca="1">AVERAGE(OFFSET($AM$3,0,0,'Données projet'!$E$10+1,1))-AVERAGE(OFFSET($H$3,0,0,'Données projet'!$E$10+1,1))</f>
        <v>187.13674266165236</v>
      </c>
      <c r="AO94" s="62">
        <f t="shared" si="90"/>
        <v>439.28159165815276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15.930932458479999</v>
      </c>
      <c r="AV94" s="23">
        <f>EXP(-LN(2)/25)*AV93+(1-EXP(-LN(2)/25))/(LN(2)/25)*Calculateur!AQ94*Calculateur!AS94*VLOOKUP('Données projet'!$B$10,Paramètres!$A$1:$I$89,3,0)*0.475*44/12</f>
        <v>8.0990480842379071</v>
      </c>
      <c r="AW94" s="23">
        <f>EXP(-LN(2)/2)*AW93+(1-EXP(-LN(2)/2))/(LN(2)/2)*AQ94*AT94*VLOOKUP('Données projet'!$B$10,Paramètres!$A$1:$I$89,3,0)*0.475*44/12</f>
        <v>2.869106198517399E-8</v>
      </c>
      <c r="AX94" s="23">
        <f t="shared" si="60"/>
        <v>24.02998057140897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87.539629191511665</v>
      </c>
      <c r="T95" s="62">
        <f t="shared" si="88"/>
        <v>411.51686965858363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19.800996721406477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7.3105164790378431E-10</v>
      </c>
      <c r="AC95" s="24">
        <f t="shared" si="57"/>
        <v>19.80099672213753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1.1368683772161603E-13</v>
      </c>
      <c r="AJ95" s="14">
        <f>AI95*VLOOKUP('Données projet'!$B$10,Paramètres!$A$1:$I$89,3,0)*VLOOKUP('Données projet'!$B$10,Paramètres!$A$1:$I$89,5,0)</f>
        <v>6.7984728957526396E-14</v>
      </c>
      <c r="AK95" s="14">
        <f t="shared" si="89"/>
        <v>1.0682447123141398E-12</v>
      </c>
      <c r="AL95" s="22">
        <f t="shared" si="58"/>
        <v>1.978932943548152E-12</v>
      </c>
      <c r="AM95" s="62">
        <f t="shared" si="59"/>
        <v>293.3333333333353</v>
      </c>
      <c r="AN95" s="62">
        <f ca="1">AVERAGE(OFFSET($AM$3,0,0,'Données projet'!$E$10+1,1))-AVERAGE(OFFSET($H$3,0,0,'Données projet'!$E$10+1,1))</f>
        <v>187.13674266165236</v>
      </c>
      <c r="AO95" s="62">
        <f t="shared" si="90"/>
        <v>439.28159165815276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15.618536589878541</v>
      </c>
      <c r="AV95" s="23">
        <f>EXP(-LN(2)/25)*AV94+(1-EXP(-LN(2)/25))/(LN(2)/25)*Calculateur!AQ95*Calculateur!AS95*VLOOKUP('Données projet'!$B$10,Paramètres!$A$1:$I$89,3,0)*0.475*44/12</f>
        <v>7.8775791884639936</v>
      </c>
      <c r="AW95" s="23">
        <f>EXP(-LN(2)/2)*AW94+(1-EXP(-LN(2)/2))/(LN(2)/2)*AQ95*AT95*VLOOKUP('Données projet'!$B$10,Paramètres!$A$1:$I$89,3,0)*0.475*44/12</f>
        <v>2.0287644489160099E-8</v>
      </c>
      <c r="AX95" s="23">
        <f t="shared" si="60"/>
        <v>23.496115798630179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87.539629191511665</v>
      </c>
      <c r="T96" s="62">
        <f t="shared" si="88"/>
        <v>411.51686965858363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19.412711253115152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5.1693157763036619E-10</v>
      </c>
      <c r="AC96" s="24">
        <f t="shared" si="57"/>
        <v>19.412711253632082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1.1368683772161603E-13</v>
      </c>
      <c r="AJ96" s="14">
        <f>AI96*VLOOKUP('Données projet'!$B$10,Paramètres!$A$1:$I$89,3,0)*VLOOKUP('Données projet'!$B$10,Paramètres!$A$1:$I$89,5,0)</f>
        <v>6.7984728957526396E-14</v>
      </c>
      <c r="AK96" s="14">
        <f t="shared" si="89"/>
        <v>1.0682447123141398E-12</v>
      </c>
      <c r="AL96" s="22">
        <f t="shared" si="58"/>
        <v>1.978932943548152E-12</v>
      </c>
      <c r="AM96" s="62">
        <f t="shared" si="59"/>
        <v>293.3333333333353</v>
      </c>
      <c r="AN96" s="62">
        <f ca="1">AVERAGE(OFFSET($AM$3,0,0,'Données projet'!$E$10+1,1))-AVERAGE(OFFSET($H$3,0,0,'Données projet'!$E$10+1,1))</f>
        <v>187.13674266165236</v>
      </c>
      <c r="AO96" s="62">
        <f t="shared" si="90"/>
        <v>439.28159165815276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15.312266613717693</v>
      </c>
      <c r="AV96" s="23">
        <f>EXP(-LN(2)/25)*AV95+(1-EXP(-LN(2)/25))/(LN(2)/25)*Calculateur!AQ96*Calculateur!AS96*VLOOKUP('Données projet'!$B$10,Paramètres!$A$1:$I$89,3,0)*0.475*44/12</f>
        <v>7.6621663712915611</v>
      </c>
      <c r="AW96" s="23">
        <f>EXP(-LN(2)/2)*AW95+(1-EXP(-LN(2)/2))/(LN(2)/2)*AQ96*AT96*VLOOKUP('Données projet'!$B$10,Paramètres!$A$1:$I$89,3,0)*0.475*44/12</f>
        <v>1.4345530992586999E-8</v>
      </c>
      <c r="AX96" s="23">
        <f t="shared" si="60"/>
        <v>22.974432999354786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87.539629191511665</v>
      </c>
      <c r="T97" s="62">
        <f t="shared" si="88"/>
        <v>411.51686965858363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19.032039826026267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3.6552582395189215E-10</v>
      </c>
      <c r="AC97" s="24">
        <f t="shared" si="57"/>
        <v>19.032039826391792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1.1368683772161603E-13</v>
      </c>
      <c r="AJ97" s="14">
        <f>AI97*VLOOKUP('Données projet'!$B$10,Paramètres!$A$1:$I$89,3,0)*VLOOKUP('Données projet'!$B$10,Paramètres!$A$1:$I$89,5,0)</f>
        <v>6.7984728957526396E-14</v>
      </c>
      <c r="AK97" s="14">
        <f t="shared" si="89"/>
        <v>1.0682447123141398E-12</v>
      </c>
      <c r="AL97" s="22">
        <f t="shared" si="58"/>
        <v>1.978932943548152E-12</v>
      </c>
      <c r="AM97" s="62">
        <f t="shared" si="59"/>
        <v>293.3333333333353</v>
      </c>
      <c r="AN97" s="62">
        <f ca="1">AVERAGE(OFFSET($AM$3,0,0,'Données projet'!$E$10+1,1))-AVERAGE(OFFSET($H$3,0,0,'Données projet'!$E$10+1,1))</f>
        <v>187.13674266165236</v>
      </c>
      <c r="AO97" s="62">
        <f t="shared" si="90"/>
        <v>439.28159165815276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15.012002404983118</v>
      </c>
      <c r="AV97" s="23">
        <f>EXP(-LN(2)/25)*AV96+(1-EXP(-LN(2)/25))/(LN(2)/25)*Calculateur!AQ97*Calculateur!AS97*VLOOKUP('Données projet'!$B$10,Paramètres!$A$1:$I$89,3,0)*0.475*44/12</f>
        <v>7.4526440289327756</v>
      </c>
      <c r="AW97" s="23">
        <f>EXP(-LN(2)/2)*AW96+(1-EXP(-LN(2)/2))/(LN(2)/2)*AQ97*AT97*VLOOKUP('Données projet'!$B$10,Paramètres!$A$1:$I$89,3,0)*0.475*44/12</f>
        <v>1.0143822244580051E-8</v>
      </c>
      <c r="AX97" s="23">
        <f t="shared" si="60"/>
        <v>22.464646444059717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87.539629191511665</v>
      </c>
      <c r="T98" s="62">
        <f t="shared" si="88"/>
        <v>411.51686965858363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18.658833133435952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2.5846578881518309E-10</v>
      </c>
      <c r="AC98" s="24">
        <f t="shared" si="57"/>
        <v>18.658833133694419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1.1368683772161603E-13</v>
      </c>
      <c r="AJ98" s="14">
        <f>AI98*VLOOKUP('Données projet'!$B$10,Paramètres!$A$1:$I$89,3,0)*VLOOKUP('Données projet'!$B$10,Paramètres!$A$1:$I$89,5,0)</f>
        <v>6.7984728957526396E-14</v>
      </c>
      <c r="AK98" s="14">
        <f t="shared" si="89"/>
        <v>1.0682447123141398E-12</v>
      </c>
      <c r="AL98" s="22">
        <f t="shared" si="58"/>
        <v>1.978932943548152E-12</v>
      </c>
      <c r="AM98" s="62">
        <f t="shared" si="59"/>
        <v>293.3333333333353</v>
      </c>
      <c r="AN98" s="62">
        <f ca="1">AVERAGE(OFFSET($AM$3,0,0,'Données projet'!$E$10+1,1))-AVERAGE(OFFSET($H$3,0,0,'Données projet'!$E$10+1,1))</f>
        <v>187.13674266165236</v>
      </c>
      <c r="AO98" s="62">
        <f t="shared" si="90"/>
        <v>439.28159165815276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14.717626194238745</v>
      </c>
      <c r="AV98" s="23">
        <f>EXP(-LN(2)/25)*AV97+(1-EXP(-LN(2)/25))/(LN(2)/25)*Calculateur!AQ98*Calculateur!AS98*VLOOKUP('Données projet'!$B$10,Paramètres!$A$1:$I$89,3,0)*0.475*44/12</f>
        <v>7.2488510860440929</v>
      </c>
      <c r="AW98" s="23">
        <f>EXP(-LN(2)/2)*AW97+(1-EXP(-LN(2)/2))/(LN(2)/2)*AQ98*AT98*VLOOKUP('Données projet'!$B$10,Paramètres!$A$1:$I$89,3,0)*0.475*44/12</f>
        <v>7.1727654962935001E-9</v>
      </c>
      <c r="AX98" s="23">
        <f t="shared" si="60"/>
        <v>21.966477287455604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87.539629191511665</v>
      </c>
      <c r="T99" s="62">
        <f t="shared" si="88"/>
        <v>411.51686965858363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18.292944796453728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1.8276291197594608E-10</v>
      </c>
      <c r="AC99" s="24">
        <f t="shared" si="57"/>
        <v>18.29294479663649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1.1368683772161603E-13</v>
      </c>
      <c r="AJ99" s="14">
        <f>AI99*VLOOKUP('Données projet'!$B$10,Paramètres!$A$1:$I$89,3,0)*VLOOKUP('Données projet'!$B$10,Paramètres!$A$1:$I$89,5,0)</f>
        <v>6.7984728957526396E-14</v>
      </c>
      <c r="AK99" s="14">
        <f t="shared" si="89"/>
        <v>1.0682447123141398E-12</v>
      </c>
      <c r="AL99" s="22">
        <f t="shared" si="58"/>
        <v>1.978932943548152E-12</v>
      </c>
      <c r="AM99" s="62">
        <f t="shared" si="59"/>
        <v>293.3333333333353</v>
      </c>
      <c r="AN99" s="62">
        <f ca="1">AVERAGE(OFFSET($AM$3,0,0,'Données projet'!$E$10+1,1))-AVERAGE(OFFSET($H$3,0,0,'Données projet'!$E$10+1,1))</f>
        <v>187.13674266165236</v>
      </c>
      <c r="AO99" s="62">
        <f t="shared" si="90"/>
        <v>439.28159165815276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14.429022521435311</v>
      </c>
      <c r="AV99" s="23">
        <f>EXP(-LN(2)/25)*AV98+(1-EXP(-LN(2)/25))/(LN(2)/25)*Calculateur!AQ99*Calculateur!AS99*VLOOKUP('Données projet'!$B$10,Paramètres!$A$1:$I$89,3,0)*0.475*44/12</f>
        <v>7.0506308718957058</v>
      </c>
      <c r="AW99" s="23">
        <f>EXP(-LN(2)/2)*AW98+(1-EXP(-LN(2)/2))/(LN(2)/2)*AQ99*AT99*VLOOKUP('Données projet'!$B$10,Paramètres!$A$1:$I$89,3,0)*0.475*44/12</f>
        <v>5.0719111222900265E-9</v>
      </c>
      <c r="AX99" s="23">
        <f t="shared" si="60"/>
        <v>21.479653398402927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87.539629191511665</v>
      </c>
      <c r="T100" s="62">
        <f t="shared" si="88"/>
        <v>411.51686965858363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17.934231306589876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1.2923289440759155E-10</v>
      </c>
      <c r="AC100" s="24">
        <f t="shared" si="57"/>
        <v>17.934231306719109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1.1368683772161603E-13</v>
      </c>
      <c r="AJ100" s="14">
        <f>AI100*VLOOKUP('Données projet'!$B$10,Paramètres!$A$1:$I$89,3,0)*VLOOKUP('Données projet'!$B$10,Paramètres!$A$1:$I$89,5,0)</f>
        <v>6.7984728957526396E-14</v>
      </c>
      <c r="AK100" s="14">
        <f t="shared" si="89"/>
        <v>1.0682447123141398E-12</v>
      </c>
      <c r="AL100" s="22">
        <f t="shared" si="58"/>
        <v>1.978932943548152E-12</v>
      </c>
      <c r="AM100" s="62">
        <f t="shared" si="59"/>
        <v>293.3333333333353</v>
      </c>
      <c r="AN100" s="62">
        <f ca="1">AVERAGE(OFFSET($AM$3,0,0,'Données projet'!$E$10+1,1))-AVERAGE(OFFSET($H$3,0,0,'Données projet'!$E$10+1,1))</f>
        <v>187.13674266165236</v>
      </c>
      <c r="AO100" s="62">
        <f t="shared" si="90"/>
        <v>439.28159165815276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14.146078190624692</v>
      </c>
      <c r="AV100" s="23">
        <f>EXP(-LN(2)/25)*AV99+(1-EXP(-LN(2)/25))/(LN(2)/25)*Calculateur!AQ100*Calculateur!AS100*VLOOKUP('Données projet'!$B$10,Paramètres!$A$1:$I$89,3,0)*0.475*44/12</f>
        <v>6.8578309999271543</v>
      </c>
      <c r="AW100" s="23">
        <f>EXP(-LN(2)/2)*AW99+(1-EXP(-LN(2)/2))/(LN(2)/2)*AQ100*AT100*VLOOKUP('Données projet'!$B$10,Paramètres!$A$1:$I$89,3,0)*0.475*44/12</f>
        <v>3.5863827481467509E-9</v>
      </c>
      <c r="AX100" s="23">
        <f t="shared" si="60"/>
        <v>21.003909194138227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87.539629191511665</v>
      </c>
      <c r="T101" s="62">
        <f t="shared" si="88"/>
        <v>411.51686965858363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17.582551969468629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9.1381455987973039E-11</v>
      </c>
      <c r="AC101" s="24">
        <f t="shared" si="57"/>
        <v>17.582551969560011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1.1368683772161603E-13</v>
      </c>
      <c r="AJ101" s="14">
        <f>AI101*VLOOKUP('Données projet'!$B$10,Paramètres!$A$1:$I$89,3,0)*VLOOKUP('Données projet'!$B$10,Paramètres!$A$1:$I$89,5,0)</f>
        <v>6.7984728957526396E-14</v>
      </c>
      <c r="AK101" s="14">
        <f t="shared" si="89"/>
        <v>1.0682447123141398E-12</v>
      </c>
      <c r="AL101" s="22">
        <f t="shared" si="58"/>
        <v>1.978932943548152E-12</v>
      </c>
      <c r="AM101" s="62">
        <f t="shared" si="59"/>
        <v>293.3333333333353</v>
      </c>
      <c r="AN101" s="62">
        <f ca="1">AVERAGE(OFFSET($AM$3,0,0,'Données projet'!$E$10+1,1))-AVERAGE(OFFSET($H$3,0,0,'Données projet'!$E$10+1,1))</f>
        <v>187.13674266165236</v>
      </c>
      <c r="AO101" s="62">
        <f t="shared" si="90"/>
        <v>439.28159165815276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13.868682225562269</v>
      </c>
      <c r="AV101" s="23">
        <f>EXP(-LN(2)/25)*AV100+(1-EXP(-LN(2)/25))/(LN(2)/25)*Calculateur!AQ101*Calculateur!AS101*VLOOKUP('Données projet'!$B$10,Paramètres!$A$1:$I$89,3,0)*0.475*44/12</f>
        <v>6.6703032505964881</v>
      </c>
      <c r="AW101" s="23">
        <f>EXP(-LN(2)/2)*AW100+(1-EXP(-LN(2)/2))/(LN(2)/2)*AQ101*AT101*VLOOKUP('Données projet'!$B$10,Paramètres!$A$1:$I$89,3,0)*0.475*44/12</f>
        <v>2.5359555611450137E-9</v>
      </c>
      <c r="AX101" s="23">
        <f t="shared" si="60"/>
        <v>20.538985478694713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87.539629191511665</v>
      </c>
      <c r="T102" s="62">
        <f t="shared" si="88"/>
        <v>411.51686965858363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17.237768849645114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6.4616447203795773E-11</v>
      </c>
      <c r="AC102" s="24">
        <f t="shared" si="57"/>
        <v>17.237768849709731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1.1368683772161603E-13</v>
      </c>
      <c r="AJ102" s="14">
        <f>AI102*VLOOKUP('Données projet'!$B$10,Paramètres!$A$1:$I$89,3,0)*VLOOKUP('Données projet'!$B$10,Paramètres!$A$1:$I$89,5,0)</f>
        <v>6.7984728957526396E-14</v>
      </c>
      <c r="AK102" s="14">
        <f t="shared" si="89"/>
        <v>1.0682447123141398E-12</v>
      </c>
      <c r="AL102" s="22">
        <f t="shared" si="58"/>
        <v>1.978932943548152E-12</v>
      </c>
      <c r="AM102" s="62">
        <f t="shared" si="59"/>
        <v>293.3333333333353</v>
      </c>
      <c r="AN102" s="62">
        <f ca="1">AVERAGE(OFFSET($AM$3,0,0,'Données projet'!$E$10+1,1))-AVERAGE(OFFSET($H$3,0,0,'Données projet'!$E$10+1,1))</f>
        <v>187.13674266165236</v>
      </c>
      <c r="AO102" s="62">
        <f t="shared" si="90"/>
        <v>439.28159165815276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13.596725826179888</v>
      </c>
      <c r="AV102" s="23">
        <f>EXP(-LN(2)/25)*AV101+(1-EXP(-LN(2)/25))/(LN(2)/25)*Calculateur!AQ102*Calculateur!AS102*VLOOKUP('Données projet'!$B$10,Paramètres!$A$1:$I$89,3,0)*0.475*44/12</f>
        <v>6.4879034574329246</v>
      </c>
      <c r="AW102" s="23">
        <f>EXP(-LN(2)/2)*AW101+(1-EXP(-LN(2)/2))/(LN(2)/2)*AQ102*AT102*VLOOKUP('Données projet'!$B$10,Paramètres!$A$1:$I$89,3,0)*0.475*44/12</f>
        <v>1.7931913740733756E-9</v>
      </c>
      <c r="AX102" s="23">
        <f t="shared" si="60"/>
        <v>20.084629285406006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87.539629191511665</v>
      </c>
      <c r="T103" s="62">
        <f t="shared" si="88"/>
        <v>411.51686965858363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16.899746716504399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4.5690727993986519E-11</v>
      </c>
      <c r="AC103" s="24">
        <f t="shared" si="57"/>
        <v>16.899746716550091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1.1368683772161603E-13</v>
      </c>
      <c r="AJ103" s="14">
        <f>AI103*VLOOKUP('Données projet'!$B$10,Paramètres!$A$1:$I$89,3,0)*VLOOKUP('Données projet'!$B$10,Paramètres!$A$1:$I$89,5,0)</f>
        <v>6.7984728957526396E-14</v>
      </c>
      <c r="AK103" s="14">
        <f t="shared" si="89"/>
        <v>1.0682447123141398E-12</v>
      </c>
      <c r="AL103" s="22">
        <f t="shared" si="58"/>
        <v>1.978932943548152E-12</v>
      </c>
      <c r="AM103" s="62">
        <f t="shared" si="59"/>
        <v>293.3333333333353</v>
      </c>
      <c r="AN103" s="62">
        <f ca="1">AVERAGE(OFFSET($AM$3,0,0,'Données projet'!$E$10+1,1))-AVERAGE(OFFSET($H$3,0,0,'Données projet'!$E$10+1,1))</f>
        <v>187.13674266165236</v>
      </c>
      <c r="AO103" s="62">
        <f t="shared" si="90"/>
        <v>439.28159165815276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13.330102325912371</v>
      </c>
      <c r="AV103" s="23">
        <f>EXP(-LN(2)/25)*AV102+(1-EXP(-LN(2)/25))/(LN(2)/25)*Calculateur!AQ103*Calculateur!AS103*VLOOKUP('Données projet'!$B$10,Paramètres!$A$1:$I$89,3,0)*0.475*44/12</f>
        <v>6.310491396205407</v>
      </c>
      <c r="AW103" s="23">
        <f>EXP(-LN(2)/2)*AW102+(1-EXP(-LN(2)/2))/(LN(2)/2)*AQ103*AT103*VLOOKUP('Données projet'!$B$10,Paramètres!$A$1:$I$89,3,0)*0.475*44/12</f>
        <v>1.267977780572507E-9</v>
      </c>
      <c r="AX103" s="23">
        <f t="shared" si="60"/>
        <v>19.640593723385756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87.539629191511665</v>
      </c>
      <c r="T104" s="62">
        <f t="shared" si="88"/>
        <v>411.51686965858363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16.568352991221431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3.2308223601897887E-11</v>
      </c>
      <c r="AC104" s="24">
        <f t="shared" si="57"/>
        <v>16.56835299125374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6.7984728957526396E-14</v>
      </c>
      <c r="AK104" s="14">
        <f t="shared" si="89"/>
        <v>1.0682447123141398E-12</v>
      </c>
      <c r="AL104" s="22">
        <f t="shared" si="58"/>
        <v>1.978932943548152E-12</v>
      </c>
      <c r="AM104" s="62">
        <f t="shared" si="59"/>
        <v>293.3333333333353</v>
      </c>
      <c r="AN104" s="62">
        <f ca="1">AVERAGE(OFFSET($AM$3,0,0,'Données projet'!$E$10+1,1))-AVERAGE(OFFSET($H$3,0,0,'Données projet'!$E$10+1,1))</f>
        <v>187.13674266165236</v>
      </c>
      <c r="AO104" s="62">
        <f t="shared" si="90"/>
        <v>439.28159165815276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13.068707149860822</v>
      </c>
      <c r="AV104" s="23">
        <f>EXP(-LN(2)/25)*AV103+(1-EXP(-LN(2)/25))/(LN(2)/25)*Calculateur!AQ104*Calculateur!AS104*VLOOKUP('Données projet'!$B$10,Paramètres!$A$1:$I$89,3,0)*0.475*44/12</f>
        <v>6.13793067712185</v>
      </c>
      <c r="AW104" s="23">
        <f>EXP(-LN(2)/2)*AW103+(1-EXP(-LN(2)/2))/(LN(2)/2)*AQ104*AT104*VLOOKUP('Données projet'!$B$10,Paramètres!$A$1:$I$89,3,0)*0.475*44/12</f>
        <v>8.9659568703668793E-10</v>
      </c>
      <c r="AX104" s="23">
        <f t="shared" si="60"/>
        <v>19.206637827879266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87.539629191511665</v>
      </c>
      <c r="T105" s="62">
        <f t="shared" si="88"/>
        <v>411.51686965858363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16.243457694761048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2.284536399699326E-11</v>
      </c>
      <c r="AC105" s="24">
        <f t="shared" si="57"/>
        <v>16.243457694783892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6.7984728957526396E-14</v>
      </c>
      <c r="AK105" s="14">
        <f t="shared" si="89"/>
        <v>1.0682447123141398E-12</v>
      </c>
      <c r="AL105" s="22">
        <f t="shared" si="58"/>
        <v>1.978932943548152E-12</v>
      </c>
      <c r="AM105" s="62">
        <f t="shared" si="59"/>
        <v>293.3333333333353</v>
      </c>
      <c r="AN105" s="62">
        <f ca="1">AVERAGE(OFFSET($AM$3,0,0,'Données projet'!$E$10+1,1))-AVERAGE(OFFSET($H$3,0,0,'Données projet'!$E$10+1,1))</f>
        <v>187.13674266165236</v>
      </c>
      <c r="AO105" s="62">
        <f t="shared" si="90"/>
        <v>439.28159165815276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12.812437773776329</v>
      </c>
      <c r="AV105" s="23">
        <f>EXP(-LN(2)/25)*AV104+(1-EXP(-LN(2)/25))/(LN(2)/25)*Calculateur!AQ105*Calculateur!AS105*VLOOKUP('Données projet'!$B$10,Paramètres!$A$1:$I$89,3,0)*0.475*44/12</f>
        <v>5.9700886399762068</v>
      </c>
      <c r="AW105" s="23">
        <f>EXP(-LN(2)/2)*AW104+(1-EXP(-LN(2)/2))/(LN(2)/2)*AQ105*AT105*VLOOKUP('Données projet'!$B$10,Paramètres!$A$1:$I$89,3,0)*0.475*44/12</f>
        <v>6.3398889028625362E-10</v>
      </c>
      <c r="AX105" s="23">
        <f t="shared" si="60"/>
        <v>18.782526414386524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87.539629191511665</v>
      </c>
      <c r="T106" s="62">
        <f t="shared" si="88"/>
        <v>411.51686965858363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15.924933396897691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1.6154111800948943E-11</v>
      </c>
      <c r="AC106" s="24">
        <f t="shared" si="57"/>
        <v>15.924933396913845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6.7984728957526396E-14</v>
      </c>
      <c r="AK106" s="14">
        <f t="shared" si="89"/>
        <v>1.0682447123141398E-12</v>
      </c>
      <c r="AL106" s="22">
        <f t="shared" si="58"/>
        <v>1.978932943548152E-12</v>
      </c>
      <c r="AM106" s="62">
        <f t="shared" si="59"/>
        <v>293.3333333333353</v>
      </c>
      <c r="AN106" s="62">
        <f ca="1">AVERAGE(OFFSET($AM$3,0,0,'Données projet'!$E$10+1,1))-AVERAGE(OFFSET($H$3,0,0,'Données projet'!$E$10+1,1))</f>
        <v>187.13674266165236</v>
      </c>
      <c r="AO106" s="62">
        <f t="shared" si="90"/>
        <v>439.28159165815276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12.561193683847968</v>
      </c>
      <c r="AV106" s="23">
        <f>EXP(-LN(2)/25)*AV105+(1-EXP(-LN(2)/25))/(LN(2)/25)*Calculateur!AQ106*Calculateur!AS106*VLOOKUP('Données projet'!$B$10,Paramètres!$A$1:$I$89,3,0)*0.475*44/12</f>
        <v>5.806836252162741</v>
      </c>
      <c r="AW106" s="23">
        <f>EXP(-LN(2)/2)*AW105+(1-EXP(-LN(2)/2))/(LN(2)/2)*AQ106*AT106*VLOOKUP('Données projet'!$B$10,Paramètres!$A$1:$I$89,3,0)*0.475*44/12</f>
        <v>4.4829784351834407E-10</v>
      </c>
      <c r="AX106" s="23">
        <f t="shared" si="60"/>
        <v>18.368029936459006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87.539629191511665</v>
      </c>
      <c r="T107" s="62">
        <f t="shared" si="88"/>
        <v>411.51686965858363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15.612655166234795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1.142268199849663E-11</v>
      </c>
      <c r="AC107" s="24">
        <f t="shared" si="57"/>
        <v>15.612655166246217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6.7984728957526396E-14</v>
      </c>
      <c r="AK107" s="14">
        <f t="shared" si="89"/>
        <v>1.0682447123141398E-12</v>
      </c>
      <c r="AL107" s="22">
        <f t="shared" si="58"/>
        <v>1.978932943548152E-12</v>
      </c>
      <c r="AM107" s="62">
        <f t="shared" si="59"/>
        <v>293.3333333333353</v>
      </c>
      <c r="AN107" s="62">
        <f ca="1">AVERAGE(OFFSET($AM$3,0,0,'Données projet'!$E$10+1,1))-AVERAGE(OFFSET($H$3,0,0,'Données projet'!$E$10+1,1))</f>
        <v>187.13674266165236</v>
      </c>
      <c r="AO107" s="62">
        <f t="shared" si="90"/>
        <v>439.28159165815276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12.314876337279339</v>
      </c>
      <c r="AV107" s="23">
        <f>EXP(-LN(2)/25)*AV106+(1-EXP(-LN(2)/25))/(LN(2)/25)*Calculateur!AQ107*Calculateur!AS107*VLOOKUP('Données projet'!$B$10,Paramètres!$A$1:$I$89,3,0)*0.475*44/12</f>
        <v>5.6480480094791039</v>
      </c>
      <c r="AW107" s="23">
        <f>EXP(-LN(2)/2)*AW106+(1-EXP(-LN(2)/2))/(LN(2)/2)*AQ107*AT107*VLOOKUP('Données projet'!$B$10,Paramètres!$A$1:$I$89,3,0)*0.475*44/12</f>
        <v>3.1699444514312686E-10</v>
      </c>
      <c r="AX107" s="23">
        <f t="shared" si="60"/>
        <v>17.962924347075436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87.539629191511665</v>
      </c>
      <c r="T108" s="62">
        <f t="shared" si="88"/>
        <v>411.51686965858363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15.306500521204285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8.0770559004744717E-12</v>
      </c>
      <c r="AC108" s="24">
        <f t="shared" si="57"/>
        <v>15.306500521212362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6.7984728957526396E-14</v>
      </c>
      <c r="AK108" s="14">
        <f t="shared" si="89"/>
        <v>1.0682447123141398E-12</v>
      </c>
      <c r="AL108" s="22">
        <f t="shared" si="58"/>
        <v>1.978932943548152E-12</v>
      </c>
      <c r="AM108" s="62">
        <f t="shared" si="59"/>
        <v>293.3333333333353</v>
      </c>
      <c r="AN108" s="62">
        <f ca="1">AVERAGE(OFFSET($AM$3,0,0,'Données projet'!$E$10+1,1))-AVERAGE(OFFSET($H$3,0,0,'Données projet'!$E$10+1,1))</f>
        <v>187.13674266165236</v>
      </c>
      <c r="AO108" s="62">
        <f t="shared" si="90"/>
        <v>439.28159165815276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12.073389123638174</v>
      </c>
      <c r="AV108" s="23">
        <f>EXP(-LN(2)/25)*AV107+(1-EXP(-LN(2)/25))/(LN(2)/25)*Calculateur!AQ108*Calculateur!AS108*VLOOKUP('Données projet'!$B$10,Paramètres!$A$1:$I$89,3,0)*0.475*44/12</f>
        <v>5.4936018396419621</v>
      </c>
      <c r="AW108" s="23">
        <f>EXP(-LN(2)/2)*AW107+(1-EXP(-LN(2)/2))/(LN(2)/2)*AQ108*AT108*VLOOKUP('Données projet'!$B$10,Paramètres!$A$1:$I$89,3,0)*0.475*44/12</f>
        <v>2.2414892175917206E-10</v>
      </c>
      <c r="AX108" s="23">
        <f t="shared" si="60"/>
        <v>17.566990963504285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87.539629191511665</v>
      </c>
      <c r="T109" s="62">
        <f t="shared" si="88"/>
        <v>411.51686965858363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15.006349382026929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5.7113409992483149E-12</v>
      </c>
      <c r="AC109" s="24">
        <f t="shared" si="57"/>
        <v>15.00634938203264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6.7984728957526396E-14</v>
      </c>
      <c r="AK109" s="14">
        <f t="shared" si="89"/>
        <v>1.0682447123141398E-12</v>
      </c>
      <c r="AL109" s="22">
        <f t="shared" si="58"/>
        <v>1.978932943548152E-12</v>
      </c>
      <c r="AM109" s="62">
        <f t="shared" si="59"/>
        <v>293.3333333333353</v>
      </c>
      <c r="AN109" s="62">
        <f ca="1">AVERAGE(OFFSET($AM$3,0,0,'Données projet'!$E$10+1,1))-AVERAGE(OFFSET($H$3,0,0,'Données projet'!$E$10+1,1))</f>
        <v>187.13674266165236</v>
      </c>
      <c r="AO109" s="62">
        <f t="shared" si="90"/>
        <v>439.28159165815276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11.836637326963857</v>
      </c>
      <c r="AV109" s="23">
        <f>EXP(-LN(2)/25)*AV108+(1-EXP(-LN(2)/25))/(LN(2)/25)*Calculateur!AQ109*Calculateur!AS109*VLOOKUP('Données projet'!$B$10,Paramètres!$A$1:$I$89,3,0)*0.475*44/12</f>
        <v>5.343379008440988</v>
      </c>
      <c r="AW109" s="23">
        <f>EXP(-LN(2)/2)*AW108+(1-EXP(-LN(2)/2))/(LN(2)/2)*AQ109*AT109*VLOOKUP('Données projet'!$B$10,Paramètres!$A$1:$I$89,3,0)*0.475*44/12</f>
        <v>1.5849722257156346E-10</v>
      </c>
      <c r="AX109" s="23">
        <f t="shared" si="60"/>
        <v>17.180016335563341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87.539629191511665</v>
      </c>
      <c r="T110" s="62">
        <f t="shared" si="88"/>
        <v>411.51686965858363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14.712084023614723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4.0385279502372358E-12</v>
      </c>
      <c r="AC110" s="24">
        <f t="shared" si="57"/>
        <v>14.712084023618761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6.7984728957526396E-14</v>
      </c>
      <c r="AK110" s="14">
        <f t="shared" si="89"/>
        <v>1.0682447123141398E-12</v>
      </c>
      <c r="AL110" s="22">
        <f t="shared" si="58"/>
        <v>1.978932943548152E-12</v>
      </c>
      <c r="AM110" s="62">
        <f t="shared" si="59"/>
        <v>293.3333333333353</v>
      </c>
      <c r="AN110" s="62">
        <f ca="1">AVERAGE(OFFSET($AM$3,0,0,'Données projet'!$E$10+1,1))-AVERAGE(OFFSET($H$3,0,0,'Données projet'!$E$10+1,1))</f>
        <v>187.13674266165236</v>
      </c>
      <c r="AO110" s="62">
        <f t="shared" si="90"/>
        <v>439.28159165815276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11.604528088617984</v>
      </c>
      <c r="AV110" s="23">
        <f>EXP(-LN(2)/25)*AV109+(1-EXP(-LN(2)/25))/(LN(2)/25)*Calculateur!AQ110*Calculateur!AS110*VLOOKUP('Données projet'!$B$10,Paramètres!$A$1:$I$89,3,0)*0.475*44/12</f>
        <v>5.1972640284590792</v>
      </c>
      <c r="AW110" s="23">
        <f>EXP(-LN(2)/2)*AW109+(1-EXP(-LN(2)/2))/(LN(2)/2)*AQ110*AT110*VLOOKUP('Données projet'!$B$10,Paramètres!$A$1:$I$89,3,0)*0.475*44/12</f>
        <v>1.1207446087958606E-10</v>
      </c>
      <c r="AX110" s="23">
        <f t="shared" si="60"/>
        <v>16.801792117189137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87.539629191511665</v>
      </c>
      <c r="T111" s="62">
        <f t="shared" si="88"/>
        <v>411.51686965858363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14.423589029396835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2.8556704996241575E-12</v>
      </c>
      <c r="AC111" s="24">
        <f t="shared" si="57"/>
        <v>14.423589029399691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6.7984728957526396E-14</v>
      </c>
      <c r="AK111" s="14">
        <f t="shared" si="89"/>
        <v>1.0682447123141398E-12</v>
      </c>
      <c r="AL111" s="22">
        <f t="shared" si="58"/>
        <v>1.978932943548152E-12</v>
      </c>
      <c r="AM111" s="62">
        <f t="shared" si="59"/>
        <v>293.3333333333353</v>
      </c>
      <c r="AN111" s="62">
        <f ca="1">AVERAGE(OFFSET($AM$3,0,0,'Données projet'!$E$10+1,1))-AVERAGE(OFFSET($H$3,0,0,'Données projet'!$E$10+1,1))</f>
        <v>187.13674266165236</v>
      </c>
      <c r="AO111" s="62">
        <f t="shared" si="90"/>
        <v>439.28159165815276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11.376970370863418</v>
      </c>
      <c r="AV111" s="23">
        <f>EXP(-LN(2)/25)*AV110+(1-EXP(-LN(2)/25))/(LN(2)/25)*Calculateur!AQ111*Calculateur!AS111*VLOOKUP('Données projet'!$B$10,Paramètres!$A$1:$I$89,3,0)*0.475*44/12</f>
        <v>5.0551445702886291</v>
      </c>
      <c r="AW111" s="23">
        <f>EXP(-LN(2)/2)*AW110+(1-EXP(-LN(2)/2))/(LN(2)/2)*AQ111*AT111*VLOOKUP('Données projet'!$B$10,Paramètres!$A$1:$I$89,3,0)*0.475*44/12</f>
        <v>7.9248611285781742E-11</v>
      </c>
      <c r="AX111" s="23">
        <f t="shared" si="60"/>
        <v>16.432114941231298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87.539629191511665</v>
      </c>
      <c r="T112" s="62">
        <f t="shared" si="88"/>
        <v>411.51686965858363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14.140751246050987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2.0192639751186179E-12</v>
      </c>
      <c r="AC112" s="24">
        <f t="shared" si="57"/>
        <v>14.140751246053007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6.7984728957526396E-14</v>
      </c>
      <c r="AK112" s="14">
        <f t="shared" si="89"/>
        <v>1.0682447123141398E-12</v>
      </c>
      <c r="AL112" s="22">
        <f t="shared" si="58"/>
        <v>1.978932943548152E-12</v>
      </c>
      <c r="AM112" s="62">
        <f t="shared" si="59"/>
        <v>293.3333333333353</v>
      </c>
      <c r="AN112" s="62">
        <f ca="1">AVERAGE(OFFSET($AM$3,0,0,'Données projet'!$E$10+1,1))-AVERAGE(OFFSET($H$3,0,0,'Données projet'!$E$10+1,1))</f>
        <v>187.13674266165236</v>
      </c>
      <c r="AO112" s="62">
        <f t="shared" si="90"/>
        <v>439.28159165815276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11.153874921157517</v>
      </c>
      <c r="AV112" s="23">
        <f>EXP(-LN(2)/25)*AV111+(1-EXP(-LN(2)/25))/(LN(2)/25)*Calculateur!AQ112*Calculateur!AS112*VLOOKUP('Données projet'!$B$10,Paramètres!$A$1:$I$89,3,0)*0.475*44/12</f>
        <v>4.9169113761755874</v>
      </c>
      <c r="AW112" s="23">
        <f>EXP(-LN(2)/2)*AW111+(1-EXP(-LN(2)/2))/(LN(2)/2)*AQ112*AT112*VLOOKUP('Données projet'!$B$10,Paramètres!$A$1:$I$89,3,0)*0.475*44/12</f>
        <v>5.6037230439793034E-11</v>
      </c>
      <c r="AX112" s="23">
        <f t="shared" si="60"/>
        <v>16.070786297389141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87.539629191511665</v>
      </c>
      <c r="T113" s="62">
        <f t="shared" si="88"/>
        <v>411.51686965858363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13.86345973912254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1.4278352498120787E-12</v>
      </c>
      <c r="AC113" s="24">
        <f t="shared" si="57"/>
        <v>13.863459739123968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6.7984728957526396E-14</v>
      </c>
      <c r="AK113" s="14">
        <f t="shared" si="89"/>
        <v>1.0682447123141398E-12</v>
      </c>
      <c r="AL113" s="22">
        <f t="shared" si="58"/>
        <v>1.978932943548152E-12</v>
      </c>
      <c r="AM113" s="62">
        <f t="shared" si="59"/>
        <v>293.3333333333353</v>
      </c>
      <c r="AN113" s="62">
        <f ca="1">AVERAGE(OFFSET($AM$3,0,0,'Données projet'!$E$10+1,1))-AVERAGE(OFFSET($H$3,0,0,'Données projet'!$E$10+1,1))</f>
        <v>187.13674266165236</v>
      </c>
      <c r="AO113" s="62">
        <f t="shared" si="90"/>
        <v>439.28159165815276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10.935154237145561</v>
      </c>
      <c r="AV113" s="23">
        <f>EXP(-LN(2)/25)*AV112+(1-EXP(-LN(2)/25))/(LN(2)/25)*Calculateur!AQ113*Calculateur!AS113*VLOOKUP('Données projet'!$B$10,Paramètres!$A$1:$I$89,3,0)*0.475*44/12</f>
        <v>4.7824581760249343</v>
      </c>
      <c r="AW113" s="23">
        <f>EXP(-LN(2)/2)*AW112+(1-EXP(-LN(2)/2))/(LN(2)/2)*AQ113*AT113*VLOOKUP('Données projet'!$B$10,Paramètres!$A$1:$I$89,3,0)*0.475*44/12</f>
        <v>3.9624305642890877E-11</v>
      </c>
      <c r="AX113" s="23">
        <f t="shared" si="60"/>
        <v>15.717612413210121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87.539629191511665</v>
      </c>
      <c r="T114" s="62">
        <f t="shared" si="88"/>
        <v>411.51686965858363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13.591605749513839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1.009631987559309E-12</v>
      </c>
      <c r="AC114" s="24">
        <f t="shared" si="57"/>
        <v>13.591605749514848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6.7984728957526396E-14</v>
      </c>
      <c r="AK114" s="14">
        <f t="shared" si="89"/>
        <v>1.0682447123141398E-12</v>
      </c>
      <c r="AL114" s="22">
        <f t="shared" si="58"/>
        <v>1.978932943548152E-12</v>
      </c>
      <c r="AM114" s="62">
        <f t="shared" si="59"/>
        <v>293.3333333333353</v>
      </c>
      <c r="AN114" s="62">
        <f ca="1">AVERAGE(OFFSET($AM$3,0,0,'Données projet'!$E$10+1,1))-AVERAGE(OFFSET($H$3,0,0,'Données projet'!$E$10+1,1))</f>
        <v>187.13674266165236</v>
      </c>
      <c r="AO114" s="62">
        <f t="shared" si="90"/>
        <v>439.28159165815276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10.720722532340634</v>
      </c>
      <c r="AV114" s="23">
        <f>EXP(-LN(2)/25)*AV113+(1-EXP(-LN(2)/25))/(LN(2)/25)*Calculateur!AQ114*Calculateur!AS114*VLOOKUP('Données projet'!$B$10,Paramètres!$A$1:$I$89,3,0)*0.475*44/12</f>
        <v>4.6516816057029873</v>
      </c>
      <c r="AW114" s="23">
        <f>EXP(-LN(2)/2)*AW113+(1-EXP(-LN(2)/2))/(LN(2)/2)*AQ114*AT114*VLOOKUP('Données projet'!$B$10,Paramètres!$A$1:$I$89,3,0)*0.475*44/12</f>
        <v>2.801861521989652E-11</v>
      </c>
      <c r="AX114" s="23">
        <f t="shared" si="60"/>
        <v>15.372404138071639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87.539629191511665</v>
      </c>
      <c r="T115" s="62">
        <f t="shared" si="88"/>
        <v>411.51686965858363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13.325082650826804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7.1391762490603936E-13</v>
      </c>
      <c r="AC115" s="24">
        <f t="shared" si="57"/>
        <v>13.325082650827518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6.7984728957526396E-14</v>
      </c>
      <c r="AK115" s="14">
        <f t="shared" si="89"/>
        <v>1.0682447123141398E-12</v>
      </c>
      <c r="AL115" s="22">
        <f t="shared" si="58"/>
        <v>1.978932943548152E-12</v>
      </c>
      <c r="AM115" s="62">
        <f t="shared" si="59"/>
        <v>293.3333333333353</v>
      </c>
      <c r="AN115" s="62">
        <f ca="1">AVERAGE(OFFSET($AM$3,0,0,'Données projet'!$E$10+1,1))-AVERAGE(OFFSET($H$3,0,0,'Données projet'!$E$10+1,1))</f>
        <v>187.13674266165236</v>
      </c>
      <c r="AO115" s="62">
        <f t="shared" si="90"/>
        <v>439.28159165815276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10.510495702476506</v>
      </c>
      <c r="AV115" s="23">
        <f>EXP(-LN(2)/25)*AV114+(1-EXP(-LN(2)/25))/(LN(2)/25)*Calculateur!AQ115*Calculateur!AS115*VLOOKUP('Données projet'!$B$10,Paramètres!$A$1:$I$89,3,0)*0.475*44/12</f>
        <v>4.5244811275737353</v>
      </c>
      <c r="AW115" s="23">
        <f>EXP(-LN(2)/2)*AW114+(1-EXP(-LN(2)/2))/(LN(2)/2)*AQ115*AT115*VLOOKUP('Données projet'!$B$10,Paramètres!$A$1:$I$89,3,0)*0.475*44/12</f>
        <v>1.9812152821445439E-11</v>
      </c>
      <c r="AX115" s="23">
        <f t="shared" si="60"/>
        <v>15.034976830070052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87.539629191511665</v>
      </c>
      <c r="T116" s="62">
        <f t="shared" si="88"/>
        <v>411.51686965858363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13.063785907541984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5.0481599377965448E-13</v>
      </c>
      <c r="AC116" s="24">
        <f t="shared" si="57"/>
        <v>13.063785907542488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6.7984728957526396E-14</v>
      </c>
      <c r="AK116" s="14">
        <f t="shared" si="89"/>
        <v>1.0682447123141398E-12</v>
      </c>
      <c r="AL116" s="22">
        <f t="shared" si="58"/>
        <v>1.978932943548152E-12</v>
      </c>
      <c r="AM116" s="62">
        <f t="shared" si="59"/>
        <v>293.3333333333353</v>
      </c>
      <c r="AN116" s="62">
        <f ca="1">AVERAGE(OFFSET($AM$3,0,0,'Données projet'!$E$10+1,1))-AVERAGE(OFFSET($H$3,0,0,'Données projet'!$E$10+1,1))</f>
        <v>187.13674266165236</v>
      </c>
      <c r="AO116" s="62">
        <f t="shared" si="90"/>
        <v>439.28159165815276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10.304391292520309</v>
      </c>
      <c r="AV116" s="23">
        <f>EXP(-LN(2)/25)*AV115+(1-EXP(-LN(2)/25))/(LN(2)/25)*Calculateur!AQ116*Calculateur!AS116*VLOOKUP('Données projet'!$B$10,Paramètres!$A$1:$I$89,3,0)*0.475*44/12</f>
        <v>4.4007589532081095</v>
      </c>
      <c r="AW116" s="23">
        <f>EXP(-LN(2)/2)*AW115+(1-EXP(-LN(2)/2))/(LN(2)/2)*AQ116*AT116*VLOOKUP('Données projet'!$B$10,Paramètres!$A$1:$I$89,3,0)*0.475*44/12</f>
        <v>1.400930760994826E-11</v>
      </c>
      <c r="AX116" s="23">
        <f t="shared" si="60"/>
        <v>14.705150245742429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87.539629191511665</v>
      </c>
      <c r="T117" s="62">
        <f t="shared" si="88"/>
        <v>411.51686965858363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12.807613034017702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3.5695881245301968E-13</v>
      </c>
      <c r="AC117" s="24">
        <f t="shared" si="57"/>
        <v>12.807613034018059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6.7984728957526396E-14</v>
      </c>
      <c r="AK117" s="14">
        <f t="shared" si="89"/>
        <v>1.0682447123141398E-12</v>
      </c>
      <c r="AL117" s="22">
        <f t="shared" si="58"/>
        <v>1.978932943548152E-12</v>
      </c>
      <c r="AM117" s="62">
        <f t="shared" si="59"/>
        <v>293.3333333333353</v>
      </c>
      <c r="AN117" s="62">
        <f ca="1">AVERAGE(OFFSET($AM$3,0,0,'Données projet'!$E$10+1,1))-AVERAGE(OFFSET($H$3,0,0,'Données projet'!$E$10+1,1))</f>
        <v>187.13674266165236</v>
      </c>
      <c r="AO117" s="62">
        <f t="shared" si="90"/>
        <v>439.28159165815276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10.102328464332077</v>
      </c>
      <c r="AV117" s="23">
        <f>EXP(-LN(2)/25)*AV116+(1-EXP(-LN(2)/25))/(LN(2)/25)*Calculateur!AQ117*Calculateur!AS117*VLOOKUP('Données projet'!$B$10,Paramètres!$A$1:$I$89,3,0)*0.475*44/12</f>
        <v>4.2804199682067781</v>
      </c>
      <c r="AW117" s="23">
        <f>EXP(-LN(2)/2)*AW116+(1-EXP(-LN(2)/2))/(LN(2)/2)*AQ117*AT117*VLOOKUP('Données projet'!$B$10,Paramètres!$A$1:$I$89,3,0)*0.475*44/12</f>
        <v>9.9060764107227193E-12</v>
      </c>
      <c r="AX117" s="23">
        <f t="shared" si="60"/>
        <v>14.382748432548761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87.539629191511665</v>
      </c>
      <c r="T118" s="62">
        <f t="shared" si="88"/>
        <v>411.51686965858363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12.556463554293208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2.5240799688982724E-13</v>
      </c>
      <c r="AC118" s="24">
        <f t="shared" si="57"/>
        <v>12.55646355429346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6.7984728957526396E-14</v>
      </c>
      <c r="AK118" s="14">
        <f t="shared" si="89"/>
        <v>1.0682447123141398E-12</v>
      </c>
      <c r="AL118" s="22">
        <f t="shared" si="58"/>
        <v>1.978932943548152E-12</v>
      </c>
      <c r="AM118" s="62">
        <f t="shared" si="59"/>
        <v>293.3333333333353</v>
      </c>
      <c r="AN118" s="62">
        <f ca="1">AVERAGE(OFFSET($AM$3,0,0,'Données projet'!$E$10+1,1))-AVERAGE(OFFSET($H$3,0,0,'Données projet'!$E$10+1,1))</f>
        <v>187.13674266165236</v>
      </c>
      <c r="AO118" s="62">
        <f t="shared" si="90"/>
        <v>439.28159165815276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9.9042279649584604</v>
      </c>
      <c r="AV118" s="23">
        <f>EXP(-LN(2)/25)*AV117+(1-EXP(-LN(2)/25))/(LN(2)/25)*Calculateur!AQ118*Calculateur!AS118*VLOOKUP('Données projet'!$B$10,Paramètres!$A$1:$I$89,3,0)*0.475*44/12</f>
        <v>4.1633716590786607</v>
      </c>
      <c r="AW118" s="23">
        <f>EXP(-LN(2)/2)*AW117+(1-EXP(-LN(2)/2))/(LN(2)/2)*AQ118*AT118*VLOOKUP('Données projet'!$B$10,Paramètres!$A$1:$I$89,3,0)*0.475*44/12</f>
        <v>7.0046538049741301E-12</v>
      </c>
      <c r="AX118" s="23">
        <f t="shared" si="60"/>
        <v>14.067599624044126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87.539629191511665</v>
      </c>
      <c r="T119" s="62">
        <f t="shared" si="88"/>
        <v>411.51686965858363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12.310238962680053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1.7847940622650984E-13</v>
      </c>
      <c r="AC119" s="24">
        <f t="shared" si="57"/>
        <v>12.310238962680231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6.7984728957526396E-14</v>
      </c>
      <c r="AK119" s="14">
        <f t="shared" si="89"/>
        <v>1.0682447123141398E-12</v>
      </c>
      <c r="AL119" s="22">
        <f t="shared" si="58"/>
        <v>1.978932943548152E-12</v>
      </c>
      <c r="AM119" s="62">
        <f t="shared" si="59"/>
        <v>293.3333333333353</v>
      </c>
      <c r="AN119" s="62">
        <f ca="1">AVERAGE(OFFSET($AM$3,0,0,'Données projet'!$E$10+1,1))-AVERAGE(OFFSET($H$3,0,0,'Données projet'!$E$10+1,1))</f>
        <v>187.13674266165236</v>
      </c>
      <c r="AO119" s="62">
        <f t="shared" si="90"/>
        <v>439.28159165815276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9.7100120955481852</v>
      </c>
      <c r="AV119" s="23">
        <f>EXP(-LN(2)/25)*AV118+(1-EXP(-LN(2)/25))/(LN(2)/25)*Calculateur!AQ119*Calculateur!AS119*VLOOKUP('Données projet'!$B$10,Paramètres!$A$1:$I$89,3,0)*0.475*44/12</f>
        <v>4.0495240421189544</v>
      </c>
      <c r="AW119" s="23">
        <f>EXP(-LN(2)/2)*AW118+(1-EXP(-LN(2)/2))/(LN(2)/2)*AQ119*AT119*VLOOKUP('Données projet'!$B$10,Paramètres!$A$1:$I$89,3,0)*0.475*44/12</f>
        <v>4.9530382053613597E-12</v>
      </c>
      <c r="AX119" s="23">
        <f t="shared" si="60"/>
        <v>13.759536137672093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87.539629191511665</v>
      </c>
      <c r="T120" s="62">
        <f t="shared" si="88"/>
        <v>411.51686965858363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12.068842685126262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1.2620399844491362E-13</v>
      </c>
      <c r="AC120" s="24">
        <f t="shared" si="57"/>
        <v>12.068842685126388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6.7984728957526396E-14</v>
      </c>
      <c r="AK120" s="14">
        <f t="shared" si="89"/>
        <v>1.0682447123141398E-12</v>
      </c>
      <c r="AL120" s="22">
        <f t="shared" si="58"/>
        <v>1.978932943548152E-12</v>
      </c>
      <c r="AM120" s="62">
        <f t="shared" si="59"/>
        <v>293.3333333333353</v>
      </c>
      <c r="AN120" s="62">
        <f ca="1">AVERAGE(OFFSET($AM$3,0,0,'Données projet'!$E$10+1,1))-AVERAGE(OFFSET($H$3,0,0,'Données projet'!$E$10+1,1))</f>
        <v>187.13674266165236</v>
      </c>
      <c r="AO120" s="62">
        <f t="shared" si="90"/>
        <v>439.28159165815276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9.5196046808770625</v>
      </c>
      <c r="AV120" s="23">
        <f>EXP(-LN(2)/25)*AV119+(1-EXP(-LN(2)/25))/(LN(2)/25)*Calculateur!AQ120*Calculateur!AS120*VLOOKUP('Données projet'!$B$10,Paramètres!$A$1:$I$89,3,0)*0.475*44/12</f>
        <v>3.9387895942319977</v>
      </c>
      <c r="AW120" s="23">
        <f>EXP(-LN(2)/2)*AW119+(1-EXP(-LN(2)/2))/(LN(2)/2)*AQ120*AT120*VLOOKUP('Données projet'!$B$10,Paramètres!$A$1:$I$89,3,0)*0.475*44/12</f>
        <v>3.502326902487065E-12</v>
      </c>
      <c r="AX120" s="23">
        <f t="shared" si="60"/>
        <v>13.458394275112564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87.539629191511665</v>
      </c>
      <c r="T121" s="62">
        <f t="shared" si="88"/>
        <v>411.51686965858363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11.832180041338109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8.9239703113254921E-14</v>
      </c>
      <c r="AC121" s="24">
        <f t="shared" si="57"/>
        <v>11.832180041338198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6.7984728957526396E-14</v>
      </c>
      <c r="AK121" s="14">
        <f t="shared" si="89"/>
        <v>1.0682447123141398E-12</v>
      </c>
      <c r="AL121" s="22">
        <f t="shared" si="58"/>
        <v>1.978932943548152E-12</v>
      </c>
      <c r="AM121" s="62">
        <f t="shared" si="59"/>
        <v>293.3333333333353</v>
      </c>
      <c r="AN121" s="62">
        <f ca="1">AVERAGE(OFFSET($AM$3,0,0,'Données projet'!$E$10+1,1))-AVERAGE(OFFSET($H$3,0,0,'Données projet'!$E$10+1,1))</f>
        <v>187.13674266165236</v>
      </c>
      <c r="AO121" s="62">
        <f t="shared" si="90"/>
        <v>439.28159165815276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9.3329310394705853</v>
      </c>
      <c r="AV121" s="23">
        <f>EXP(-LN(2)/25)*AV120+(1-EXP(-LN(2)/25))/(LN(2)/25)*Calculateur!AQ121*Calculateur!AS121*VLOOKUP('Données projet'!$B$10,Paramètres!$A$1:$I$89,3,0)*0.475*44/12</f>
        <v>3.831083185645781</v>
      </c>
      <c r="AW121" s="23">
        <f>EXP(-LN(2)/2)*AW120+(1-EXP(-LN(2)/2))/(LN(2)/2)*AQ121*AT121*VLOOKUP('Données projet'!$B$10,Paramètres!$A$1:$I$89,3,0)*0.475*44/12</f>
        <v>2.4765191026806798E-12</v>
      </c>
      <c r="AX121" s="23">
        <f t="shared" si="60"/>
        <v>13.164014225118843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87.539629191511665</v>
      </c>
      <c r="T122" s="62">
        <f t="shared" si="88"/>
        <v>411.51686965858363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11.600158207644682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6.310199922245681E-14</v>
      </c>
      <c r="AC122" s="24">
        <f t="shared" si="57"/>
        <v>11.600158207644746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6.7984728957526396E-14</v>
      </c>
      <c r="AK122" s="14">
        <f t="shared" si="89"/>
        <v>1.0682447123141398E-12</v>
      </c>
      <c r="AL122" s="22">
        <f t="shared" si="58"/>
        <v>1.978932943548152E-12</v>
      </c>
      <c r="AM122" s="62">
        <f t="shared" si="59"/>
        <v>293.3333333333353</v>
      </c>
      <c r="AN122" s="62">
        <f ca="1">AVERAGE(OFFSET($AM$3,0,0,'Données projet'!$E$10+1,1))-AVERAGE(OFFSET($H$3,0,0,'Données projet'!$E$10+1,1))</f>
        <v>187.13674266165236</v>
      </c>
      <c r="AO122" s="62">
        <f t="shared" si="90"/>
        <v>439.28159165815276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9.1499179543124107</v>
      </c>
      <c r="AV122" s="23">
        <f>EXP(-LN(2)/25)*AV121+(1-EXP(-LN(2)/25))/(LN(2)/25)*Calculateur!AQ122*Calculateur!AS122*VLOOKUP('Données projet'!$B$10,Paramètres!$A$1:$I$89,3,0)*0.475*44/12</f>
        <v>3.7263220144663882</v>
      </c>
      <c r="AW122" s="23">
        <f>EXP(-LN(2)/2)*AW121+(1-EXP(-LN(2)/2))/(LN(2)/2)*AQ122*AT122*VLOOKUP('Données projet'!$B$10,Paramètres!$A$1:$I$89,3,0)*0.475*44/12</f>
        <v>1.7511634512435325E-12</v>
      </c>
      <c r="AX122" s="23">
        <f t="shared" si="60"/>
        <v>12.876239968780551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87.539629191511665</v>
      </c>
      <c r="T123" s="62">
        <f t="shared" si="88"/>
        <v>411.51686965858363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11.372686180590639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4.461985155662746E-14</v>
      </c>
      <c r="AC123" s="24">
        <f t="shared" si="57"/>
        <v>11.372686180590684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6.7984728957526396E-14</v>
      </c>
      <c r="AK123" s="14">
        <f t="shared" si="89"/>
        <v>1.0682447123141398E-12</v>
      </c>
      <c r="AL123" s="22">
        <f t="shared" si="58"/>
        <v>1.978932943548152E-12</v>
      </c>
      <c r="AM123" s="62">
        <f t="shared" si="59"/>
        <v>293.3333333333353</v>
      </c>
      <c r="AN123" s="62">
        <f ca="1">AVERAGE(OFFSET($AM$3,0,0,'Données projet'!$E$10+1,1))-AVERAGE(OFFSET($H$3,0,0,'Données projet'!$E$10+1,1))</f>
        <v>187.13674266165236</v>
      </c>
      <c r="AO123" s="62">
        <f t="shared" si="90"/>
        <v>439.28159165815276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8.9704936441272292</v>
      </c>
      <c r="AV123" s="23">
        <f>EXP(-LN(2)/25)*AV122+(1-EXP(-LN(2)/25))/(LN(2)/25)*Calculateur!AQ123*Calculateur!AS123*VLOOKUP('Données projet'!$B$10,Paramètres!$A$1:$I$89,3,0)*0.475*44/12</f>
        <v>3.6244255430220469</v>
      </c>
      <c r="AW123" s="23">
        <f>EXP(-LN(2)/2)*AW122+(1-EXP(-LN(2)/2))/(LN(2)/2)*AQ123*AT123*VLOOKUP('Données projet'!$B$10,Paramètres!$A$1:$I$89,3,0)*0.475*44/12</f>
        <v>1.2382595513403399E-12</v>
      </c>
      <c r="AX123" s="23">
        <f t="shared" si="60"/>
        <v>12.594919187150515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87.539629191511665</v>
      </c>
      <c r="T124" s="62">
        <f t="shared" si="88"/>
        <v>411.51686965858363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11.149674741242888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3.1550999611228405E-14</v>
      </c>
      <c r="AC124" s="24">
        <f t="shared" si="57"/>
        <v>11.14967474124292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6.7984728957526396E-14</v>
      </c>
      <c r="AK124" s="14">
        <f t="shared" si="89"/>
        <v>1.0682447123141398E-12</v>
      </c>
      <c r="AL124" s="22">
        <f t="shared" si="58"/>
        <v>1.978932943548152E-12</v>
      </c>
      <c r="AM124" s="62">
        <f t="shared" si="59"/>
        <v>293.3333333333353</v>
      </c>
      <c r="AN124" s="62">
        <f ca="1">AVERAGE(OFFSET($AM$3,0,0,'Données projet'!$E$10+1,1))-AVERAGE(OFFSET($H$3,0,0,'Données projet'!$E$10+1,1))</f>
        <v>187.13674266165236</v>
      </c>
      <c r="AO124" s="62">
        <f t="shared" si="90"/>
        <v>439.28159165815276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8.7945877352267559</v>
      </c>
      <c r="AV124" s="23">
        <f>EXP(-LN(2)/25)*AV123+(1-EXP(-LN(2)/25))/(LN(2)/25)*Calculateur!AQ124*Calculateur!AS124*VLOOKUP('Données projet'!$B$10,Paramètres!$A$1:$I$89,3,0)*0.475*44/12</f>
        <v>3.5253154359478533</v>
      </c>
      <c r="AW124" s="23">
        <f>EXP(-LN(2)/2)*AW123+(1-EXP(-LN(2)/2))/(LN(2)/2)*AQ124*AT124*VLOOKUP('Données projet'!$B$10,Paramètres!$A$1:$I$89,3,0)*0.475*44/12</f>
        <v>8.7558172562176626E-13</v>
      </c>
      <c r="AX124" s="23">
        <f t="shared" si="60"/>
        <v>12.319903171175485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87.539629191511665</v>
      </c>
      <c r="T125" s="62">
        <f t="shared" si="88"/>
        <v>411.51686965858363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10.9310364201972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2.230992577831373E-14</v>
      </c>
      <c r="AC125" s="24">
        <f t="shared" si="57"/>
        <v>10.931036420197223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6.7984728957526396E-14</v>
      </c>
      <c r="AK125" s="14">
        <f t="shared" si="89"/>
        <v>1.0682447123141398E-12</v>
      </c>
      <c r="AL125" s="22">
        <f t="shared" si="58"/>
        <v>1.978932943548152E-12</v>
      </c>
      <c r="AM125" s="62">
        <f t="shared" si="59"/>
        <v>293.3333333333353</v>
      </c>
      <c r="AN125" s="62">
        <f ca="1">AVERAGE(OFFSET($AM$3,0,0,'Données projet'!$E$10+1,1))-AVERAGE(OFFSET($H$3,0,0,'Données projet'!$E$10+1,1))</f>
        <v>187.13674266165236</v>
      </c>
      <c r="AO125" s="62">
        <f t="shared" si="90"/>
        <v>439.28159165815276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8.62213123390781</v>
      </c>
      <c r="AV125" s="23">
        <f>EXP(-LN(2)/25)*AV124+(1-EXP(-LN(2)/25))/(LN(2)/25)*Calculateur!AQ125*Calculateur!AS125*VLOOKUP('Données projet'!$B$10,Paramètres!$A$1:$I$89,3,0)*0.475*44/12</f>
        <v>3.4289154999635776</v>
      </c>
      <c r="AW125" s="23">
        <f>EXP(-LN(2)/2)*AW124+(1-EXP(-LN(2)/2))/(LN(2)/2)*AQ125*AT125*VLOOKUP('Données projet'!$B$10,Paramètres!$A$1:$I$89,3,0)*0.475*44/12</f>
        <v>6.1912977567016996E-13</v>
      </c>
      <c r="AX125" s="23">
        <f t="shared" si="60"/>
        <v>12.051046733872008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87.539629191511665</v>
      </c>
      <c r="T126" s="62">
        <f t="shared" si="88"/>
        <v>411.51686965858363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10.716685463271011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1.5775499805614202E-14</v>
      </c>
      <c r="AC126" s="24">
        <f t="shared" si="57"/>
        <v>10.716685463271027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6.7984728957526396E-14</v>
      </c>
      <c r="AK126" s="14">
        <f t="shared" si="89"/>
        <v>1.0682447123141398E-12</v>
      </c>
      <c r="AL126" s="22">
        <f t="shared" si="58"/>
        <v>1.978932943548152E-12</v>
      </c>
      <c r="AM126" s="62">
        <f t="shared" si="59"/>
        <v>293.3333333333353</v>
      </c>
      <c r="AN126" s="62">
        <f ca="1">AVERAGE(OFFSET($AM$3,0,0,'Données projet'!$E$10+1,1))-AVERAGE(OFFSET($H$3,0,0,'Données projet'!$E$10+1,1))</f>
        <v>187.13674266165236</v>
      </c>
      <c r="AO126" s="62">
        <f t="shared" si="90"/>
        <v>439.28159165815276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8.4530564993916499</v>
      </c>
      <c r="AV126" s="23">
        <f>EXP(-LN(2)/25)*AV125+(1-EXP(-LN(2)/25))/(LN(2)/25)*Calculateur!AQ126*Calculateur!AS126*VLOOKUP('Données projet'!$B$10,Paramètres!$A$1:$I$89,3,0)*0.475*44/12</f>
        <v>3.3351516252982445</v>
      </c>
      <c r="AW126" s="23">
        <f>EXP(-LN(2)/2)*AW125+(1-EXP(-LN(2)/2))/(LN(2)/2)*AQ126*AT126*VLOOKUP('Données projet'!$B$10,Paramètres!$A$1:$I$89,3,0)*0.475*44/12</f>
        <v>4.3779086281088313E-13</v>
      </c>
      <c r="AX126" s="23">
        <f t="shared" si="60"/>
        <v>11.788208124690332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87.539629191511665</v>
      </c>
      <c r="T127" s="62">
        <f t="shared" si="88"/>
        <v>411.51686965858363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10.506537797868971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1.1154962889156865E-14</v>
      </c>
      <c r="AC127" s="24">
        <f t="shared" si="57"/>
        <v>10.506537797868981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6.7984728957526396E-14</v>
      </c>
      <c r="AK127" s="14">
        <f t="shared" si="89"/>
        <v>1.0682447123141398E-12</v>
      </c>
      <c r="AL127" s="22">
        <f t="shared" si="58"/>
        <v>1.978932943548152E-12</v>
      </c>
      <c r="AM127" s="62">
        <f t="shared" si="59"/>
        <v>293.3333333333353</v>
      </c>
      <c r="AN127" s="62">
        <f ca="1">AVERAGE(OFFSET($AM$3,0,0,'Données projet'!$E$10+1,1))-AVERAGE(OFFSET($H$3,0,0,'Données projet'!$E$10+1,1))</f>
        <v>187.13674266165236</v>
      </c>
      <c r="AO127" s="62">
        <f t="shared" si="90"/>
        <v>439.28159165815276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8.2872972172939452</v>
      </c>
      <c r="AV127" s="23">
        <f>EXP(-LN(2)/25)*AV126+(1-EXP(-LN(2)/25))/(LN(2)/25)*Calculateur!AQ127*Calculateur!AS127*VLOOKUP('Données projet'!$B$10,Paramètres!$A$1:$I$89,3,0)*0.475*44/12</f>
        <v>3.2439517287164628</v>
      </c>
      <c r="AW127" s="23">
        <f>EXP(-LN(2)/2)*AW126+(1-EXP(-LN(2)/2))/(LN(2)/2)*AQ127*AT127*VLOOKUP('Données projet'!$B$10,Paramètres!$A$1:$I$89,3,0)*0.475*44/12</f>
        <v>3.0956488783508498E-13</v>
      </c>
      <c r="AX127" s="23">
        <f t="shared" si="60"/>
        <v>11.531248946010717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87.539629191511665</v>
      </c>
      <c r="T128" s="62">
        <f t="shared" si="88"/>
        <v>411.51686965858363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10.300511000008044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7.8877499028071012E-15</v>
      </c>
      <c r="AC128" s="24">
        <f t="shared" si="57"/>
        <v>10.300511000008051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6.7984728957526396E-14</v>
      </c>
      <c r="AK128" s="14">
        <f t="shared" si="89"/>
        <v>1.0682447123141398E-12</v>
      </c>
      <c r="AL128" s="22">
        <f t="shared" si="58"/>
        <v>1.978932943548152E-12</v>
      </c>
      <c r="AM128" s="62">
        <f t="shared" si="59"/>
        <v>293.3333333333353</v>
      </c>
      <c r="AN128" s="62">
        <f ca="1">AVERAGE(OFFSET($AM$3,0,0,'Données projet'!$E$10+1,1))-AVERAGE(OFFSET($H$3,0,0,'Données projet'!$E$10+1,1))</f>
        <v>187.13674266165236</v>
      </c>
      <c r="AO128" s="62">
        <f t="shared" si="90"/>
        <v>439.28159165815276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8.1247883736149973</v>
      </c>
      <c r="AV128" s="23">
        <f>EXP(-LN(2)/25)*AV127+(1-EXP(-LN(2)/25))/(LN(2)/25)*Calculateur!AQ128*Calculateur!AS128*VLOOKUP('Données projet'!$B$10,Paramètres!$A$1:$I$89,3,0)*0.475*44/12</f>
        <v>3.1552456981027039</v>
      </c>
      <c r="AW128" s="23">
        <f>EXP(-LN(2)/2)*AW127+(1-EXP(-LN(2)/2))/(LN(2)/2)*AQ128*AT128*VLOOKUP('Données projet'!$B$10,Paramètres!$A$1:$I$89,3,0)*0.475*44/12</f>
        <v>2.1889543140544156E-13</v>
      </c>
      <c r="AX128" s="23">
        <f t="shared" si="60"/>
        <v>11.280034071717919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87.539629191511665</v>
      </c>
      <c r="T129" s="62">
        <f t="shared" si="88"/>
        <v>411.51686965858363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10.098524261989231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5.5774814445784325E-15</v>
      </c>
      <c r="AC129" s="24">
        <f t="shared" si="57"/>
        <v>10.098524261989237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6.7984728957526396E-14</v>
      </c>
      <c r="AK129" s="14">
        <f t="shared" si="89"/>
        <v>1.0682447123141398E-12</v>
      </c>
      <c r="AL129" s="22">
        <f t="shared" si="58"/>
        <v>1.978932943548152E-12</v>
      </c>
      <c r="AM129" s="62">
        <f t="shared" si="59"/>
        <v>293.3333333333353</v>
      </c>
      <c r="AN129" s="62">
        <f ca="1">AVERAGE(OFFSET($AM$3,0,0,'Données projet'!$E$10+1,1))-AVERAGE(OFFSET($H$3,0,0,'Données projet'!$E$10+1,1))</f>
        <v>187.13674266165236</v>
      </c>
      <c r="AO129" s="62">
        <f t="shared" si="90"/>
        <v>439.28159165815276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7.9654662292399872</v>
      </c>
      <c r="AV129" s="23">
        <f>EXP(-LN(2)/25)*AV128+(1-EXP(-LN(2)/25))/(LN(2)/25)*Calculateur!AQ129*Calculateur!AS129*VLOOKUP('Données projet'!$B$10,Paramètres!$A$1:$I$89,3,0)*0.475*44/12</f>
        <v>3.0689653385609255</v>
      </c>
      <c r="AW129" s="23">
        <f>EXP(-LN(2)/2)*AW128+(1-EXP(-LN(2)/2))/(LN(2)/2)*AQ129*AT129*VLOOKUP('Données projet'!$B$10,Paramètres!$A$1:$I$89,3,0)*0.475*44/12</f>
        <v>1.5478244391754249E-13</v>
      </c>
      <c r="AX129" s="23">
        <f t="shared" si="60"/>
        <v>11.034431567801066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87.539629191511665</v>
      </c>
      <c r="T130" s="62">
        <f t="shared" si="88"/>
        <v>411.51686965858363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9.9004983607032226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3.9438749514035506E-15</v>
      </c>
      <c r="AC130" s="24">
        <f t="shared" si="57"/>
        <v>9.9004983607032262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6.7984728957526396E-14</v>
      </c>
      <c r="AK130" s="14">
        <f t="shared" si="89"/>
        <v>1.0682447123141398E-12</v>
      </c>
      <c r="AL130" s="22">
        <f t="shared" si="58"/>
        <v>1.978932943548152E-12</v>
      </c>
      <c r="AM130" s="62">
        <f t="shared" si="59"/>
        <v>293.3333333333353</v>
      </c>
      <c r="AN130" s="62">
        <f ca="1">AVERAGE(OFFSET($AM$3,0,0,'Données projet'!$E$10+1,1))-AVERAGE(OFFSET($H$3,0,0,'Données projet'!$E$10+1,1))</f>
        <v>187.13674266165236</v>
      </c>
      <c r="AO130" s="62">
        <f t="shared" si="90"/>
        <v>439.28159165815276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7.8092682949392582</v>
      </c>
      <c r="AV130" s="23">
        <f>EXP(-LN(2)/25)*AV129+(1-EXP(-LN(2)/25))/(LN(2)/25)*Calculateur!AQ130*Calculateur!AS130*VLOOKUP('Données projet'!$B$10,Paramètres!$A$1:$I$89,3,0)*0.475*44/12</f>
        <v>2.9850443199881038</v>
      </c>
      <c r="AW130" s="23">
        <f>EXP(-LN(2)/2)*AW129+(1-EXP(-LN(2)/2))/(LN(2)/2)*AQ130*AT130*VLOOKUP('Données projet'!$B$10,Paramètres!$A$1:$I$89,3,0)*0.475*44/12</f>
        <v>1.0944771570272078E-13</v>
      </c>
      <c r="AX130" s="23">
        <f t="shared" si="60"/>
        <v>10.794312614927472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87.539629191511665</v>
      </c>
      <c r="T131" s="62">
        <f t="shared" si="88"/>
        <v>411.51686965858363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9.7063556265575599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2.7887407222892163E-15</v>
      </c>
      <c r="AC131" s="24">
        <f t="shared" si="57"/>
        <v>9.7063556265575635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6.7984728957526396E-14</v>
      </c>
      <c r="AK131" s="14">
        <f t="shared" si="89"/>
        <v>1.0682447123141398E-12</v>
      </c>
      <c r="AL131" s="22">
        <f t="shared" si="58"/>
        <v>1.978932943548152E-12</v>
      </c>
      <c r="AM131" s="62">
        <f t="shared" si="59"/>
        <v>293.3333333333353</v>
      </c>
      <c r="AN131" s="62">
        <f ca="1">AVERAGE(OFFSET($AM$3,0,0,'Données projet'!$E$10+1,1))-AVERAGE(OFFSET($H$3,0,0,'Données projet'!$E$10+1,1))</f>
        <v>187.13674266165236</v>
      </c>
      <c r="AO131" s="62">
        <f t="shared" si="90"/>
        <v>439.28159165815276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7.656133306858834</v>
      </c>
      <c r="AV131" s="23">
        <f>EXP(-LN(2)/25)*AV130+(1-EXP(-LN(2)/25))/(LN(2)/25)*Calculateur!AQ131*Calculateur!AS131*VLOOKUP('Données projet'!$B$10,Paramètres!$A$1:$I$89,3,0)*0.475*44/12</f>
        <v>2.903418126081371</v>
      </c>
      <c r="AW131" s="23">
        <f>EXP(-LN(2)/2)*AW130+(1-EXP(-LN(2)/2))/(LN(2)/2)*AQ131*AT131*VLOOKUP('Données projet'!$B$10,Paramètres!$A$1:$I$89,3,0)*0.475*44/12</f>
        <v>7.7391221958771245E-14</v>
      </c>
      <c r="AX131" s="23">
        <f t="shared" si="60"/>
        <v>10.559551432940284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87.539629191511665</v>
      </c>
      <c r="T132" s="62">
        <f t="shared" si="88"/>
        <v>411.51686965858363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9.5160199130131176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1.9719374757017753E-15</v>
      </c>
      <c r="AC132" s="24">
        <f t="shared" ref="AC132:AC153" si="111">SUM(Z132:AB132)</f>
        <v>9.5160199130131193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6.7984728957526396E-14</v>
      </c>
      <c r="AK132" s="14">
        <f t="shared" si="89"/>
        <v>1.0682447123141398E-12</v>
      </c>
      <c r="AL132" s="22">
        <f t="shared" ref="AL132:AL153" si="112">(AJ132+AK132)*0.475*44/12</f>
        <v>1.978932943548152E-12</v>
      </c>
      <c r="AM132" s="62">
        <f t="shared" ref="AM132:AM195" si="113">AL132+(AD132+AE132)*44/12</f>
        <v>293.3333333333353</v>
      </c>
      <c r="AN132" s="62">
        <f ca="1">AVERAGE(OFFSET($AM$3,0,0,'Données projet'!$E$10+1,1))-AVERAGE(OFFSET($H$3,0,0,'Données projet'!$E$10+1,1))</f>
        <v>187.13674266165236</v>
      </c>
      <c r="AO132" s="62">
        <f t="shared" si="90"/>
        <v>439.28159165815276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7.5060012024915466</v>
      </c>
      <c r="AV132" s="23">
        <f>EXP(-LN(2)/25)*AV131+(1-EXP(-LN(2)/25))/(LN(2)/25)*Calculateur!AQ132*Calculateur!AS132*VLOOKUP('Données projet'!$B$10,Paramètres!$A$1:$I$89,3,0)*0.475*44/12</f>
        <v>2.8240240047395524</v>
      </c>
      <c r="AW132" s="23">
        <f>EXP(-LN(2)/2)*AW131+(1-EXP(-LN(2)/2))/(LN(2)/2)*AQ132*AT132*VLOOKUP('Données projet'!$B$10,Paramètres!$A$1:$I$89,3,0)*0.475*44/12</f>
        <v>5.4723857851360391E-14</v>
      </c>
      <c r="AX132" s="23">
        <f t="shared" ref="AX132:AX153" si="114">SUM(AU132:AW132)</f>
        <v>10.330025207231154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87.539629191511665</v>
      </c>
      <c r="T133" s="62">
        <f t="shared" ref="T133:T196" si="142">$T$3</f>
        <v>411.51686965858363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9.3294165667179598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1.3943703611446081E-15</v>
      </c>
      <c r="AC133" s="24">
        <f t="shared" si="111"/>
        <v>9.3294165667179616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6.7984728957526396E-14</v>
      </c>
      <c r="AK133" s="14">
        <f t="shared" ref="AK133:AK153" si="143">EXP(-1.0587+0.8836*LN(AJ133)+0.284)</f>
        <v>1.0682447123141398E-12</v>
      </c>
      <c r="AL133" s="22">
        <f t="shared" si="112"/>
        <v>1.978932943548152E-12</v>
      </c>
      <c r="AM133" s="62">
        <f t="shared" si="113"/>
        <v>293.3333333333353</v>
      </c>
      <c r="AN133" s="62">
        <f ca="1">AVERAGE(OFFSET($AM$3,0,0,'Données projet'!$E$10+1,1))-AVERAGE(OFFSET($H$3,0,0,'Données projet'!$E$10+1,1))</f>
        <v>187.13674266165236</v>
      </c>
      <c r="AO133" s="62">
        <f t="shared" ref="AO133:AO196" si="144">$AO$3</f>
        <v>439.28159165815276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7.3588130971193602</v>
      </c>
      <c r="AV133" s="23">
        <f>EXP(-LN(2)/25)*AV132+(1-EXP(-LN(2)/25))/(LN(2)/25)*Calculateur!AQ133*Calculateur!AS133*VLOOKUP('Données projet'!$B$10,Paramètres!$A$1:$I$89,3,0)*0.475*44/12</f>
        <v>2.7468009198209815</v>
      </c>
      <c r="AW133" s="23">
        <f>EXP(-LN(2)/2)*AW132+(1-EXP(-LN(2)/2))/(LN(2)/2)*AQ133*AT133*VLOOKUP('Données projet'!$B$10,Paramètres!$A$1:$I$89,3,0)*0.475*44/12</f>
        <v>3.8695610979385622E-14</v>
      </c>
      <c r="AX133" s="23">
        <f t="shared" si="114"/>
        <v>10.105614016940381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87.539629191511665</v>
      </c>
      <c r="T134" s="62">
        <f t="shared" si="142"/>
        <v>411.51686965858363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9.1464723982268481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9.8596873785088765E-16</v>
      </c>
      <c r="AC134" s="24">
        <f t="shared" si="111"/>
        <v>9.1464723982268499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6.7984728957526396E-14</v>
      </c>
      <c r="AK134" s="14">
        <f t="shared" si="143"/>
        <v>1.0682447123141398E-12</v>
      </c>
      <c r="AL134" s="22">
        <f t="shared" si="112"/>
        <v>1.978932943548152E-12</v>
      </c>
      <c r="AM134" s="62">
        <f t="shared" si="113"/>
        <v>293.3333333333353</v>
      </c>
      <c r="AN134" s="62">
        <f ca="1">AVERAGE(OFFSET($AM$3,0,0,'Données projet'!$E$10+1,1))-AVERAGE(OFFSET($H$3,0,0,'Données projet'!$E$10+1,1))</f>
        <v>187.13674266165236</v>
      </c>
      <c r="AO134" s="62">
        <f t="shared" si="144"/>
        <v>439.28159165815276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7.2145112607176429</v>
      </c>
      <c r="AV134" s="23">
        <f>EXP(-LN(2)/25)*AV133+(1-EXP(-LN(2)/25))/(LN(2)/25)*Calculateur!AQ134*Calculateur!AS134*VLOOKUP('Données projet'!$B$10,Paramètres!$A$1:$I$89,3,0)*0.475*44/12</f>
        <v>2.6716895042204944</v>
      </c>
      <c r="AW134" s="23">
        <f>EXP(-LN(2)/2)*AW133+(1-EXP(-LN(2)/2))/(LN(2)/2)*AQ134*AT134*VLOOKUP('Données projet'!$B$10,Paramètres!$A$1:$I$89,3,0)*0.475*44/12</f>
        <v>2.7361928925680196E-14</v>
      </c>
      <c r="AX134" s="23">
        <f t="shared" si="114"/>
        <v>9.8862007649381649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87.539629191511665</v>
      </c>
      <c r="T135" s="62">
        <f t="shared" si="142"/>
        <v>411.51686965858363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8.9671156532949219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6.9718518057230407E-16</v>
      </c>
      <c r="AC135" s="24">
        <f t="shared" si="111"/>
        <v>8.9671156532949219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6.7984728957526396E-14</v>
      </c>
      <c r="AK135" s="14">
        <f t="shared" si="143"/>
        <v>1.0682447123141398E-12</v>
      </c>
      <c r="AL135" s="22">
        <f t="shared" si="112"/>
        <v>1.978932943548152E-12</v>
      </c>
      <c r="AM135" s="62">
        <f t="shared" si="113"/>
        <v>293.3333333333353</v>
      </c>
      <c r="AN135" s="62">
        <f ca="1">AVERAGE(OFFSET($AM$3,0,0,'Données projet'!$E$10+1,1))-AVERAGE(OFFSET($H$3,0,0,'Données projet'!$E$10+1,1))</f>
        <v>187.13674266165236</v>
      </c>
      <c r="AO135" s="62">
        <f t="shared" si="144"/>
        <v>439.28159165815276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7.0730390953123337</v>
      </c>
      <c r="AV135" s="23">
        <f>EXP(-LN(2)/25)*AV134+(1-EXP(-LN(2)/25))/(LN(2)/25)*Calculateur!AQ135*Calculateur!AS135*VLOOKUP('Données projet'!$B$10,Paramètres!$A$1:$I$89,3,0)*0.475*44/12</f>
        <v>2.59863201422954</v>
      </c>
      <c r="AW135" s="23">
        <f>EXP(-LN(2)/2)*AW134+(1-EXP(-LN(2)/2))/(LN(2)/2)*AQ135*AT135*VLOOKUP('Données projet'!$B$10,Paramètres!$A$1:$I$89,3,0)*0.475*44/12</f>
        <v>1.9347805489692811E-14</v>
      </c>
      <c r="AX135" s="23">
        <f t="shared" si="114"/>
        <v>9.6716711095418937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87.539629191511665</v>
      </c>
      <c r="T136" s="62">
        <f t="shared" si="142"/>
        <v>411.51686965858363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8.7912759847342983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4.9298436892544383E-16</v>
      </c>
      <c r="AC136" s="24">
        <f t="shared" si="111"/>
        <v>8.7912759847342983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6.7984728957526396E-14</v>
      </c>
      <c r="AK136" s="14">
        <f t="shared" si="143"/>
        <v>1.0682447123141398E-12</v>
      </c>
      <c r="AL136" s="22">
        <f t="shared" si="112"/>
        <v>1.978932943548152E-12</v>
      </c>
      <c r="AM136" s="62">
        <f t="shared" si="113"/>
        <v>293.3333333333353</v>
      </c>
      <c r="AN136" s="62">
        <f ca="1">AVERAGE(OFFSET($AM$3,0,0,'Données projet'!$E$10+1,1))-AVERAGE(OFFSET($H$3,0,0,'Données projet'!$E$10+1,1))</f>
        <v>187.13674266165236</v>
      </c>
      <c r="AO136" s="62">
        <f t="shared" si="144"/>
        <v>439.28159165815276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6.9343411127811221</v>
      </c>
      <c r="AV136" s="23">
        <f>EXP(-LN(2)/25)*AV135+(1-EXP(-LN(2)/25))/(LN(2)/25)*Calculateur!AQ136*Calculateur!AS136*VLOOKUP('Données projet'!$B$10,Paramètres!$A$1:$I$89,3,0)*0.475*44/12</f>
        <v>2.527572285144315</v>
      </c>
      <c r="AW136" s="23">
        <f>EXP(-LN(2)/2)*AW135+(1-EXP(-LN(2)/2))/(LN(2)/2)*AQ136*AT136*VLOOKUP('Données projet'!$B$10,Paramètres!$A$1:$I$89,3,0)*0.475*44/12</f>
        <v>1.3680964462840098E-14</v>
      </c>
      <c r="AX136" s="23">
        <f t="shared" si="114"/>
        <v>9.4619133979254517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87.539629191511665</v>
      </c>
      <c r="T137" s="62">
        <f t="shared" si="142"/>
        <v>411.51686965858363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8.6188844248225411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3.4859259028615203E-16</v>
      </c>
      <c r="AC137" s="24">
        <f t="shared" si="111"/>
        <v>8.6188844248225411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6.7984728957526396E-14</v>
      </c>
      <c r="AK137" s="14">
        <f t="shared" si="143"/>
        <v>1.0682447123141398E-12</v>
      </c>
      <c r="AL137" s="22">
        <f t="shared" si="112"/>
        <v>1.978932943548152E-12</v>
      </c>
      <c r="AM137" s="62">
        <f t="shared" si="113"/>
        <v>293.3333333333353</v>
      </c>
      <c r="AN137" s="62">
        <f ca="1">AVERAGE(OFFSET($AM$3,0,0,'Données projet'!$E$10+1,1))-AVERAGE(OFFSET($H$3,0,0,'Données projet'!$E$10+1,1))</f>
        <v>187.13674266165236</v>
      </c>
      <c r="AO137" s="62">
        <f t="shared" si="144"/>
        <v>439.28159165815276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6.7983629130899317</v>
      </c>
      <c r="AV137" s="23">
        <f>EXP(-LN(2)/25)*AV136+(1-EXP(-LN(2)/25))/(LN(2)/25)*Calculateur!AQ137*Calculateur!AS137*VLOOKUP('Données projet'!$B$10,Paramètres!$A$1:$I$89,3,0)*0.475*44/12</f>
        <v>2.4584556880877941</v>
      </c>
      <c r="AW137" s="23">
        <f>EXP(-LN(2)/2)*AW136+(1-EXP(-LN(2)/2))/(LN(2)/2)*AQ137*AT137*VLOOKUP('Données projet'!$B$10,Paramètres!$A$1:$I$89,3,0)*0.475*44/12</f>
        <v>9.6739027448464056E-15</v>
      </c>
      <c r="AX137" s="23">
        <f t="shared" si="114"/>
        <v>9.2568186011777343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87.539629191511665</v>
      </c>
      <c r="T138" s="62">
        <f t="shared" si="142"/>
        <v>411.51686965858363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8.4498733582521854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2.4649218446272191E-16</v>
      </c>
      <c r="AC138" s="24">
        <f t="shared" si="111"/>
        <v>8.4498733582521854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6.7984728957526396E-14</v>
      </c>
      <c r="AK138" s="14">
        <f t="shared" si="143"/>
        <v>1.0682447123141398E-12</v>
      </c>
      <c r="AL138" s="22">
        <f t="shared" si="112"/>
        <v>1.978932943548152E-12</v>
      </c>
      <c r="AM138" s="62">
        <f t="shared" si="113"/>
        <v>293.3333333333353</v>
      </c>
      <c r="AN138" s="62">
        <f ca="1">AVERAGE(OFFSET($AM$3,0,0,'Données projet'!$E$10+1,1))-AVERAGE(OFFSET($H$3,0,0,'Données projet'!$E$10+1,1))</f>
        <v>187.13674266165236</v>
      </c>
      <c r="AO138" s="62">
        <f t="shared" si="144"/>
        <v>439.28159165815276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6.6650511629561731</v>
      </c>
      <c r="AV138" s="23">
        <f>EXP(-LN(2)/25)*AV137+(1-EXP(-LN(2)/25))/(LN(2)/25)*Calculateur!AQ138*Calculateur!AS138*VLOOKUP('Données projet'!$B$10,Paramètres!$A$1:$I$89,3,0)*0.475*44/12</f>
        <v>2.3912290880124676</v>
      </c>
      <c r="AW138" s="23">
        <f>EXP(-LN(2)/2)*AW137+(1-EXP(-LN(2)/2))/(LN(2)/2)*AQ138*AT138*VLOOKUP('Données projet'!$B$10,Paramètres!$A$1:$I$89,3,0)*0.475*44/12</f>
        <v>6.8404822314200489E-15</v>
      </c>
      <c r="AX138" s="23">
        <f t="shared" si="114"/>
        <v>9.0562802509686477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87.539629191511665</v>
      </c>
      <c r="T139" s="62">
        <f t="shared" si="142"/>
        <v>411.51686965858363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8.2841764956107014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1.7429629514307602E-16</v>
      </c>
      <c r="AC139" s="24">
        <f t="shared" si="111"/>
        <v>8.2841764956107014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6.7984728957526396E-14</v>
      </c>
      <c r="AK139" s="14">
        <f t="shared" si="143"/>
        <v>1.0682447123141398E-12</v>
      </c>
      <c r="AL139" s="22">
        <f t="shared" si="112"/>
        <v>1.978932943548152E-12</v>
      </c>
      <c r="AM139" s="62">
        <f t="shared" si="113"/>
        <v>293.3333333333353</v>
      </c>
      <c r="AN139" s="62">
        <f ca="1">AVERAGE(OFFSET($AM$3,0,0,'Données projet'!$E$10+1,1))-AVERAGE(OFFSET($H$3,0,0,'Données projet'!$E$10+1,1))</f>
        <v>187.13674266165236</v>
      </c>
      <c r="AO139" s="62">
        <f t="shared" si="144"/>
        <v>439.28159165815276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6.5343535749303987</v>
      </c>
      <c r="AV139" s="23">
        <f>EXP(-LN(2)/25)*AV138+(1-EXP(-LN(2)/25))/(LN(2)/25)*Calculateur!AQ139*Calculateur!AS139*VLOOKUP('Données projet'!$B$10,Paramètres!$A$1:$I$89,3,0)*0.475*44/12</f>
        <v>2.3258408028514941</v>
      </c>
      <c r="AW139" s="23">
        <f>EXP(-LN(2)/2)*AW138+(1-EXP(-LN(2)/2))/(LN(2)/2)*AQ139*AT139*VLOOKUP('Données projet'!$B$10,Paramètres!$A$1:$I$89,3,0)*0.475*44/12</f>
        <v>4.8369513724232028E-15</v>
      </c>
      <c r="AX139" s="23">
        <f t="shared" si="114"/>
        <v>8.8601943777818981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87.539629191511665</v>
      </c>
      <c r="T140" s="62">
        <f t="shared" si="142"/>
        <v>411.51686965858363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8.1217288473805098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1.2324609223136096E-16</v>
      </c>
      <c r="AC140" s="24">
        <f t="shared" si="111"/>
        <v>8.1217288473805098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6.7984728957526396E-14</v>
      </c>
      <c r="AK140" s="14">
        <f t="shared" si="143"/>
        <v>1.0682447123141398E-12</v>
      </c>
      <c r="AL140" s="22">
        <f t="shared" si="112"/>
        <v>1.978932943548152E-12</v>
      </c>
      <c r="AM140" s="62">
        <f t="shared" si="113"/>
        <v>293.3333333333353</v>
      </c>
      <c r="AN140" s="62">
        <f ca="1">AVERAGE(OFFSET($AM$3,0,0,'Données projet'!$E$10+1,1))-AVERAGE(OFFSET($H$3,0,0,'Données projet'!$E$10+1,1))</f>
        <v>187.13674266165236</v>
      </c>
      <c r="AO140" s="62">
        <f t="shared" si="144"/>
        <v>439.28159165815276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6.4062188868881531</v>
      </c>
      <c r="AV140" s="23">
        <f>EXP(-LN(2)/25)*AV139+(1-EXP(-LN(2)/25))/(LN(2)/25)*Calculateur!AQ140*Calculateur!AS140*VLOOKUP('Données projet'!$B$10,Paramètres!$A$1:$I$89,3,0)*0.475*44/12</f>
        <v>2.2622405637868681</v>
      </c>
      <c r="AW140" s="23">
        <f>EXP(-LN(2)/2)*AW139+(1-EXP(-LN(2)/2))/(LN(2)/2)*AQ140*AT140*VLOOKUP('Données projet'!$B$10,Paramètres!$A$1:$I$89,3,0)*0.475*44/12</f>
        <v>3.4202411157100244E-15</v>
      </c>
      <c r="AX140" s="23">
        <f t="shared" si="114"/>
        <v>8.6684594506750248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87.539629191511665</v>
      </c>
      <c r="T141" s="62">
        <f t="shared" si="142"/>
        <v>411.51686965858363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7.9624666984488313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8.7148147571538008E-17</v>
      </c>
      <c r="AC141" s="24">
        <f t="shared" si="111"/>
        <v>7.9624666984488313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6.7984728957526396E-14</v>
      </c>
      <c r="AK141" s="14">
        <f t="shared" si="143"/>
        <v>1.0682447123141398E-12</v>
      </c>
      <c r="AL141" s="22">
        <f t="shared" si="112"/>
        <v>1.978932943548152E-12</v>
      </c>
      <c r="AM141" s="62">
        <f t="shared" si="113"/>
        <v>293.3333333333353</v>
      </c>
      <c r="AN141" s="62">
        <f ca="1">AVERAGE(OFFSET($AM$3,0,0,'Données projet'!$E$10+1,1))-AVERAGE(OFFSET($H$3,0,0,'Données projet'!$E$10+1,1))</f>
        <v>187.13674266165236</v>
      </c>
      <c r="AO141" s="62">
        <f t="shared" si="144"/>
        <v>439.28159165815276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6.2805968419239733</v>
      </c>
      <c r="AV141" s="23">
        <f>EXP(-LN(2)/25)*AV140+(1-EXP(-LN(2)/25))/(LN(2)/25)*Calculateur!AQ141*Calculateur!AS141*VLOOKUP('Données projet'!$B$10,Paramètres!$A$1:$I$89,3,0)*0.475*44/12</f>
        <v>2.2003794766040552</v>
      </c>
      <c r="AW141" s="23">
        <f>EXP(-LN(2)/2)*AW140+(1-EXP(-LN(2)/2))/(LN(2)/2)*AQ141*AT141*VLOOKUP('Données projet'!$B$10,Paramètres!$A$1:$I$89,3,0)*0.475*44/12</f>
        <v>2.4184756862116014E-15</v>
      </c>
      <c r="AX141" s="23">
        <f t="shared" si="114"/>
        <v>8.4809763185280307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87.539629191511665</v>
      </c>
      <c r="T142" s="62">
        <f t="shared" si="142"/>
        <v>411.51686965858363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7.8063275831173842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6.1623046115680478E-17</v>
      </c>
      <c r="AC142" s="24">
        <f t="shared" si="111"/>
        <v>7.8063275831173842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6.7984728957526396E-14</v>
      </c>
      <c r="AK142" s="14">
        <f t="shared" si="143"/>
        <v>1.0682447123141398E-12</v>
      </c>
      <c r="AL142" s="22">
        <f t="shared" si="112"/>
        <v>1.978932943548152E-12</v>
      </c>
      <c r="AM142" s="62">
        <f t="shared" si="113"/>
        <v>293.3333333333353</v>
      </c>
      <c r="AN142" s="62">
        <f ca="1">AVERAGE(OFFSET($AM$3,0,0,'Données projet'!$E$10+1,1))-AVERAGE(OFFSET($H$3,0,0,'Données projet'!$E$10+1,1))</f>
        <v>187.13674266165236</v>
      </c>
      <c r="AO142" s="62">
        <f t="shared" si="144"/>
        <v>439.28159165815276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6.1574381686396586</v>
      </c>
      <c r="AV142" s="23">
        <f>EXP(-LN(2)/25)*AV141+(1-EXP(-LN(2)/25))/(LN(2)/25)*Calculateur!AQ142*Calculateur!AS142*VLOOKUP('Données projet'!$B$10,Paramètres!$A$1:$I$89,3,0)*0.475*44/12</f>
        <v>2.1402099841033895</v>
      </c>
      <c r="AW142" s="23">
        <f>EXP(-LN(2)/2)*AW141+(1-EXP(-LN(2)/2))/(LN(2)/2)*AQ142*AT142*VLOOKUP('Données projet'!$B$10,Paramètres!$A$1:$I$89,3,0)*0.475*44/12</f>
        <v>1.7101205578550122E-15</v>
      </c>
      <c r="AX142" s="23">
        <f t="shared" si="114"/>
        <v>8.297648152743049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87.539629191511665</v>
      </c>
      <c r="T143" s="62">
        <f t="shared" si="142"/>
        <v>411.51686965858363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7.65325026060213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4.3574073785769004E-17</v>
      </c>
      <c r="AC143" s="24">
        <f t="shared" si="111"/>
        <v>7.65325026060213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6.7984728957526396E-14</v>
      </c>
      <c r="AK143" s="14">
        <f t="shared" si="143"/>
        <v>1.0682447123141398E-12</v>
      </c>
      <c r="AL143" s="22">
        <f t="shared" si="112"/>
        <v>1.978932943548152E-12</v>
      </c>
      <c r="AM143" s="62">
        <f t="shared" si="113"/>
        <v>293.3333333333353</v>
      </c>
      <c r="AN143" s="62">
        <f ca="1">AVERAGE(OFFSET($AM$3,0,0,'Données projet'!$E$10+1,1))-AVERAGE(OFFSET($H$3,0,0,'Données projet'!$E$10+1,1))</f>
        <v>187.13674266165236</v>
      </c>
      <c r="AO143" s="62">
        <f t="shared" si="144"/>
        <v>439.28159165815276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6.0366945618190764</v>
      </c>
      <c r="AV143" s="23">
        <f>EXP(-LN(2)/25)*AV142+(1-EXP(-LN(2)/25))/(LN(2)/25)*Calculateur!AQ143*Calculateur!AS143*VLOOKUP('Données projet'!$B$10,Paramètres!$A$1:$I$89,3,0)*0.475*44/12</f>
        <v>2.0816858295393308</v>
      </c>
      <c r="AW143" s="23">
        <f>EXP(-LN(2)/2)*AW142+(1-EXP(-LN(2)/2))/(LN(2)/2)*AQ143*AT143*VLOOKUP('Données projet'!$B$10,Paramètres!$A$1:$I$89,3,0)*0.475*44/12</f>
        <v>1.2092378431058007E-15</v>
      </c>
      <c r="AX143" s="23">
        <f t="shared" si="114"/>
        <v>8.1183803913584089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87.539629191511665</v>
      </c>
      <c r="T144" s="62">
        <f t="shared" si="142"/>
        <v>411.51686965858363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7.5031746910134522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3.0811523057840239E-17</v>
      </c>
      <c r="AC144" s="24">
        <f t="shared" si="111"/>
        <v>7.5031746910134522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6.7984728957526396E-14</v>
      </c>
      <c r="AK144" s="14">
        <f t="shared" si="143"/>
        <v>1.0682447123141398E-12</v>
      </c>
      <c r="AL144" s="22">
        <f t="shared" si="112"/>
        <v>1.978932943548152E-12</v>
      </c>
      <c r="AM144" s="62">
        <f t="shared" si="113"/>
        <v>293.3333333333353</v>
      </c>
      <c r="AN144" s="62">
        <f ca="1">AVERAGE(OFFSET($AM$3,0,0,'Données projet'!$E$10+1,1))-AVERAGE(OFFSET($H$3,0,0,'Données projet'!$E$10+1,1))</f>
        <v>187.13674266165236</v>
      </c>
      <c r="AO144" s="62">
        <f t="shared" si="144"/>
        <v>439.28159165815276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5.9183186634819176</v>
      </c>
      <c r="AV144" s="23">
        <f>EXP(-LN(2)/25)*AV143+(1-EXP(-LN(2)/25))/(LN(2)/25)*Calculateur!AQ144*Calculateur!AS144*VLOOKUP('Données projet'!$B$10,Paramètres!$A$1:$I$89,3,0)*0.475*44/12</f>
        <v>2.0247620210594777</v>
      </c>
      <c r="AW144" s="23">
        <f>EXP(-LN(2)/2)*AW143+(1-EXP(-LN(2)/2))/(LN(2)/2)*AQ144*AT144*VLOOKUP('Données projet'!$B$10,Paramètres!$A$1:$I$89,3,0)*0.475*44/12</f>
        <v>8.5506027892750611E-16</v>
      </c>
      <c r="AX144" s="23">
        <f t="shared" si="114"/>
        <v>7.9430806845413962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87.539629191511665</v>
      </c>
      <c r="T145" s="62">
        <f t="shared" si="142"/>
        <v>411.51686965858363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7.3560420118073493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2.1787036892884502E-17</v>
      </c>
      <c r="AC145" s="24">
        <f t="shared" si="111"/>
        <v>7.3560420118073493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6.7984728957526396E-14</v>
      </c>
      <c r="AK145" s="14">
        <f t="shared" si="143"/>
        <v>1.0682447123141398E-12</v>
      </c>
      <c r="AL145" s="22">
        <f t="shared" si="112"/>
        <v>1.978932943548152E-12</v>
      </c>
      <c r="AM145" s="62">
        <f t="shared" si="113"/>
        <v>293.3333333333353</v>
      </c>
      <c r="AN145" s="62">
        <f ca="1">AVERAGE(OFFSET($AM$3,0,0,'Données projet'!$E$10+1,1))-AVERAGE(OFFSET($H$3,0,0,'Données projet'!$E$10+1,1))</f>
        <v>187.13674266165236</v>
      </c>
      <c r="AO145" s="62">
        <f t="shared" si="144"/>
        <v>439.28159165815276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5.8022640443089823</v>
      </c>
      <c r="AV145" s="23">
        <f>EXP(-LN(2)/25)*AV144+(1-EXP(-LN(2)/25))/(LN(2)/25)*Calculateur!AQ145*Calculateur!AS145*VLOOKUP('Données projet'!$B$10,Paramètres!$A$1:$I$89,3,0)*0.475*44/12</f>
        <v>1.9693947971159993</v>
      </c>
      <c r="AW145" s="23">
        <f>EXP(-LN(2)/2)*AW144+(1-EXP(-LN(2)/2))/(LN(2)/2)*AQ145*AT145*VLOOKUP('Données projet'!$B$10,Paramètres!$A$1:$I$89,3,0)*0.475*44/12</f>
        <v>6.0461892155290035E-16</v>
      </c>
      <c r="AX145" s="23">
        <f t="shared" si="114"/>
        <v>7.7716588414249825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87.539629191511665</v>
      </c>
      <c r="T146" s="62">
        <f t="shared" si="142"/>
        <v>411.51686965858363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7.211794514698405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1.540576152892012E-17</v>
      </c>
      <c r="AC146" s="24">
        <f t="shared" si="111"/>
        <v>7.211794514698405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6.7984728957526396E-14</v>
      </c>
      <c r="AK146" s="14">
        <f t="shared" si="143"/>
        <v>1.0682447123141398E-12</v>
      </c>
      <c r="AL146" s="22">
        <f t="shared" si="112"/>
        <v>1.978932943548152E-12</v>
      </c>
      <c r="AM146" s="62">
        <f t="shared" si="113"/>
        <v>293.3333333333353</v>
      </c>
      <c r="AN146" s="62">
        <f ca="1">AVERAGE(OFFSET($AM$3,0,0,'Données projet'!$E$10+1,1))-AVERAGE(OFFSET($H$3,0,0,'Données projet'!$E$10+1,1))</f>
        <v>187.13674266165236</v>
      </c>
      <c r="AO146" s="62">
        <f t="shared" si="144"/>
        <v>439.28159165815276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5.6884851854317002</v>
      </c>
      <c r="AV146" s="23">
        <f>EXP(-LN(2)/25)*AV145+(1-EXP(-LN(2)/25))/(LN(2)/25)*Calculateur!AQ146*Calculateur!AS146*VLOOKUP('Données projet'!$B$10,Paramètres!$A$1:$I$89,3,0)*0.475*44/12</f>
        <v>1.9155415928228909</v>
      </c>
      <c r="AW146" s="23">
        <f>EXP(-LN(2)/2)*AW145+(1-EXP(-LN(2)/2))/(LN(2)/2)*AQ146*AT146*VLOOKUP('Données projet'!$B$10,Paramètres!$A$1:$I$89,3,0)*0.475*44/12</f>
        <v>4.2753013946375306E-16</v>
      </c>
      <c r="AX146" s="23">
        <f t="shared" si="114"/>
        <v>7.6040267782545907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87.539629191511665</v>
      </c>
      <c r="T147" s="62">
        <f t="shared" si="142"/>
        <v>411.51686965858363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7.0703756230254822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1.0893518446442251E-17</v>
      </c>
      <c r="AC147" s="24">
        <f t="shared" si="111"/>
        <v>7.0703756230254822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6.7984728957526396E-14</v>
      </c>
      <c r="AK147" s="14">
        <f t="shared" si="143"/>
        <v>1.0682447123141398E-12</v>
      </c>
      <c r="AL147" s="22">
        <f t="shared" si="112"/>
        <v>1.978932943548152E-12</v>
      </c>
      <c r="AM147" s="62">
        <f t="shared" si="113"/>
        <v>293.3333333333353</v>
      </c>
      <c r="AN147" s="62">
        <f ca="1">AVERAGE(OFFSET($AM$3,0,0,'Données projet'!$E$10+1,1))-AVERAGE(OFFSET($H$3,0,0,'Données projet'!$E$10+1,1))</f>
        <v>187.13674266165236</v>
      </c>
      <c r="AO147" s="62">
        <f t="shared" si="144"/>
        <v>439.28159165815276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5.5769374605787503</v>
      </c>
      <c r="AV147" s="23">
        <f>EXP(-LN(2)/25)*AV146+(1-EXP(-LN(2)/25))/(LN(2)/25)*Calculateur!AQ147*Calculateur!AS147*VLOOKUP('Données projet'!$B$10,Paramètres!$A$1:$I$89,3,0)*0.475*44/12</f>
        <v>1.8631610072331946</v>
      </c>
      <c r="AW147" s="23">
        <f>EXP(-LN(2)/2)*AW146+(1-EXP(-LN(2)/2))/(LN(2)/2)*AQ147*AT147*VLOOKUP('Données projet'!$B$10,Paramètres!$A$1:$I$89,3,0)*0.475*44/12</f>
        <v>3.0230946077645017E-16</v>
      </c>
      <c r="AX147" s="23">
        <f t="shared" si="114"/>
        <v>7.4400984678119446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87.539629191511665</v>
      </c>
      <c r="T148" s="62">
        <f t="shared" si="142"/>
        <v>411.51686965858363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6.9317298695612584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7.7028807644600598E-18</v>
      </c>
      <c r="AC148" s="24">
        <f t="shared" si="111"/>
        <v>6.9317298695612584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6.7984728957526396E-14</v>
      </c>
      <c r="AK148" s="14">
        <f t="shared" si="143"/>
        <v>1.0682447123141398E-12</v>
      </c>
      <c r="AL148" s="22">
        <f t="shared" si="112"/>
        <v>1.978932943548152E-12</v>
      </c>
      <c r="AM148" s="62">
        <f t="shared" si="113"/>
        <v>293.3333333333353</v>
      </c>
      <c r="AN148" s="62">
        <f ca="1">AVERAGE(OFFSET($AM$3,0,0,'Données projet'!$E$10+1,1))-AVERAGE(OFFSET($H$3,0,0,'Données projet'!$E$10+1,1))</f>
        <v>187.13674266165236</v>
      </c>
      <c r="AO148" s="62">
        <f t="shared" si="144"/>
        <v>439.28159165815276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5.4675771185727724</v>
      </c>
      <c r="AV148" s="23">
        <f>EXP(-LN(2)/25)*AV147+(1-EXP(-LN(2)/25))/(LN(2)/25)*Calculateur!AQ148*Calculateur!AS148*VLOOKUP('Données projet'!$B$10,Paramètres!$A$1:$I$89,3,0)*0.475*44/12</f>
        <v>1.8122127715110239</v>
      </c>
      <c r="AW148" s="23">
        <f>EXP(-LN(2)/2)*AW147+(1-EXP(-LN(2)/2))/(LN(2)/2)*AQ148*AT148*VLOOKUP('Données projet'!$B$10,Paramètres!$A$1:$I$89,3,0)*0.475*44/12</f>
        <v>2.1376506973187653E-16</v>
      </c>
      <c r="AX148" s="23">
        <f t="shared" si="114"/>
        <v>7.2797898900837961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87.539629191511665</v>
      </c>
      <c r="T149" s="62">
        <f t="shared" si="142"/>
        <v>411.51686965858363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6.7958028747569079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5.4467592232211255E-18</v>
      </c>
      <c r="AC149" s="24">
        <f t="shared" si="111"/>
        <v>6.7958028747569079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6.7984728957526396E-14</v>
      </c>
      <c r="AK149" s="14">
        <f t="shared" si="143"/>
        <v>1.0682447123141398E-12</v>
      </c>
      <c r="AL149" s="22">
        <f t="shared" si="112"/>
        <v>1.978932943548152E-12</v>
      </c>
      <c r="AM149" s="62">
        <f t="shared" si="113"/>
        <v>293.3333333333353</v>
      </c>
      <c r="AN149" s="62">
        <f ca="1">AVERAGE(OFFSET($AM$3,0,0,'Données projet'!$E$10+1,1))-AVERAGE(OFFSET($H$3,0,0,'Données projet'!$E$10+1,1))</f>
        <v>187.13674266165236</v>
      </c>
      <c r="AO149" s="62">
        <f t="shared" si="144"/>
        <v>439.28159165815276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5.3603612661703091</v>
      </c>
      <c r="AV149" s="23">
        <f>EXP(-LN(2)/25)*AV148+(1-EXP(-LN(2)/25))/(LN(2)/25)*Calculateur!AQ149*Calculateur!AS149*VLOOKUP('Données projet'!$B$10,Paramètres!$A$1:$I$89,3,0)*0.475*44/12</f>
        <v>1.7626577179739271</v>
      </c>
      <c r="AW149" s="23">
        <f>EXP(-LN(2)/2)*AW148+(1-EXP(-LN(2)/2))/(LN(2)/2)*AQ149*AT149*VLOOKUP('Données projet'!$B$10,Paramètres!$A$1:$I$89,3,0)*0.475*44/12</f>
        <v>1.5115473038822509E-16</v>
      </c>
      <c r="AX149" s="23">
        <f t="shared" si="114"/>
        <v>7.1230189841442364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87.539629191511665</v>
      </c>
      <c r="T150" s="62">
        <f t="shared" si="142"/>
        <v>411.51686965858363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6.6625413254133905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3.8514403822300299E-18</v>
      </c>
      <c r="AC150" s="24">
        <f t="shared" si="111"/>
        <v>6.6625413254133905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6.7984728957526396E-14</v>
      </c>
      <c r="AK150" s="14">
        <f t="shared" si="143"/>
        <v>1.0682447123141398E-12</v>
      </c>
      <c r="AL150" s="22">
        <f t="shared" si="112"/>
        <v>1.978932943548152E-12</v>
      </c>
      <c r="AM150" s="62">
        <f t="shared" si="113"/>
        <v>293.3333333333353</v>
      </c>
      <c r="AN150" s="62">
        <f ca="1">AVERAGE(OFFSET($AM$3,0,0,'Données projet'!$E$10+1,1))-AVERAGE(OFFSET($H$3,0,0,'Données projet'!$E$10+1,1))</f>
        <v>187.13674266165236</v>
      </c>
      <c r="AO150" s="62">
        <f t="shared" si="144"/>
        <v>439.28159165815276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5.2552478512382459</v>
      </c>
      <c r="AV150" s="23">
        <f>EXP(-LN(2)/25)*AV149+(1-EXP(-LN(2)/25))/(LN(2)/25)*Calculateur!AQ150*Calculateur!AS150*VLOOKUP('Données projet'!$B$10,Paramètres!$A$1:$I$89,3,0)*0.475*44/12</f>
        <v>1.7144577499817892</v>
      </c>
      <c r="AW150" s="23">
        <f>EXP(-LN(2)/2)*AW149+(1-EXP(-LN(2)/2))/(LN(2)/2)*AQ150*AT150*VLOOKUP('Données projet'!$B$10,Paramètres!$A$1:$I$89,3,0)*0.475*44/12</f>
        <v>1.0688253486593826E-16</v>
      </c>
      <c r="AX150" s="23">
        <f t="shared" si="114"/>
        <v>6.9697056012200349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87.539629191511665</v>
      </c>
      <c r="T151" s="62">
        <f t="shared" si="142"/>
        <v>411.51686965858363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6.5318929537709804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2.7233796116105628E-18</v>
      </c>
      <c r="AC151" s="24">
        <f t="shared" si="111"/>
        <v>6.5318929537709804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6.7984728957526396E-14</v>
      </c>
      <c r="AK151" s="14">
        <f t="shared" si="143"/>
        <v>1.0682447123141398E-12</v>
      </c>
      <c r="AL151" s="22">
        <f t="shared" si="112"/>
        <v>1.978932943548152E-12</v>
      </c>
      <c r="AM151" s="62">
        <f t="shared" si="113"/>
        <v>293.3333333333353</v>
      </c>
      <c r="AN151" s="62">
        <f ca="1">AVERAGE(OFFSET($AM$3,0,0,'Données projet'!$E$10+1,1))-AVERAGE(OFFSET($H$3,0,0,'Données projet'!$E$10+1,1))</f>
        <v>187.13674266165236</v>
      </c>
      <c r="AO151" s="62">
        <f t="shared" si="144"/>
        <v>439.28159165815276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5.1521956462601475</v>
      </c>
      <c r="AV151" s="23">
        <f>EXP(-LN(2)/25)*AV150+(1-EXP(-LN(2)/25))/(LN(2)/25)*Calculateur!AQ151*Calculateur!AS151*VLOOKUP('Données projet'!$B$10,Paramètres!$A$1:$I$89,3,0)*0.475*44/12</f>
        <v>1.6675758126491227</v>
      </c>
      <c r="AW151" s="23">
        <f>EXP(-LN(2)/2)*AW150+(1-EXP(-LN(2)/2))/(LN(2)/2)*AQ151*AT151*VLOOKUP('Données projet'!$B$10,Paramètres!$A$1:$I$89,3,0)*0.475*44/12</f>
        <v>7.5577365194112544E-17</v>
      </c>
      <c r="AX151" s="23">
        <f t="shared" si="114"/>
        <v>6.8197714589092699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87.539629191511665</v>
      </c>
      <c r="T152" s="62">
        <f t="shared" si="142"/>
        <v>411.51686965858363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6.4038065170088396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1.9257201911150149E-18</v>
      </c>
      <c r="AC152" s="24">
        <f t="shared" si="111"/>
        <v>6.4038065170088396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6.7984728957526396E-14</v>
      </c>
      <c r="AK152" s="14">
        <f t="shared" si="143"/>
        <v>1.0682447123141398E-12</v>
      </c>
      <c r="AL152" s="22">
        <f t="shared" si="112"/>
        <v>1.978932943548152E-12</v>
      </c>
      <c r="AM152" s="62">
        <f t="shared" si="113"/>
        <v>293.3333333333353</v>
      </c>
      <c r="AN152" s="62">
        <f ca="1">AVERAGE(OFFSET($AM$3,0,0,'Données projet'!$E$10+1,1))-AVERAGE(OFFSET($H$3,0,0,'Données projet'!$E$10+1,1))</f>
        <v>187.13674266165236</v>
      </c>
      <c r="AO152" s="62">
        <f t="shared" si="144"/>
        <v>439.28159165815276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5.0511642321660313</v>
      </c>
      <c r="AV152" s="23">
        <f>EXP(-LN(2)/25)*AV151+(1-EXP(-LN(2)/25))/(LN(2)/25)*Calculateur!AQ152*Calculateur!AS152*VLOOKUP('Données projet'!$B$10,Paramètres!$A$1:$I$89,3,0)*0.475*44/12</f>
        <v>1.6219758643582318</v>
      </c>
      <c r="AW152" s="23">
        <f>EXP(-LN(2)/2)*AW151+(1-EXP(-LN(2)/2))/(LN(2)/2)*AQ152*AT152*VLOOKUP('Données projet'!$B$10,Paramètres!$A$1:$I$89,3,0)*0.475*44/12</f>
        <v>5.3441267432969132E-17</v>
      </c>
      <c r="AX152" s="23">
        <f t="shared" si="114"/>
        <v>6.6731400965242633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87.539629191511665</v>
      </c>
      <c r="T153" s="62">
        <f t="shared" si="142"/>
        <v>411.51686965858363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6.2782317771465923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1.3616898058052814E-18</v>
      </c>
      <c r="AC153" s="24">
        <f t="shared" si="111"/>
        <v>6.2782317771465923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6.7984728957526396E-14</v>
      </c>
      <c r="AK153" s="14">
        <f t="shared" si="143"/>
        <v>1.0682447123141398E-12</v>
      </c>
      <c r="AL153" s="22">
        <f t="shared" si="112"/>
        <v>1.978932943548152E-12</v>
      </c>
      <c r="AM153" s="62">
        <f t="shared" si="113"/>
        <v>293.3333333333353</v>
      </c>
      <c r="AN153" s="62">
        <f ca="1">AVERAGE(OFFSET($AM$3,0,0,'Données projet'!$E$10+1,1))-AVERAGE(OFFSET($H$3,0,0,'Données projet'!$E$10+1,1))</f>
        <v>187.13674266165236</v>
      </c>
      <c r="AO153" s="62">
        <f t="shared" si="144"/>
        <v>439.28159165815276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4.9521139824792231</v>
      </c>
      <c r="AV153" s="23">
        <f>EXP(-LN(2)/25)*AV152+(1-EXP(-LN(2)/25))/(LN(2)/25)*Calculateur!AQ153*Calculateur!AS153*VLOOKUP('Données projet'!$B$10,Paramètres!$A$1:$I$89,3,0)*0.475*44/12</f>
        <v>1.5776228490513524</v>
      </c>
      <c r="AW153" s="23">
        <f>EXP(-LN(2)/2)*AW152+(1-EXP(-LN(2)/2))/(LN(2)/2)*AQ153*AT153*VLOOKUP('Données projet'!$B$10,Paramètres!$A$1:$I$89,3,0)*0.475*44/12</f>
        <v>3.7788682597056272E-17</v>
      </c>
      <c r="AX153" s="23">
        <f t="shared" si="114"/>
        <v>6.5297368315305757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87.539629191511665</v>
      </c>
      <c r="T154" s="62">
        <f t="shared" si="142"/>
        <v>411.51686965858363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6.1551194813400159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9.6286009555750747E-19</v>
      </c>
      <c r="AC154" s="24">
        <f t="shared" ref="AC154:AC203" si="163">SUM(Z154:AB154)</f>
        <v>6.1551194813400159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6.7984728957526396E-14</v>
      </c>
      <c r="AK154" s="14">
        <f t="shared" ref="AK154:AK203" si="164">EXP(-1.0587+0.8836*LN(AJ154)+0.284)</f>
        <v>1.0682447123141398E-12</v>
      </c>
      <c r="AL154" s="22">
        <f t="shared" ref="AL154:AL203" si="165">(AJ154+AK154)*0.475*44/12</f>
        <v>1.978932943548152E-12</v>
      </c>
      <c r="AM154" s="62">
        <f t="shared" si="113"/>
        <v>293.3333333333353</v>
      </c>
      <c r="AN154" s="62">
        <f ca="1">AVERAGE(OFFSET($AM$3,0,0,'Données projet'!$E$10+1,1))-AVERAGE(OFFSET($H$3,0,0,'Données projet'!$E$10+1,1))</f>
        <v>187.13674266165236</v>
      </c>
      <c r="AO154" s="62">
        <f t="shared" si="144"/>
        <v>439.28159165815276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4.8550060477740864</v>
      </c>
      <c r="AV154" s="23">
        <f>EXP(-LN(2)/25)*AV153+(1-EXP(-LN(2)/25))/(LN(2)/25)*Calculateur!AQ154*Calculateur!AS154*VLOOKUP('Données projet'!$B$10,Paramètres!$A$1:$I$89,3,0)*0.475*44/12</f>
        <v>1.5344826692804632</v>
      </c>
      <c r="AW154" s="23">
        <f>EXP(-LN(2)/2)*AW153+(1-EXP(-LN(2)/2))/(LN(2)/2)*AQ154*AT154*VLOOKUP('Données projet'!$B$10,Paramètres!$A$1:$I$89,3,0)*0.475*44/12</f>
        <v>2.6720633716484566E-17</v>
      </c>
      <c r="AX154" s="23">
        <f t="shared" ref="AX154:AX203" si="166">SUM(AU154:AW154)</f>
        <v>6.3894887170545491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87.539629191511665</v>
      </c>
      <c r="T155" s="62">
        <f t="shared" si="142"/>
        <v>411.51686965858363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6.0344213425631201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6.8084490290264069E-19</v>
      </c>
      <c r="AC155" s="24">
        <f t="shared" si="163"/>
        <v>6.0344213425631201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6.7984728957526396E-14</v>
      </c>
      <c r="AK155" s="14">
        <f t="shared" si="164"/>
        <v>1.0682447123141398E-12</v>
      </c>
      <c r="AL155" s="22">
        <f t="shared" si="165"/>
        <v>1.978932943548152E-12</v>
      </c>
      <c r="AM155" s="62">
        <f t="shared" si="113"/>
        <v>293.3333333333353</v>
      </c>
      <c r="AN155" s="62">
        <f ca="1">AVERAGE(OFFSET($AM$3,0,0,'Données projet'!$E$10+1,1))-AVERAGE(OFFSET($H$3,0,0,'Données projet'!$E$10+1,1))</f>
        <v>187.13674266165236</v>
      </c>
      <c r="AO155" s="62">
        <f t="shared" si="144"/>
        <v>439.28159165815276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4.759802340438525</v>
      </c>
      <c r="AV155" s="23">
        <f>EXP(-LN(2)/25)*AV154+(1-EXP(-LN(2)/25))/(LN(2)/25)*Calculateur!AQ155*Calculateur!AS155*VLOOKUP('Données projet'!$B$10,Paramètres!$A$1:$I$89,3,0)*0.475*44/12</f>
        <v>1.4925221599940524</v>
      </c>
      <c r="AW155" s="23">
        <f>EXP(-LN(2)/2)*AW154+(1-EXP(-LN(2)/2))/(LN(2)/2)*AQ155*AT155*VLOOKUP('Données projet'!$B$10,Paramètres!$A$1:$I$89,3,0)*0.475*44/12</f>
        <v>1.8894341298528136E-17</v>
      </c>
      <c r="AX155" s="23">
        <f t="shared" si="166"/>
        <v>6.2523245004325769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87.539629191511665</v>
      </c>
      <c r="T156" s="62">
        <f t="shared" si="142"/>
        <v>411.51686965858363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5.9160900206690439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4.8143004777875374E-19</v>
      </c>
      <c r="AC156" s="24">
        <f t="shared" si="163"/>
        <v>5.9160900206690439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6.7984728957526396E-14</v>
      </c>
      <c r="AK156" s="14">
        <f t="shared" si="164"/>
        <v>1.0682447123141398E-12</v>
      </c>
      <c r="AL156" s="22">
        <f t="shared" si="165"/>
        <v>1.978932943548152E-12</v>
      </c>
      <c r="AM156" s="62">
        <f t="shared" si="113"/>
        <v>293.3333333333353</v>
      </c>
      <c r="AN156" s="62">
        <f ca="1">AVERAGE(OFFSET($AM$3,0,0,'Données projet'!$E$10+1,1))-AVERAGE(OFFSET($H$3,0,0,'Données projet'!$E$10+1,1))</f>
        <v>187.13674266165236</v>
      </c>
      <c r="AO156" s="62">
        <f t="shared" si="144"/>
        <v>439.28159165815276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4.6664655197352864</v>
      </c>
      <c r="AV156" s="23">
        <f>EXP(-LN(2)/25)*AV155+(1-EXP(-LN(2)/25))/(LN(2)/25)*Calculateur!AQ156*Calculateur!AS156*VLOOKUP('Données projet'!$B$10,Paramètres!$A$1:$I$89,3,0)*0.475*44/12</f>
        <v>1.4517090630406857</v>
      </c>
      <c r="AW156" s="23">
        <f>EXP(-LN(2)/2)*AW155+(1-EXP(-LN(2)/2))/(LN(2)/2)*AQ156*AT156*VLOOKUP('Données projet'!$B$10,Paramètres!$A$1:$I$89,3,0)*0.475*44/12</f>
        <v>1.3360316858242283E-17</v>
      </c>
      <c r="AX156" s="23">
        <f t="shared" si="166"/>
        <v>6.1181745827759721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87.539629191511665</v>
      </c>
      <c r="T157" s="62">
        <f t="shared" si="142"/>
        <v>411.51686965858363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5.8000791038223305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3.4042245145132035E-19</v>
      </c>
      <c r="AC157" s="24">
        <f t="shared" si="163"/>
        <v>5.8000791038223305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6.7984728957526396E-14</v>
      </c>
      <c r="AK157" s="14">
        <f t="shared" si="164"/>
        <v>1.0682447123141398E-12</v>
      </c>
      <c r="AL157" s="22">
        <f t="shared" si="165"/>
        <v>1.978932943548152E-12</v>
      </c>
      <c r="AM157" s="62">
        <f t="shared" si="113"/>
        <v>293.3333333333353</v>
      </c>
      <c r="AN157" s="62">
        <f ca="1">AVERAGE(OFFSET($AM$3,0,0,'Données projet'!$E$10+1,1))-AVERAGE(OFFSET($H$3,0,0,'Données projet'!$E$10+1,1))</f>
        <v>187.13674266165236</v>
      </c>
      <c r="AO157" s="62">
        <f t="shared" si="144"/>
        <v>439.28159165815276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4.5749589771561991</v>
      </c>
      <c r="AV157" s="23">
        <f>EXP(-LN(2)/25)*AV156+(1-EXP(-LN(2)/25))/(LN(2)/25)*Calculateur!AQ157*Calculateur!AS157*VLOOKUP('Données projet'!$B$10,Paramètres!$A$1:$I$89,3,0)*0.475*44/12</f>
        <v>1.4120120023697764</v>
      </c>
      <c r="AW157" s="23">
        <f>EXP(-LN(2)/2)*AW156+(1-EXP(-LN(2)/2))/(LN(2)/2)*AQ157*AT157*VLOOKUP('Données projet'!$B$10,Paramètres!$A$1:$I$89,3,0)*0.475*44/12</f>
        <v>9.447170649264068E-18</v>
      </c>
      <c r="AX157" s="23">
        <f t="shared" si="166"/>
        <v>5.9869709795259753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87.539629191511665</v>
      </c>
      <c r="T158" s="62">
        <f t="shared" si="142"/>
        <v>411.51686965858363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5.6863430902953089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2.4071502388937687E-19</v>
      </c>
      <c r="AC158" s="24">
        <f t="shared" si="163"/>
        <v>5.6863430902953089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6.7984728957526396E-14</v>
      </c>
      <c r="AK158" s="14">
        <f t="shared" si="164"/>
        <v>1.0682447123141398E-12</v>
      </c>
      <c r="AL158" s="22">
        <f t="shared" si="165"/>
        <v>1.978932943548152E-12</v>
      </c>
      <c r="AM158" s="62">
        <f t="shared" si="113"/>
        <v>293.3333333333353</v>
      </c>
      <c r="AN158" s="62">
        <f ca="1">AVERAGE(OFFSET($AM$3,0,0,'Données projet'!$E$10+1,1))-AVERAGE(OFFSET($H$3,0,0,'Données projet'!$E$10+1,1))</f>
        <v>187.13674266165236</v>
      </c>
      <c r="AO158" s="62">
        <f t="shared" si="144"/>
        <v>439.28159165815276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4.4852468220636084</v>
      </c>
      <c r="AV158" s="23">
        <f>EXP(-LN(2)/25)*AV157+(1-EXP(-LN(2)/25))/(LN(2)/25)*Calculateur!AQ158*Calculateur!AS158*VLOOKUP('Données projet'!$B$10,Paramètres!$A$1:$I$89,3,0)*0.475*44/12</f>
        <v>1.373400459910491</v>
      </c>
      <c r="AW158" s="23">
        <f>EXP(-LN(2)/2)*AW157+(1-EXP(-LN(2)/2))/(LN(2)/2)*AQ158*AT158*VLOOKUP('Données projet'!$B$10,Paramètres!$A$1:$I$89,3,0)*0.475*44/12</f>
        <v>6.6801584291211415E-18</v>
      </c>
      <c r="AX158" s="23">
        <f t="shared" si="166"/>
        <v>5.8586472819740996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87.539629191511665</v>
      </c>
      <c r="T159" s="62">
        <f t="shared" si="142"/>
        <v>411.51686965858363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5.5748373706214345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1.7021122572566017E-19</v>
      </c>
      <c r="AC159" s="24">
        <f t="shared" si="163"/>
        <v>5.5748373706214345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6.7984728957526396E-14</v>
      </c>
      <c r="AK159" s="14">
        <f t="shared" si="164"/>
        <v>1.0682447123141398E-12</v>
      </c>
      <c r="AL159" s="22">
        <f t="shared" si="165"/>
        <v>1.978932943548152E-12</v>
      </c>
      <c r="AM159" s="62">
        <f t="shared" si="113"/>
        <v>293.3333333333353</v>
      </c>
      <c r="AN159" s="62">
        <f ca="1">AVERAGE(OFFSET($AM$3,0,0,'Données projet'!$E$10+1,1))-AVERAGE(OFFSET($H$3,0,0,'Données projet'!$E$10+1,1))</f>
        <v>187.13674266165236</v>
      </c>
      <c r="AO159" s="62">
        <f t="shared" si="144"/>
        <v>439.28159165815276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4.3972938676133717</v>
      </c>
      <c r="AV159" s="23">
        <f>EXP(-LN(2)/25)*AV158+(1-EXP(-LN(2)/25))/(LN(2)/25)*Calculateur!AQ159*Calculateur!AS159*VLOOKUP('Données projet'!$B$10,Paramètres!$A$1:$I$89,3,0)*0.475*44/12</f>
        <v>1.3358447521102474</v>
      </c>
      <c r="AW159" s="23">
        <f>EXP(-LN(2)/2)*AW158+(1-EXP(-LN(2)/2))/(LN(2)/2)*AQ159*AT159*VLOOKUP('Données projet'!$B$10,Paramètres!$A$1:$I$89,3,0)*0.475*44/12</f>
        <v>4.723585324632034E-18</v>
      </c>
      <c r="AX159" s="23">
        <f t="shared" si="166"/>
        <v>5.7331386197236194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87.539629191511665</v>
      </c>
      <c r="T160" s="62">
        <f t="shared" si="142"/>
        <v>411.51686965858363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5.4655182100985913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1.2035751194468843E-19</v>
      </c>
      <c r="AC160" s="24">
        <f t="shared" si="163"/>
        <v>5.4655182100985913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6.7984728957526396E-14</v>
      </c>
      <c r="AK160" s="14">
        <f t="shared" si="164"/>
        <v>1.0682447123141398E-12</v>
      </c>
      <c r="AL160" s="22">
        <f t="shared" si="165"/>
        <v>1.978932943548152E-12</v>
      </c>
      <c r="AM160" s="62">
        <f t="shared" si="113"/>
        <v>293.3333333333353</v>
      </c>
      <c r="AN160" s="62">
        <f ca="1">AVERAGE(OFFSET($AM$3,0,0,'Données projet'!$E$10+1,1))-AVERAGE(OFFSET($H$3,0,0,'Données projet'!$E$10+1,1))</f>
        <v>187.13674266165236</v>
      </c>
      <c r="AO160" s="62">
        <f t="shared" si="144"/>
        <v>439.28159165815276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4.3110656169538988</v>
      </c>
      <c r="AV160" s="23">
        <f>EXP(-LN(2)/25)*AV159+(1-EXP(-LN(2)/25))/(LN(2)/25)*Calculateur!AQ160*Calculateur!AS160*VLOOKUP('Données projet'!$B$10,Paramètres!$A$1:$I$89,3,0)*0.475*44/12</f>
        <v>1.2993160071147702</v>
      </c>
      <c r="AW160" s="23">
        <f>EXP(-LN(2)/2)*AW159+(1-EXP(-LN(2)/2))/(LN(2)/2)*AQ160*AT160*VLOOKUP('Données projet'!$B$10,Paramètres!$A$1:$I$89,3,0)*0.475*44/12</f>
        <v>3.3400792145605707E-18</v>
      </c>
      <c r="AX160" s="23">
        <f t="shared" si="166"/>
        <v>5.610381624068669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87.539629191511665</v>
      </c>
      <c r="T161" s="62">
        <f t="shared" si="142"/>
        <v>411.51686965858363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5.3583427316354966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8.5105612862830086E-20</v>
      </c>
      <c r="AC161" s="24">
        <f t="shared" si="163"/>
        <v>5.3583427316354966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6.7984728957526396E-14</v>
      </c>
      <c r="AK161" s="14">
        <f t="shared" si="164"/>
        <v>1.0682447123141398E-12</v>
      </c>
      <c r="AL161" s="22">
        <f t="shared" si="165"/>
        <v>1.978932943548152E-12</v>
      </c>
      <c r="AM161" s="62">
        <f t="shared" si="113"/>
        <v>293.3333333333353</v>
      </c>
      <c r="AN161" s="62">
        <f ca="1">AVERAGE(OFFSET($AM$3,0,0,'Données projet'!$E$10+1,1))-AVERAGE(OFFSET($H$3,0,0,'Données projet'!$E$10+1,1))</f>
        <v>187.13674266165236</v>
      </c>
      <c r="AO161" s="62">
        <f t="shared" si="144"/>
        <v>439.28159165815276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4.2265282496958188</v>
      </c>
      <c r="AV161" s="23">
        <f>EXP(-LN(2)/25)*AV160+(1-EXP(-LN(2)/25))/(LN(2)/25)*Calculateur!AQ161*Calculateur!AS161*VLOOKUP('Données projet'!$B$10,Paramètres!$A$1:$I$89,3,0)*0.475*44/12</f>
        <v>1.2637861425721577</v>
      </c>
      <c r="AW161" s="23">
        <f>EXP(-LN(2)/2)*AW160+(1-EXP(-LN(2)/2))/(LN(2)/2)*AQ161*AT161*VLOOKUP('Données projet'!$B$10,Paramètres!$A$1:$I$89,3,0)*0.475*44/12</f>
        <v>2.361792662316017E-18</v>
      </c>
      <c r="AX161" s="23">
        <f t="shared" si="166"/>
        <v>5.490314392267976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87.539629191511665</v>
      </c>
      <c r="T162" s="62">
        <f t="shared" si="142"/>
        <v>411.51686965858363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5.2532688989344765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6.0178755972344217E-20</v>
      </c>
      <c r="AC162" s="24">
        <f t="shared" si="163"/>
        <v>5.2532688989344765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6.7984728957526396E-14</v>
      </c>
      <c r="AK162" s="14">
        <f t="shared" si="164"/>
        <v>1.0682447123141398E-12</v>
      </c>
      <c r="AL162" s="22">
        <f t="shared" si="165"/>
        <v>1.978932943548152E-12</v>
      </c>
      <c r="AM162" s="62">
        <f t="shared" si="113"/>
        <v>293.3333333333353</v>
      </c>
      <c r="AN162" s="62">
        <f ca="1">AVERAGE(OFFSET($AM$3,0,0,'Données projet'!$E$10+1,1))-AVERAGE(OFFSET($H$3,0,0,'Données projet'!$E$10+1,1))</f>
        <v>187.13674266165236</v>
      </c>
      <c r="AO162" s="62">
        <f t="shared" si="144"/>
        <v>439.28159165815276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4.1436486086469673</v>
      </c>
      <c r="AV162" s="23">
        <f>EXP(-LN(2)/25)*AV161+(1-EXP(-LN(2)/25))/(LN(2)/25)*Calculateur!AQ162*Calculateur!AS162*VLOOKUP('Données projet'!$B$10,Paramètres!$A$1:$I$89,3,0)*0.475*44/12</f>
        <v>1.2292278440438973</v>
      </c>
      <c r="AW162" s="23">
        <f>EXP(-LN(2)/2)*AW161+(1-EXP(-LN(2)/2))/(LN(2)/2)*AQ162*AT162*VLOOKUP('Données projet'!$B$10,Paramètres!$A$1:$I$89,3,0)*0.475*44/12</f>
        <v>1.6700396072802854E-18</v>
      </c>
      <c r="AX162" s="23">
        <f t="shared" si="166"/>
        <v>5.3728764526908641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87.539629191511665</v>
      </c>
      <c r="T163" s="62">
        <f t="shared" si="142"/>
        <v>411.51686965858363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5.1502555000040138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4.2552806431415043E-20</v>
      </c>
      <c r="AC163" s="24">
        <f t="shared" si="163"/>
        <v>5.1502555000040138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6.7984728957526396E-14</v>
      </c>
      <c r="AK163" s="14">
        <f t="shared" si="164"/>
        <v>1.0682447123141398E-12</v>
      </c>
      <c r="AL163" s="22">
        <f t="shared" si="165"/>
        <v>1.978932943548152E-12</v>
      </c>
      <c r="AM163" s="62">
        <f t="shared" si="113"/>
        <v>293.3333333333353</v>
      </c>
      <c r="AN163" s="62">
        <f ca="1">AVERAGE(OFFSET($AM$3,0,0,'Données projet'!$E$10+1,1))-AVERAGE(OFFSET($H$3,0,0,'Données projet'!$E$10+1,1))</f>
        <v>187.13674266165236</v>
      </c>
      <c r="AO163" s="62">
        <f t="shared" si="144"/>
        <v>439.28159165815276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4.0623941868074942</v>
      </c>
      <c r="AV163" s="23">
        <f>EXP(-LN(2)/25)*AV162+(1-EXP(-LN(2)/25))/(LN(2)/25)*Calculateur!AQ163*Calculateur!AS163*VLOOKUP('Données projet'!$B$10,Paramètres!$A$1:$I$89,3,0)*0.475*44/12</f>
        <v>1.195614544006234</v>
      </c>
      <c r="AW163" s="23">
        <f>EXP(-LN(2)/2)*AW162+(1-EXP(-LN(2)/2))/(LN(2)/2)*AQ163*AT163*VLOOKUP('Données projet'!$B$10,Paramètres!$A$1:$I$89,3,0)*0.475*44/12</f>
        <v>1.1808963311580085E-18</v>
      </c>
      <c r="AX163" s="23">
        <f t="shared" si="166"/>
        <v>5.258008730813728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87.539629191511665</v>
      </c>
      <c r="T164" s="62">
        <f t="shared" si="142"/>
        <v>411.51686965858363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5.0492621309946077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3.0089377986172109E-20</v>
      </c>
      <c r="AC164" s="24">
        <f t="shared" si="163"/>
        <v>5.0492621309946077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6.7984728957526396E-14</v>
      </c>
      <c r="AK164" s="14">
        <f t="shared" si="164"/>
        <v>1.0682447123141398E-12</v>
      </c>
      <c r="AL164" s="22">
        <f t="shared" si="165"/>
        <v>1.978932943548152E-12</v>
      </c>
      <c r="AM164" s="62">
        <f t="shared" si="113"/>
        <v>293.3333333333353</v>
      </c>
      <c r="AN164" s="62">
        <f ca="1">AVERAGE(OFFSET($AM$3,0,0,'Données projet'!$E$10+1,1))-AVERAGE(OFFSET($H$3,0,0,'Données projet'!$E$10+1,1))</f>
        <v>187.13674266165236</v>
      </c>
      <c r="AO164" s="62">
        <f t="shared" si="144"/>
        <v>439.28159165815276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3.9827331146199891</v>
      </c>
      <c r="AV164" s="23">
        <f>EXP(-LN(2)/25)*AV163+(1-EXP(-LN(2)/25))/(LN(2)/25)*Calculateur!AQ164*Calculateur!AS164*VLOOKUP('Données projet'!$B$10,Paramètres!$A$1:$I$89,3,0)*0.475*44/12</f>
        <v>1.1629204014257473</v>
      </c>
      <c r="AW164" s="23">
        <f>EXP(-LN(2)/2)*AW163+(1-EXP(-LN(2)/2))/(LN(2)/2)*AQ164*AT164*VLOOKUP('Données projet'!$B$10,Paramètres!$A$1:$I$89,3,0)*0.475*44/12</f>
        <v>8.3501980364014269E-19</v>
      </c>
      <c r="AX164" s="23">
        <f t="shared" si="166"/>
        <v>5.1456535160457362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87.539629191511665</v>
      </c>
      <c r="T165" s="62">
        <f t="shared" si="142"/>
        <v>411.51686965858363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4.9502491803516033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2.1276403215707522E-20</v>
      </c>
      <c r="AC165" s="24">
        <f t="shared" si="163"/>
        <v>4.9502491803516033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6.7984728957526396E-14</v>
      </c>
      <c r="AK165" s="14">
        <f t="shared" si="164"/>
        <v>1.0682447123141398E-12</v>
      </c>
      <c r="AL165" s="22">
        <f t="shared" si="165"/>
        <v>1.978932943548152E-12</v>
      </c>
      <c r="AM165" s="62">
        <f t="shared" si="113"/>
        <v>293.3333333333353</v>
      </c>
      <c r="AN165" s="62">
        <f ca="1">AVERAGE(OFFSET($AM$3,0,0,'Données projet'!$E$10+1,1))-AVERAGE(OFFSET($H$3,0,0,'Données projet'!$E$10+1,1))</f>
        <v>187.13674266165236</v>
      </c>
      <c r="AO165" s="62">
        <f t="shared" si="144"/>
        <v>439.28159165815276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3.9046341474696247</v>
      </c>
      <c r="AV165" s="23">
        <f>EXP(-LN(2)/25)*AV164+(1-EXP(-LN(2)/25))/(LN(2)/25)*Calculateur!AQ165*Calculateur!AS165*VLOOKUP('Données projet'!$B$10,Paramètres!$A$1:$I$89,3,0)*0.475*44/12</f>
        <v>1.1311202818934343</v>
      </c>
      <c r="AW165" s="23">
        <f>EXP(-LN(2)/2)*AW164+(1-EXP(-LN(2)/2))/(LN(2)/2)*AQ165*AT165*VLOOKUP('Données projet'!$B$10,Paramètres!$A$1:$I$89,3,0)*0.475*44/12</f>
        <v>5.9044816557900425E-19</v>
      </c>
      <c r="AX165" s="23">
        <f t="shared" si="166"/>
        <v>5.0357544293630587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87.539629191511665</v>
      </c>
      <c r="T166" s="62">
        <f t="shared" si="142"/>
        <v>411.51686965858363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4.853177813278772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1.5044688993086054E-20</v>
      </c>
      <c r="AC166" s="24">
        <f t="shared" si="163"/>
        <v>4.853177813278772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6.7984728957526396E-14</v>
      </c>
      <c r="AK166" s="14">
        <f t="shared" si="164"/>
        <v>1.0682447123141398E-12</v>
      </c>
      <c r="AL166" s="22">
        <f t="shared" si="165"/>
        <v>1.978932943548152E-12</v>
      </c>
      <c r="AM166" s="62">
        <f t="shared" si="113"/>
        <v>293.3333333333353</v>
      </c>
      <c r="AN166" s="62">
        <f ca="1">AVERAGE(OFFSET($AM$3,0,0,'Données projet'!$E$10+1,1))-AVERAGE(OFFSET($H$3,0,0,'Données projet'!$E$10+1,1))</f>
        <v>187.13674266165236</v>
      </c>
      <c r="AO166" s="62">
        <f t="shared" si="144"/>
        <v>439.28159165815276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3.8280666534294125</v>
      </c>
      <c r="AV166" s="23">
        <f>EXP(-LN(2)/25)*AV165+(1-EXP(-LN(2)/25))/(LN(2)/25)*Calculateur!AQ166*Calculateur!AS166*VLOOKUP('Données projet'!$B$10,Paramètres!$A$1:$I$89,3,0)*0.475*44/12</f>
        <v>1.1001897383020278</v>
      </c>
      <c r="AW166" s="23">
        <f>EXP(-LN(2)/2)*AW165+(1-EXP(-LN(2)/2))/(LN(2)/2)*AQ166*AT166*VLOOKUP('Données projet'!$B$10,Paramètres!$A$1:$I$89,3,0)*0.475*44/12</f>
        <v>4.1750990182007134E-19</v>
      </c>
      <c r="AX166" s="23">
        <f t="shared" si="166"/>
        <v>4.9282563917314404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87.539629191511665</v>
      </c>
      <c r="T167" s="62">
        <f t="shared" si="142"/>
        <v>411.51686965858363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4.7580099565065508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1.0638201607853761E-20</v>
      </c>
      <c r="AC167" s="24">
        <f t="shared" si="163"/>
        <v>4.7580099565065508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6.7984728957526396E-14</v>
      </c>
      <c r="AK167" s="14">
        <f t="shared" si="164"/>
        <v>1.0682447123141398E-12</v>
      </c>
      <c r="AL167" s="22">
        <f t="shared" si="165"/>
        <v>1.978932943548152E-12</v>
      </c>
      <c r="AM167" s="62">
        <f t="shared" si="113"/>
        <v>293.3333333333353</v>
      </c>
      <c r="AN167" s="62">
        <f ca="1">AVERAGE(OFFSET($AM$3,0,0,'Données projet'!$E$10+1,1))-AVERAGE(OFFSET($H$3,0,0,'Données projet'!$E$10+1,1))</f>
        <v>187.13674266165236</v>
      </c>
      <c r="AO167" s="62">
        <f t="shared" si="144"/>
        <v>439.28159165815276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3.7530006012457693</v>
      </c>
      <c r="AV167" s="23">
        <f>EXP(-LN(2)/25)*AV166+(1-EXP(-LN(2)/25))/(LN(2)/25)*Calculateur!AQ167*Calculateur!AS167*VLOOKUP('Données projet'!$B$10,Paramètres!$A$1:$I$89,3,0)*0.475*44/12</f>
        <v>1.070104992051695</v>
      </c>
      <c r="AW167" s="23">
        <f>EXP(-LN(2)/2)*AW166+(1-EXP(-LN(2)/2))/(LN(2)/2)*AQ167*AT167*VLOOKUP('Données projet'!$B$10,Paramètres!$A$1:$I$89,3,0)*0.475*44/12</f>
        <v>2.9522408278950212E-19</v>
      </c>
      <c r="AX167" s="23">
        <f t="shared" si="166"/>
        <v>4.8231055932974645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87.539629191511665</v>
      </c>
      <c r="T168" s="62">
        <f t="shared" si="142"/>
        <v>411.51686965858363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4.6647082833589719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7.5223444965430271E-21</v>
      </c>
      <c r="AC168" s="24">
        <f t="shared" si="163"/>
        <v>4.6647082833589719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6.7984728957526396E-14</v>
      </c>
      <c r="AK168" s="14">
        <f t="shared" si="164"/>
        <v>1.0682447123141398E-12</v>
      </c>
      <c r="AL168" s="22">
        <f t="shared" si="165"/>
        <v>1.978932943548152E-12</v>
      </c>
      <c r="AM168" s="62">
        <f t="shared" si="113"/>
        <v>293.3333333333353</v>
      </c>
      <c r="AN168" s="62">
        <f ca="1">AVERAGE(OFFSET($AM$3,0,0,'Données projet'!$E$10+1,1))-AVERAGE(OFFSET($H$3,0,0,'Données projet'!$E$10+1,1))</f>
        <v>187.13674266165236</v>
      </c>
      <c r="AO168" s="62">
        <f t="shared" si="144"/>
        <v>439.28159165815276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3.6794065485596761</v>
      </c>
      <c r="AV168" s="23">
        <f>EXP(-LN(2)/25)*AV167+(1-EXP(-LN(2)/25))/(LN(2)/25)*Calculateur!AQ168*Calculateur!AS168*VLOOKUP('Données projet'!$B$10,Paramètres!$A$1:$I$89,3,0)*0.475*44/12</f>
        <v>1.0408429147696656</v>
      </c>
      <c r="AW168" s="23">
        <f>EXP(-LN(2)/2)*AW167+(1-EXP(-LN(2)/2))/(LN(2)/2)*AQ168*AT168*VLOOKUP('Données projet'!$B$10,Paramètres!$A$1:$I$89,3,0)*0.475*44/12</f>
        <v>2.0875495091003567E-19</v>
      </c>
      <c r="AX168" s="23">
        <f t="shared" si="166"/>
        <v>4.7202494633293419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87.539629191511665</v>
      </c>
      <c r="T169" s="62">
        <f t="shared" si="142"/>
        <v>411.51686965858363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4.5732361991134161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5.3191008039268804E-21</v>
      </c>
      <c r="AC169" s="24">
        <f t="shared" si="163"/>
        <v>4.5732361991134161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6.7984728957526396E-14</v>
      </c>
      <c r="AK169" s="14">
        <f t="shared" si="164"/>
        <v>1.0682447123141398E-12</v>
      </c>
      <c r="AL169" s="22">
        <f t="shared" si="165"/>
        <v>1.978932943548152E-12</v>
      </c>
      <c r="AM169" s="62">
        <f t="shared" si="113"/>
        <v>293.3333333333353</v>
      </c>
      <c r="AN169" s="62">
        <f ca="1">AVERAGE(OFFSET($AM$3,0,0,'Données projet'!$E$10+1,1))-AVERAGE(OFFSET($H$3,0,0,'Données projet'!$E$10+1,1))</f>
        <v>187.13674266165236</v>
      </c>
      <c r="AO169" s="62">
        <f t="shared" si="144"/>
        <v>439.28159165815276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3.6072556303588175</v>
      </c>
      <c r="AV169" s="23">
        <f>EXP(-LN(2)/25)*AV168+(1-EXP(-LN(2)/25))/(LN(2)/25)*Calculateur!AQ169*Calculateur!AS169*VLOOKUP('Données projet'!$B$10,Paramètres!$A$1:$I$89,3,0)*0.475*44/12</f>
        <v>1.0123810105297391</v>
      </c>
      <c r="AW169" s="23">
        <f>EXP(-LN(2)/2)*AW168+(1-EXP(-LN(2)/2))/(LN(2)/2)*AQ169*AT169*VLOOKUP('Données projet'!$B$10,Paramètres!$A$1:$I$89,3,0)*0.475*44/12</f>
        <v>1.4761204139475106E-19</v>
      </c>
      <c r="AX169" s="23">
        <f t="shared" si="166"/>
        <v>4.6196366408885563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87.539629191511665</v>
      </c>
      <c r="T170" s="62">
        <f t="shared" si="142"/>
        <v>411.51686965858363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4.4835578266474529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3.7611722482715136E-21</v>
      </c>
      <c r="AC170" s="24">
        <f t="shared" si="163"/>
        <v>4.4835578266474529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6.7984728957526396E-14</v>
      </c>
      <c r="AK170" s="14">
        <f t="shared" si="164"/>
        <v>1.0682447123141398E-12</v>
      </c>
      <c r="AL170" s="22">
        <f t="shared" si="165"/>
        <v>1.978932943548152E-12</v>
      </c>
      <c r="AM170" s="62">
        <f t="shared" si="113"/>
        <v>293.3333333333353</v>
      </c>
      <c r="AN170" s="62">
        <f ca="1">AVERAGE(OFFSET($AM$3,0,0,'Données projet'!$E$10+1,1))-AVERAGE(OFFSET($H$3,0,0,'Données projet'!$E$10+1,1))</f>
        <v>187.13674266165236</v>
      </c>
      <c r="AO170" s="62">
        <f t="shared" si="144"/>
        <v>439.28159165815276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3.5365195476561628</v>
      </c>
      <c r="AV170" s="23">
        <f>EXP(-LN(2)/25)*AV169+(1-EXP(-LN(2)/25))/(LN(2)/25)*Calculateur!AQ170*Calculateur!AS170*VLOOKUP('Données projet'!$B$10,Paramètres!$A$1:$I$89,3,0)*0.475*44/12</f>
        <v>0.98469739855799987</v>
      </c>
      <c r="AW170" s="23">
        <f>EXP(-LN(2)/2)*AW169+(1-EXP(-LN(2)/2))/(LN(2)/2)*AQ170*AT170*VLOOKUP('Données projet'!$B$10,Paramètres!$A$1:$I$89,3,0)*0.475*44/12</f>
        <v>1.0437747545501784E-19</v>
      </c>
      <c r="AX170" s="23">
        <f t="shared" si="166"/>
        <v>4.5212169462141629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87.539629191511665</v>
      </c>
      <c r="T171" s="62">
        <f t="shared" si="142"/>
        <v>411.51686965858363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4.3956379923671411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2.6595504019634402E-21</v>
      </c>
      <c r="AC171" s="24">
        <f t="shared" si="163"/>
        <v>4.3956379923671411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6.7984728957526396E-14</v>
      </c>
      <c r="AK171" s="14">
        <f t="shared" si="164"/>
        <v>1.0682447123141398E-12</v>
      </c>
      <c r="AL171" s="22">
        <f t="shared" si="165"/>
        <v>1.978932943548152E-12</v>
      </c>
      <c r="AM171" s="62">
        <f t="shared" si="113"/>
        <v>293.3333333333353</v>
      </c>
      <c r="AN171" s="62">
        <f ca="1">AVERAGE(OFFSET($AM$3,0,0,'Données projet'!$E$10+1,1))-AVERAGE(OFFSET($H$3,0,0,'Données projet'!$E$10+1,1))</f>
        <v>187.13674266165236</v>
      </c>
      <c r="AO171" s="62">
        <f t="shared" si="144"/>
        <v>439.28159165815276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3.467170556390557</v>
      </c>
      <c r="AV171" s="23">
        <f>EXP(-LN(2)/25)*AV170+(1-EXP(-LN(2)/25))/(LN(2)/25)*Calculateur!AQ171*Calculateur!AS171*VLOOKUP('Données projet'!$B$10,Paramètres!$A$1:$I$89,3,0)*0.475*44/12</f>
        <v>0.95777079641144569</v>
      </c>
      <c r="AW171" s="23">
        <f>EXP(-LN(2)/2)*AW170+(1-EXP(-LN(2)/2))/(LN(2)/2)*AQ171*AT171*VLOOKUP('Données projet'!$B$10,Paramètres!$A$1:$I$89,3,0)*0.475*44/12</f>
        <v>7.3806020697375531E-20</v>
      </c>
      <c r="AX171" s="23">
        <f t="shared" si="166"/>
        <v>4.4249413528020032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87.539629191511665</v>
      </c>
      <c r="T172" s="62">
        <f t="shared" si="142"/>
        <v>411.51686965858363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4.3094422124112626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1.8805861241357568E-21</v>
      </c>
      <c r="AC172" s="24">
        <f t="shared" si="163"/>
        <v>4.3094422124112626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6.7984728957526396E-14</v>
      </c>
      <c r="AK172" s="14">
        <f t="shared" si="164"/>
        <v>1.0682447123141398E-12</v>
      </c>
      <c r="AL172" s="22">
        <f t="shared" si="165"/>
        <v>1.978932943548152E-12</v>
      </c>
      <c r="AM172" s="62">
        <f t="shared" si="113"/>
        <v>293.3333333333353</v>
      </c>
      <c r="AN172" s="62">
        <f ca="1">AVERAGE(OFFSET($AM$3,0,0,'Données projet'!$E$10+1,1))-AVERAGE(OFFSET($H$3,0,0,'Données projet'!$E$10+1,1))</f>
        <v>187.13674266165236</v>
      </c>
      <c r="AO172" s="62">
        <f t="shared" si="144"/>
        <v>439.28159165815276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3.3991814565449618</v>
      </c>
      <c r="AV172" s="23">
        <f>EXP(-LN(2)/25)*AV171+(1-EXP(-LN(2)/25))/(LN(2)/25)*Calculateur!AQ172*Calculateur!AS172*VLOOKUP('Données projet'!$B$10,Paramètres!$A$1:$I$89,3,0)*0.475*44/12</f>
        <v>0.9315805036165975</v>
      </c>
      <c r="AW172" s="23">
        <f>EXP(-LN(2)/2)*AW171+(1-EXP(-LN(2)/2))/(LN(2)/2)*AQ172*AT172*VLOOKUP('Données projet'!$B$10,Paramètres!$A$1:$I$89,3,0)*0.475*44/12</f>
        <v>5.2188737727508918E-20</v>
      </c>
      <c r="AX172" s="23">
        <f t="shared" si="166"/>
        <v>4.330761960161559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87.539629191511665</v>
      </c>
      <c r="T173" s="62">
        <f t="shared" si="142"/>
        <v>411.51686965858363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4.2249366791260847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1.3297752009817201E-21</v>
      </c>
      <c r="AC173" s="24">
        <f t="shared" si="163"/>
        <v>4.2249366791260847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6.7984728957526396E-14</v>
      </c>
      <c r="AK173" s="14">
        <f t="shared" si="164"/>
        <v>1.0682447123141398E-12</v>
      </c>
      <c r="AL173" s="22">
        <f t="shared" si="165"/>
        <v>1.978932943548152E-12</v>
      </c>
      <c r="AM173" s="62">
        <f t="shared" si="113"/>
        <v>293.3333333333353</v>
      </c>
      <c r="AN173" s="62">
        <f ca="1">AVERAGE(OFFSET($AM$3,0,0,'Données projet'!$E$10+1,1))-AVERAGE(OFFSET($H$3,0,0,'Données projet'!$E$10+1,1))</f>
        <v>187.13674266165236</v>
      </c>
      <c r="AO173" s="62">
        <f t="shared" si="144"/>
        <v>439.28159165815276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3.3325255814780825</v>
      </c>
      <c r="AV173" s="23">
        <f>EXP(-LN(2)/25)*AV172+(1-EXP(-LN(2)/25))/(LN(2)/25)*Calculateur!AQ173*Calculateur!AS173*VLOOKUP('Données projet'!$B$10,Paramètres!$A$1:$I$89,3,0)*0.475*44/12</f>
        <v>0.90610638575551217</v>
      </c>
      <c r="AW173" s="23">
        <f>EXP(-LN(2)/2)*AW172+(1-EXP(-LN(2)/2))/(LN(2)/2)*AQ173*AT173*VLOOKUP('Données projet'!$B$10,Paramètres!$A$1:$I$89,3,0)*0.475*44/12</f>
        <v>3.6903010348687766E-20</v>
      </c>
      <c r="AX173" s="23">
        <f t="shared" si="166"/>
        <v>4.2386319672335944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87.539629191511665</v>
      </c>
      <c r="T174" s="62">
        <f t="shared" si="142"/>
        <v>411.51686965858363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4.1420882478053427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9.4029306206787839E-22</v>
      </c>
      <c r="AC174" s="24">
        <f t="shared" si="163"/>
        <v>4.1420882478053427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6.7984728957526396E-14</v>
      </c>
      <c r="AK174" s="14">
        <f t="shared" si="164"/>
        <v>1.0682447123141398E-12</v>
      </c>
      <c r="AL174" s="22">
        <f t="shared" si="165"/>
        <v>1.978932943548152E-12</v>
      </c>
      <c r="AM174" s="62">
        <f t="shared" si="113"/>
        <v>293.3333333333353</v>
      </c>
      <c r="AN174" s="62">
        <f ca="1">AVERAGE(OFFSET($AM$3,0,0,'Données projet'!$E$10+1,1))-AVERAGE(OFFSET($H$3,0,0,'Données projet'!$E$10+1,1))</f>
        <v>187.13674266165236</v>
      </c>
      <c r="AO174" s="62">
        <f t="shared" si="144"/>
        <v>439.28159165815276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3.2671767874651954</v>
      </c>
      <c r="AV174" s="23">
        <f>EXP(-LN(2)/25)*AV173+(1-EXP(-LN(2)/25))/(LN(2)/25)*Calculateur!AQ174*Calculateur!AS174*VLOOKUP('Données projet'!$B$10,Paramètres!$A$1:$I$89,3,0)*0.475*44/12</f>
        <v>0.88132885898696378</v>
      </c>
      <c r="AW174" s="23">
        <f>EXP(-LN(2)/2)*AW173+(1-EXP(-LN(2)/2))/(LN(2)/2)*AQ174*AT174*VLOOKUP('Données projet'!$B$10,Paramètres!$A$1:$I$89,3,0)*0.475*44/12</f>
        <v>2.6094368863754459E-20</v>
      </c>
      <c r="AX174" s="23">
        <f t="shared" si="166"/>
        <v>4.1485056464521595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87.539629191511665</v>
      </c>
      <c r="T175" s="62">
        <f t="shared" si="142"/>
        <v>411.51686965858363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4.0608644236902478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6.6488760049086005E-22</v>
      </c>
      <c r="AC175" s="24">
        <f t="shared" si="163"/>
        <v>4.0608644236902478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6.7984728957526396E-14</v>
      </c>
      <c r="AK175" s="14">
        <f t="shared" si="164"/>
        <v>1.0682447123141398E-12</v>
      </c>
      <c r="AL175" s="22">
        <f t="shared" si="165"/>
        <v>1.978932943548152E-12</v>
      </c>
      <c r="AM175" s="62">
        <f t="shared" si="113"/>
        <v>293.3333333333353</v>
      </c>
      <c r="AN175" s="62">
        <f ca="1">AVERAGE(OFFSET($AM$3,0,0,'Données projet'!$E$10+1,1))-AVERAGE(OFFSET($H$3,0,0,'Données projet'!$E$10+1,1))</f>
        <v>187.13674266165236</v>
      </c>
      <c r="AO175" s="62">
        <f t="shared" si="144"/>
        <v>439.28159165815276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3.2031094434440726</v>
      </c>
      <c r="AV175" s="23">
        <f>EXP(-LN(2)/25)*AV174+(1-EXP(-LN(2)/25))/(LN(2)/25)*Calculateur!AQ175*Calculateur!AS175*VLOOKUP('Données projet'!$B$10,Paramètres!$A$1:$I$89,3,0)*0.475*44/12</f>
        <v>0.85722887499089484</v>
      </c>
      <c r="AW175" s="23">
        <f>EXP(-LN(2)/2)*AW174+(1-EXP(-LN(2)/2))/(LN(2)/2)*AQ175*AT175*VLOOKUP('Données projet'!$B$10,Paramètres!$A$1:$I$89,3,0)*0.475*44/12</f>
        <v>1.8451505174343883E-20</v>
      </c>
      <c r="AX175" s="23">
        <f t="shared" si="166"/>
        <v>4.0603383184349671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87.539629191511665</v>
      </c>
      <c r="T176" s="62">
        <f t="shared" si="142"/>
        <v>411.51686965858363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3.9812333492244085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4.701465310339392E-22</v>
      </c>
      <c r="AC176" s="24">
        <f t="shared" si="163"/>
        <v>3.9812333492244085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6.7984728957526396E-14</v>
      </c>
      <c r="AK176" s="14">
        <f t="shared" si="164"/>
        <v>1.0682447123141398E-12</v>
      </c>
      <c r="AL176" s="22">
        <f t="shared" si="165"/>
        <v>1.978932943548152E-12</v>
      </c>
      <c r="AM176" s="62">
        <f t="shared" si="113"/>
        <v>293.3333333333353</v>
      </c>
      <c r="AN176" s="62">
        <f ca="1">AVERAGE(OFFSET($AM$3,0,0,'Données projet'!$E$10+1,1))-AVERAGE(OFFSET($H$3,0,0,'Données projet'!$E$10+1,1))</f>
        <v>187.13674266165236</v>
      </c>
      <c r="AO176" s="62">
        <f t="shared" si="144"/>
        <v>439.28159165815276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3.1402984209619826</v>
      </c>
      <c r="AV176" s="23">
        <f>EXP(-LN(2)/25)*AV175+(1-EXP(-LN(2)/25))/(LN(2)/25)*Calculateur!AQ176*Calculateur!AS176*VLOOKUP('Données projet'!$B$10,Paramètres!$A$1:$I$89,3,0)*0.475*44/12</f>
        <v>0.83378790632456146</v>
      </c>
      <c r="AW176" s="23">
        <f>EXP(-LN(2)/2)*AW175+(1-EXP(-LN(2)/2))/(LN(2)/2)*AQ176*AT176*VLOOKUP('Données projet'!$B$10,Paramètres!$A$1:$I$89,3,0)*0.475*44/12</f>
        <v>1.3047184431877229E-20</v>
      </c>
      <c r="AX176" s="23">
        <f t="shared" si="166"/>
        <v>3.9740863272865443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87.539629191511665</v>
      </c>
      <c r="T177" s="62">
        <f t="shared" si="142"/>
        <v>411.51686965858363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3.903163791558685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3.3244380024543002E-22</v>
      </c>
      <c r="AC177" s="24">
        <f t="shared" si="163"/>
        <v>3.903163791558685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6.7984728957526396E-14</v>
      </c>
      <c r="AK177" s="14">
        <f t="shared" si="164"/>
        <v>1.0682447123141398E-12</v>
      </c>
      <c r="AL177" s="22">
        <f t="shared" si="165"/>
        <v>1.978932943548152E-12</v>
      </c>
      <c r="AM177" s="62">
        <f t="shared" si="113"/>
        <v>293.3333333333353</v>
      </c>
      <c r="AN177" s="62">
        <f ca="1">AVERAGE(OFFSET($AM$3,0,0,'Données projet'!$E$10+1,1))-AVERAGE(OFFSET($H$3,0,0,'Données projet'!$E$10+1,1))</f>
        <v>187.13674266165236</v>
      </c>
      <c r="AO177" s="62">
        <f t="shared" si="144"/>
        <v>439.28159165815276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3.0787190843198258</v>
      </c>
      <c r="AV177" s="23">
        <f>EXP(-LN(2)/25)*AV176+(1-EXP(-LN(2)/25))/(LN(2)/25)*Calculateur!AQ177*Calculateur!AS177*VLOOKUP('Données projet'!$B$10,Paramètres!$A$1:$I$89,3,0)*0.475*44/12</f>
        <v>0.81098793217911602</v>
      </c>
      <c r="AW177" s="23">
        <f>EXP(-LN(2)/2)*AW176+(1-EXP(-LN(2)/2))/(LN(2)/2)*AQ177*AT177*VLOOKUP('Données projet'!$B$10,Paramètres!$A$1:$I$89,3,0)*0.475*44/12</f>
        <v>9.2257525871719414E-21</v>
      </c>
      <c r="AX177" s="23">
        <f t="shared" si="166"/>
        <v>3.8897070164989418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87.539629191511665</v>
      </c>
      <c r="T178" s="62">
        <f t="shared" si="142"/>
        <v>411.51686965858363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3.8266251303010579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2.350732655169696E-22</v>
      </c>
      <c r="AC178" s="24">
        <f t="shared" si="163"/>
        <v>3.8266251303010579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6.7984728957526396E-14</v>
      </c>
      <c r="AK178" s="14">
        <f t="shared" si="164"/>
        <v>1.0682447123141398E-12</v>
      </c>
      <c r="AL178" s="22">
        <f t="shared" si="165"/>
        <v>1.978932943548152E-12</v>
      </c>
      <c r="AM178" s="62">
        <f t="shared" si="113"/>
        <v>293.3333333333353</v>
      </c>
      <c r="AN178" s="62">
        <f ca="1">AVERAGE(OFFSET($AM$3,0,0,'Données projet'!$E$10+1,1))-AVERAGE(OFFSET($H$3,0,0,'Données projet'!$E$10+1,1))</f>
        <v>187.13674266165236</v>
      </c>
      <c r="AO178" s="62">
        <f t="shared" si="144"/>
        <v>439.28159165815276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3.0183472809095346</v>
      </c>
      <c r="AV178" s="23">
        <f>EXP(-LN(2)/25)*AV177+(1-EXP(-LN(2)/25))/(LN(2)/25)*Calculateur!AQ178*Calculateur!AS178*VLOOKUP('Données projet'!$B$10,Paramètres!$A$1:$I$89,3,0)*0.475*44/12</f>
        <v>0.78881142452567632</v>
      </c>
      <c r="AW178" s="23">
        <f>EXP(-LN(2)/2)*AW177+(1-EXP(-LN(2)/2))/(LN(2)/2)*AQ178*AT178*VLOOKUP('Données projet'!$B$10,Paramètres!$A$1:$I$89,3,0)*0.475*44/12</f>
        <v>6.5235922159386147E-21</v>
      </c>
      <c r="AX178" s="23">
        <f t="shared" si="166"/>
        <v>3.807158705435211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87.539629191511665</v>
      </c>
      <c r="T179" s="62">
        <f t="shared" si="142"/>
        <v>411.51686965858363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3.751587345506719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1.6622190012271501E-22</v>
      </c>
      <c r="AC179" s="24">
        <f t="shared" si="163"/>
        <v>3.751587345506719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6.7984728957526396E-14</v>
      </c>
      <c r="AK179" s="14">
        <f t="shared" si="164"/>
        <v>1.0682447123141398E-12</v>
      </c>
      <c r="AL179" s="22">
        <f t="shared" si="165"/>
        <v>1.978932943548152E-12</v>
      </c>
      <c r="AM179" s="62">
        <f t="shared" si="113"/>
        <v>293.3333333333353</v>
      </c>
      <c r="AN179" s="62">
        <f ca="1">AVERAGE(OFFSET($AM$3,0,0,'Données projet'!$E$10+1,1))-AVERAGE(OFFSET($H$3,0,0,'Données projet'!$E$10+1,1))</f>
        <v>187.13674266165236</v>
      </c>
      <c r="AO179" s="62">
        <f t="shared" si="144"/>
        <v>439.28159165815276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2.9591593317409552</v>
      </c>
      <c r="AV179" s="23">
        <f>EXP(-LN(2)/25)*AV178+(1-EXP(-LN(2)/25))/(LN(2)/25)*Calculateur!AQ179*Calculateur!AS179*VLOOKUP('Données projet'!$B$10,Paramètres!$A$1:$I$89,3,0)*0.475*44/12</f>
        <v>0.7672413346402317</v>
      </c>
      <c r="AW179" s="23">
        <f>EXP(-LN(2)/2)*AW178+(1-EXP(-LN(2)/2))/(LN(2)/2)*AQ179*AT179*VLOOKUP('Données projet'!$B$10,Paramètres!$A$1:$I$89,3,0)*0.475*44/12</f>
        <v>4.6128762935859707E-21</v>
      </c>
      <c r="AX179" s="23">
        <f t="shared" si="166"/>
        <v>3.7264006663811871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87.539629191511665</v>
      </c>
      <c r="T180" s="62">
        <f t="shared" si="142"/>
        <v>411.51686965858363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3.678021005903668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1.175366327584848E-22</v>
      </c>
      <c r="AC180" s="24">
        <f t="shared" si="163"/>
        <v>3.678021005903668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6.7984728957526396E-14</v>
      </c>
      <c r="AK180" s="14">
        <f t="shared" si="164"/>
        <v>1.0682447123141398E-12</v>
      </c>
      <c r="AL180" s="22">
        <f t="shared" si="165"/>
        <v>1.978932943548152E-12</v>
      </c>
      <c r="AM180" s="62">
        <f t="shared" si="113"/>
        <v>293.3333333333353</v>
      </c>
      <c r="AN180" s="62">
        <f ca="1">AVERAGE(OFFSET($AM$3,0,0,'Données projet'!$E$10+1,1))-AVERAGE(OFFSET($H$3,0,0,'Données projet'!$E$10+1,1))</f>
        <v>187.13674266165236</v>
      </c>
      <c r="AO180" s="62">
        <f t="shared" si="144"/>
        <v>439.28159165815276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2.9011320221544876</v>
      </c>
      <c r="AV180" s="23">
        <f>EXP(-LN(2)/25)*AV179+(1-EXP(-LN(2)/25))/(LN(2)/25)*Calculateur!AQ180*Calculateur!AS180*VLOOKUP('Données projet'!$B$10,Paramètres!$A$1:$I$89,3,0)*0.475*44/12</f>
        <v>0.74626107999702629</v>
      </c>
      <c r="AW180" s="23">
        <f>EXP(-LN(2)/2)*AW179+(1-EXP(-LN(2)/2))/(LN(2)/2)*AQ180*AT180*VLOOKUP('Données projet'!$B$10,Paramètres!$A$1:$I$89,3,0)*0.475*44/12</f>
        <v>3.2617961079693074E-21</v>
      </c>
      <c r="AX180" s="23">
        <f t="shared" si="166"/>
        <v>3.647393102151514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87.539629191511665</v>
      </c>
      <c r="T181" s="62">
        <f t="shared" si="142"/>
        <v>411.51686965858363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3.6058972573491963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8.3110950061357506E-23</v>
      </c>
      <c r="AC181" s="24">
        <f t="shared" si="163"/>
        <v>3.6058972573491963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6.7984728957526396E-14</v>
      </c>
      <c r="AK181" s="14">
        <f t="shared" si="164"/>
        <v>1.0682447123141398E-12</v>
      </c>
      <c r="AL181" s="22">
        <f t="shared" si="165"/>
        <v>1.978932943548152E-12</v>
      </c>
      <c r="AM181" s="62">
        <f t="shared" si="113"/>
        <v>293.3333333333353</v>
      </c>
      <c r="AN181" s="62">
        <f ca="1">AVERAGE(OFFSET($AM$3,0,0,'Données projet'!$E$10+1,1))-AVERAGE(OFFSET($H$3,0,0,'Données projet'!$E$10+1,1))</f>
        <v>187.13674266165236</v>
      </c>
      <c r="AO181" s="62">
        <f t="shared" si="144"/>
        <v>439.28159165815276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2.8442425927158466</v>
      </c>
      <c r="AV181" s="23">
        <f>EXP(-LN(2)/25)*AV180+(1-EXP(-LN(2)/25))/(LN(2)/25)*Calculateur!AQ181*Calculateur!AS181*VLOOKUP('Données projet'!$B$10,Paramètres!$A$1:$I$89,3,0)*0.475*44/12</f>
        <v>0.72585453152034296</v>
      </c>
      <c r="AW181" s="23">
        <f>EXP(-LN(2)/2)*AW180+(1-EXP(-LN(2)/2))/(LN(2)/2)*AQ181*AT181*VLOOKUP('Données projet'!$B$10,Paramètres!$A$1:$I$89,3,0)*0.475*44/12</f>
        <v>2.3064381467929853E-21</v>
      </c>
      <c r="AX181" s="23">
        <f t="shared" si="166"/>
        <v>3.5700971242361894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87.539629191511665</v>
      </c>
      <c r="T182" s="62">
        <f t="shared" si="142"/>
        <v>411.51686965858363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3.5351878115127349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5.87683163792424E-23</v>
      </c>
      <c r="AC182" s="24">
        <f t="shared" si="163"/>
        <v>3.5351878115127349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6.7984728957526396E-14</v>
      </c>
      <c r="AK182" s="14">
        <f t="shared" si="164"/>
        <v>1.0682447123141398E-12</v>
      </c>
      <c r="AL182" s="22">
        <f t="shared" si="165"/>
        <v>1.978932943548152E-12</v>
      </c>
      <c r="AM182" s="62">
        <f t="shared" si="113"/>
        <v>293.3333333333353</v>
      </c>
      <c r="AN182" s="62">
        <f ca="1">AVERAGE(OFFSET($AM$3,0,0,'Données projet'!$E$10+1,1))-AVERAGE(OFFSET($H$3,0,0,'Données projet'!$E$10+1,1))</f>
        <v>187.13674266165236</v>
      </c>
      <c r="AO182" s="62">
        <f t="shared" si="144"/>
        <v>439.28159165815276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2.7884687302893716</v>
      </c>
      <c r="AV182" s="23">
        <f>EXP(-LN(2)/25)*AV181+(1-EXP(-LN(2)/25))/(LN(2)/25)*Calculateur!AQ182*Calculateur!AS182*VLOOKUP('Données projet'!$B$10,Paramètres!$A$1:$I$89,3,0)*0.475*44/12</f>
        <v>0.70600600118488832</v>
      </c>
      <c r="AW182" s="23">
        <f>EXP(-LN(2)/2)*AW181+(1-EXP(-LN(2)/2))/(LN(2)/2)*AQ182*AT182*VLOOKUP('Données projet'!$B$10,Paramètres!$A$1:$I$89,3,0)*0.475*44/12</f>
        <v>1.6308980539846537E-21</v>
      </c>
      <c r="AX182" s="23">
        <f t="shared" si="166"/>
        <v>3.4944747314742601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87.539629191511665</v>
      </c>
      <c r="T183" s="62">
        <f t="shared" si="142"/>
        <v>411.51686965858363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3.465864934780623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4.1555475030678753E-23</v>
      </c>
      <c r="AC183" s="24">
        <f t="shared" si="163"/>
        <v>3.465864934780623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6.7984728957526396E-14</v>
      </c>
      <c r="AK183" s="14">
        <f t="shared" si="164"/>
        <v>1.0682447123141398E-12</v>
      </c>
      <c r="AL183" s="22">
        <f t="shared" si="165"/>
        <v>1.978932943548152E-12</v>
      </c>
      <c r="AM183" s="62">
        <f t="shared" si="113"/>
        <v>293.3333333333353</v>
      </c>
      <c r="AN183" s="62">
        <f ca="1">AVERAGE(OFFSET($AM$3,0,0,'Données projet'!$E$10+1,1))-AVERAGE(OFFSET($H$3,0,0,'Données projet'!$E$10+1,1))</f>
        <v>187.13674266165236</v>
      </c>
      <c r="AO183" s="62">
        <f t="shared" si="144"/>
        <v>439.28159165815276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2.7337885592863826</v>
      </c>
      <c r="AV183" s="23">
        <f>EXP(-LN(2)/25)*AV182+(1-EXP(-LN(2)/25))/(LN(2)/25)*Calculateur!AQ183*Calculateur!AS183*VLOOKUP('Données projet'!$B$10,Paramètres!$A$1:$I$89,3,0)*0.475*44/12</f>
        <v>0.6867002299552456</v>
      </c>
      <c r="AW183" s="23">
        <f>EXP(-LN(2)/2)*AW182+(1-EXP(-LN(2)/2))/(LN(2)/2)*AQ183*AT183*VLOOKUP('Données projet'!$B$10,Paramètres!$A$1:$I$89,3,0)*0.475*44/12</f>
        <v>1.1532190733964927E-21</v>
      </c>
      <c r="AX183" s="23">
        <f t="shared" si="166"/>
        <v>3.4204887892416282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87.539629191511665</v>
      </c>
      <c r="T184" s="62">
        <f t="shared" si="142"/>
        <v>411.51686965858363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3.3979014373784482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2.93841581896212E-23</v>
      </c>
      <c r="AC184" s="24">
        <f t="shared" si="163"/>
        <v>3.3979014373784482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6.7984728957526396E-14</v>
      </c>
      <c r="AK184" s="14">
        <f t="shared" si="164"/>
        <v>1.0682447123141398E-12</v>
      </c>
      <c r="AL184" s="22">
        <f t="shared" si="165"/>
        <v>1.978932943548152E-12</v>
      </c>
      <c r="AM184" s="62">
        <f t="shared" si="113"/>
        <v>293.3333333333353</v>
      </c>
      <c r="AN184" s="62">
        <f ca="1">AVERAGE(OFFSET($AM$3,0,0,'Données projet'!$E$10+1,1))-AVERAGE(OFFSET($H$3,0,0,'Données projet'!$E$10+1,1))</f>
        <v>187.13674266165236</v>
      </c>
      <c r="AO184" s="62">
        <f t="shared" si="144"/>
        <v>439.28159165815276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2.680180633085151</v>
      </c>
      <c r="AV184" s="23">
        <f>EXP(-LN(2)/25)*AV183+(1-EXP(-LN(2)/25))/(LN(2)/25)*Calculateur!AQ184*Calculateur!AS184*VLOOKUP('Données projet'!$B$10,Paramètres!$A$1:$I$89,3,0)*0.475*44/12</f>
        <v>0.66792237605512383</v>
      </c>
      <c r="AW184" s="23">
        <f>EXP(-LN(2)/2)*AW183+(1-EXP(-LN(2)/2))/(LN(2)/2)*AQ184*AT184*VLOOKUP('Données projet'!$B$10,Paramètres!$A$1:$I$89,3,0)*0.475*44/12</f>
        <v>8.1544902699232684E-22</v>
      </c>
      <c r="AX184" s="23">
        <f t="shared" si="166"/>
        <v>3.3481030091402748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87.539629191511665</v>
      </c>
      <c r="T185" s="62">
        <f t="shared" si="142"/>
        <v>411.51686965858363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3.3312706627066899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2.0777737515339377E-23</v>
      </c>
      <c r="AC185" s="24">
        <f t="shared" si="163"/>
        <v>3.3312706627066899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6.7984728957526396E-14</v>
      </c>
      <c r="AK185" s="14">
        <f t="shared" si="164"/>
        <v>1.0682447123141398E-12</v>
      </c>
      <c r="AL185" s="22">
        <f t="shared" si="165"/>
        <v>1.978932943548152E-12</v>
      </c>
      <c r="AM185" s="62">
        <f t="shared" si="113"/>
        <v>293.3333333333353</v>
      </c>
      <c r="AN185" s="62">
        <f ca="1">AVERAGE(OFFSET($AM$3,0,0,'Données projet'!$E$10+1,1))-AVERAGE(OFFSET($H$3,0,0,'Données projet'!$E$10+1,1))</f>
        <v>187.13674266165236</v>
      </c>
      <c r="AO185" s="62">
        <f t="shared" si="144"/>
        <v>439.28159165815276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2.6276239256191194</v>
      </c>
      <c r="AV185" s="23">
        <f>EXP(-LN(2)/25)*AV184+(1-EXP(-LN(2)/25))/(LN(2)/25)*Calculateur!AQ185*Calculateur!AS185*VLOOKUP('Données projet'!$B$10,Paramètres!$A$1:$I$89,3,0)*0.475*44/12</f>
        <v>0.64965800355738523</v>
      </c>
      <c r="AW185" s="23">
        <f>EXP(-LN(2)/2)*AW184+(1-EXP(-LN(2)/2))/(LN(2)/2)*AQ185*AT185*VLOOKUP('Données projet'!$B$10,Paramètres!$A$1:$I$89,3,0)*0.475*44/12</f>
        <v>5.7660953669824634E-22</v>
      </c>
      <c r="AX185" s="23">
        <f t="shared" si="166"/>
        <v>3.2772819291765045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87.539629191511665</v>
      </c>
      <c r="T186" s="62">
        <f t="shared" si="142"/>
        <v>411.51686965858363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3.2659464768854849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1.46920790948106E-23</v>
      </c>
      <c r="AC186" s="24">
        <f t="shared" si="163"/>
        <v>3.2659464768854849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6.7984728957526396E-14</v>
      </c>
      <c r="AK186" s="14">
        <f t="shared" si="164"/>
        <v>1.0682447123141398E-12</v>
      </c>
      <c r="AL186" s="22">
        <f t="shared" si="165"/>
        <v>1.978932943548152E-12</v>
      </c>
      <c r="AM186" s="62">
        <f t="shared" si="113"/>
        <v>293.3333333333353</v>
      </c>
      <c r="AN186" s="62">
        <f ca="1">AVERAGE(OFFSET($AM$3,0,0,'Données projet'!$E$10+1,1))-AVERAGE(OFFSET($H$3,0,0,'Données projet'!$E$10+1,1))</f>
        <v>187.13674266165236</v>
      </c>
      <c r="AO186" s="62">
        <f t="shared" si="144"/>
        <v>439.28159165815276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2.5760978231300702</v>
      </c>
      <c r="AV186" s="23">
        <f>EXP(-LN(2)/25)*AV185+(1-EXP(-LN(2)/25))/(LN(2)/25)*Calculateur!AQ186*Calculateur!AS186*VLOOKUP('Données projet'!$B$10,Paramètres!$A$1:$I$89,3,0)*0.475*44/12</f>
        <v>0.63189307128607897</v>
      </c>
      <c r="AW186" s="23">
        <f>EXP(-LN(2)/2)*AW185+(1-EXP(-LN(2)/2))/(LN(2)/2)*AQ186*AT186*VLOOKUP('Données projet'!$B$10,Paramètres!$A$1:$I$89,3,0)*0.475*44/12</f>
        <v>4.0772451349616342E-22</v>
      </c>
      <c r="AX186" s="23">
        <f t="shared" si="166"/>
        <v>3.2079908944161493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87.539629191511665</v>
      </c>
      <c r="T187" s="62">
        <f t="shared" si="142"/>
        <v>411.51686965858363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3.2019032585044149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1.0388868757669688E-23</v>
      </c>
      <c r="AC187" s="24">
        <f t="shared" si="163"/>
        <v>3.2019032585044149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6.7984728957526396E-14</v>
      </c>
      <c r="AK187" s="14">
        <f t="shared" si="164"/>
        <v>1.0682447123141398E-12</v>
      </c>
      <c r="AL187" s="22">
        <f t="shared" si="165"/>
        <v>1.978932943548152E-12</v>
      </c>
      <c r="AM187" s="62">
        <f t="shared" si="113"/>
        <v>293.3333333333353</v>
      </c>
      <c r="AN187" s="62">
        <f ca="1">AVERAGE(OFFSET($AM$3,0,0,'Données projet'!$E$10+1,1))-AVERAGE(OFFSET($H$3,0,0,'Données projet'!$E$10+1,1))</f>
        <v>187.13674266165236</v>
      </c>
      <c r="AO187" s="62">
        <f t="shared" si="144"/>
        <v>439.28159165815276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2.5255821160830121</v>
      </c>
      <c r="AV187" s="23">
        <f>EXP(-LN(2)/25)*AV186+(1-EXP(-LN(2)/25))/(LN(2)/25)*Calculateur!AQ187*Calculateur!AS187*VLOOKUP('Données projet'!$B$10,Paramètres!$A$1:$I$89,3,0)*0.475*44/12</f>
        <v>0.61461392202194876</v>
      </c>
      <c r="AW187" s="23">
        <f>EXP(-LN(2)/2)*AW186+(1-EXP(-LN(2)/2))/(LN(2)/2)*AQ187*AT187*VLOOKUP('Données projet'!$B$10,Paramètres!$A$1:$I$89,3,0)*0.475*44/12</f>
        <v>2.8830476834912317E-22</v>
      </c>
      <c r="AX187" s="23">
        <f t="shared" si="166"/>
        <v>3.140196038104961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87.539629191511665</v>
      </c>
      <c r="T188" s="62">
        <f t="shared" si="142"/>
        <v>411.51686965858363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3.1391158885732913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7.3460395474052999E-24</v>
      </c>
      <c r="AC188" s="24">
        <f t="shared" si="163"/>
        <v>3.1391158885732913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6.7984728957526396E-14</v>
      </c>
      <c r="AK188" s="14">
        <f t="shared" si="164"/>
        <v>1.0682447123141398E-12</v>
      </c>
      <c r="AL188" s="22">
        <f t="shared" si="165"/>
        <v>1.978932943548152E-12</v>
      </c>
      <c r="AM188" s="62">
        <f t="shared" si="113"/>
        <v>293.3333333333353</v>
      </c>
      <c r="AN188" s="62">
        <f ca="1">AVERAGE(OFFSET($AM$3,0,0,'Données projet'!$E$10+1,1))-AVERAGE(OFFSET($H$3,0,0,'Données projet'!$E$10+1,1))</f>
        <v>187.13674266165236</v>
      </c>
      <c r="AO188" s="62">
        <f t="shared" si="144"/>
        <v>439.28159165815276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2.476056991239608</v>
      </c>
      <c r="AV188" s="23">
        <f>EXP(-LN(2)/25)*AV187+(1-EXP(-LN(2)/25))/(LN(2)/25)*Calculateur!AQ188*Calculateur!AS188*VLOOKUP('Données projet'!$B$10,Paramètres!$A$1:$I$89,3,0)*0.475*44/12</f>
        <v>0.59780727200311712</v>
      </c>
      <c r="AW188" s="23">
        <f>EXP(-LN(2)/2)*AW187+(1-EXP(-LN(2)/2))/(LN(2)/2)*AQ188*AT188*VLOOKUP('Données projet'!$B$10,Paramètres!$A$1:$I$89,3,0)*0.475*44/12</f>
        <v>2.0386225674808171E-22</v>
      </c>
      <c r="AX188" s="23">
        <f t="shared" si="166"/>
        <v>3.0738642632427249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87.539629191511665</v>
      </c>
      <c r="T189" s="62">
        <f t="shared" si="142"/>
        <v>411.51686965858363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3.077559740670003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5.1944343788348441E-24</v>
      </c>
      <c r="AC189" s="24">
        <f t="shared" si="163"/>
        <v>3.077559740670003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6.7984728957526396E-14</v>
      </c>
      <c r="AK189" s="14">
        <f t="shared" si="164"/>
        <v>1.0682447123141398E-12</v>
      </c>
      <c r="AL189" s="22">
        <f t="shared" si="165"/>
        <v>1.978932943548152E-12</v>
      </c>
      <c r="AM189" s="62">
        <f t="shared" si="113"/>
        <v>293.3333333333353</v>
      </c>
      <c r="AN189" s="62">
        <f ca="1">AVERAGE(OFFSET($AM$3,0,0,'Données projet'!$E$10+1,1))-AVERAGE(OFFSET($H$3,0,0,'Données projet'!$E$10+1,1))</f>
        <v>187.13674266165236</v>
      </c>
      <c r="AO189" s="62">
        <f t="shared" si="144"/>
        <v>439.28159165815276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2.4275030238870396</v>
      </c>
      <c r="AV189" s="23">
        <f>EXP(-LN(2)/25)*AV188+(1-EXP(-LN(2)/25))/(LN(2)/25)*Calculateur!AQ189*Calculateur!AS189*VLOOKUP('Données projet'!$B$10,Paramètres!$A$1:$I$89,3,0)*0.475*44/12</f>
        <v>0.58146020071287374</v>
      </c>
      <c r="AW189" s="23">
        <f>EXP(-LN(2)/2)*AW188+(1-EXP(-LN(2)/2))/(LN(2)/2)*AQ189*AT189*VLOOKUP('Données projet'!$B$10,Paramètres!$A$1:$I$89,3,0)*0.475*44/12</f>
        <v>1.4415238417456158E-22</v>
      </c>
      <c r="AX189" s="23">
        <f t="shared" si="166"/>
        <v>3.0089632245999134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87.539629191511665</v>
      </c>
      <c r="T190" s="62">
        <f t="shared" si="142"/>
        <v>411.51686965858363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3.0172106712815552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3.67301977370265E-24</v>
      </c>
      <c r="AC190" s="24">
        <f t="shared" si="163"/>
        <v>3.0172106712815552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6.7984728957526396E-14</v>
      </c>
      <c r="AK190" s="14">
        <f t="shared" si="164"/>
        <v>1.0682447123141398E-12</v>
      </c>
      <c r="AL190" s="22">
        <f t="shared" si="165"/>
        <v>1.978932943548152E-12</v>
      </c>
      <c r="AM190" s="62">
        <f t="shared" si="113"/>
        <v>293.3333333333353</v>
      </c>
      <c r="AN190" s="62">
        <f ca="1">AVERAGE(OFFSET($AM$3,0,0,'Données projet'!$E$10+1,1))-AVERAGE(OFFSET($H$3,0,0,'Données projet'!$E$10+1,1))</f>
        <v>187.13674266165236</v>
      </c>
      <c r="AO190" s="62">
        <f t="shared" si="144"/>
        <v>439.28159165815276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2.3799011702192594</v>
      </c>
      <c r="AV190" s="23">
        <f>EXP(-LN(2)/25)*AV189+(1-EXP(-LN(2)/25))/(LN(2)/25)*Calculateur!AQ190*Calculateur!AS190*VLOOKUP('Données projet'!$B$10,Paramètres!$A$1:$I$89,3,0)*0.475*44/12</f>
        <v>0.56556014094671725</v>
      </c>
      <c r="AW190" s="23">
        <f>EXP(-LN(2)/2)*AW189+(1-EXP(-LN(2)/2))/(LN(2)/2)*AQ190*AT190*VLOOKUP('Données projet'!$B$10,Paramètres!$A$1:$I$89,3,0)*0.475*44/12</f>
        <v>1.0193112837404086E-22</v>
      </c>
      <c r="AX190" s="23">
        <f t="shared" si="166"/>
        <v>2.9454613111659764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87.539629191511665</v>
      </c>
      <c r="T191" s="62">
        <f t="shared" si="142"/>
        <v>411.51686965858363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2.9580450103345171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2.5972171894174221E-24</v>
      </c>
      <c r="AC191" s="24">
        <f t="shared" si="163"/>
        <v>2.9580450103345171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6.7984728957526396E-14</v>
      </c>
      <c r="AK191" s="14">
        <f t="shared" si="164"/>
        <v>1.0682447123141398E-12</v>
      </c>
      <c r="AL191" s="22">
        <f t="shared" si="165"/>
        <v>1.978932943548152E-12</v>
      </c>
      <c r="AM191" s="62">
        <f t="shared" si="113"/>
        <v>293.3333333333353</v>
      </c>
      <c r="AN191" s="62">
        <f ca="1">AVERAGE(OFFSET($AM$3,0,0,'Données projet'!$E$10+1,1))-AVERAGE(OFFSET($H$3,0,0,'Données projet'!$E$10+1,1))</f>
        <v>187.13674266165236</v>
      </c>
      <c r="AO191" s="62">
        <f t="shared" si="144"/>
        <v>439.28159165815276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2.3332327598676401</v>
      </c>
      <c r="AV191" s="23">
        <f>EXP(-LN(2)/25)*AV190+(1-EXP(-LN(2)/25))/(LN(2)/25)*Calculateur!AQ191*Calculateur!AS191*VLOOKUP('Données projet'!$B$10,Paramètres!$A$1:$I$89,3,0)*0.475*44/12</f>
        <v>0.55009486915101402</v>
      </c>
      <c r="AW191" s="23">
        <f>EXP(-LN(2)/2)*AW190+(1-EXP(-LN(2)/2))/(LN(2)/2)*AQ191*AT191*VLOOKUP('Données projet'!$B$10,Paramètres!$A$1:$I$89,3,0)*0.475*44/12</f>
        <v>7.2076192087280792E-23</v>
      </c>
      <c r="AX191" s="23">
        <f t="shared" si="166"/>
        <v>2.883327629018654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87.539629191511665</v>
      </c>
      <c r="T192" s="62">
        <f t="shared" si="142"/>
        <v>411.51686965858363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2.9000395519111608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1.836509886851325E-24</v>
      </c>
      <c r="AC192" s="24">
        <f t="shared" si="163"/>
        <v>2.9000395519111608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6.7984728957526396E-14</v>
      </c>
      <c r="AK192" s="14">
        <f t="shared" si="164"/>
        <v>1.0682447123141398E-12</v>
      </c>
      <c r="AL192" s="22">
        <f t="shared" si="165"/>
        <v>1.978932943548152E-12</v>
      </c>
      <c r="AM192" s="62">
        <f t="shared" si="113"/>
        <v>293.3333333333353</v>
      </c>
      <c r="AN192" s="62">
        <f ca="1">AVERAGE(OFFSET($AM$3,0,0,'Données projet'!$E$10+1,1))-AVERAGE(OFFSET($H$3,0,0,'Données projet'!$E$10+1,1))</f>
        <v>187.13674266165236</v>
      </c>
      <c r="AO192" s="62">
        <f t="shared" si="144"/>
        <v>439.28159165815276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2.2874794885780965</v>
      </c>
      <c r="AV192" s="23">
        <f>EXP(-LN(2)/25)*AV191+(1-EXP(-LN(2)/25))/(LN(2)/25)*Calculateur!AQ192*Calculateur!AS192*VLOOKUP('Données projet'!$B$10,Paramètres!$A$1:$I$89,3,0)*0.475*44/12</f>
        <v>0.53505249602584759</v>
      </c>
      <c r="AW192" s="23">
        <f>EXP(-LN(2)/2)*AW191+(1-EXP(-LN(2)/2))/(LN(2)/2)*AQ192*AT192*VLOOKUP('Données projet'!$B$10,Paramètres!$A$1:$I$89,3,0)*0.475*44/12</f>
        <v>5.0965564187020428E-23</v>
      </c>
      <c r="AX192" s="23">
        <f t="shared" si="166"/>
        <v>2.8225319846039438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87.539629191511665</v>
      </c>
      <c r="T193" s="62">
        <f t="shared" si="142"/>
        <v>411.51686965858363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2.84317154514765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1.298608594708711E-24</v>
      </c>
      <c r="AC193" s="24">
        <f t="shared" si="163"/>
        <v>2.84317154514765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6.7984728957526396E-14</v>
      </c>
      <c r="AK193" s="14">
        <f t="shared" si="164"/>
        <v>1.0682447123141398E-12</v>
      </c>
      <c r="AL193" s="22">
        <f t="shared" si="165"/>
        <v>1.978932943548152E-12</v>
      </c>
      <c r="AM193" s="62">
        <f t="shared" si="113"/>
        <v>293.3333333333353</v>
      </c>
      <c r="AN193" s="62">
        <f ca="1">AVERAGE(OFFSET($AM$3,0,0,'Données projet'!$E$10+1,1))-AVERAGE(OFFSET($H$3,0,0,'Données projet'!$E$10+1,1))</f>
        <v>187.13674266165236</v>
      </c>
      <c r="AO193" s="62">
        <f t="shared" si="144"/>
        <v>439.28159165815276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2.2426234110318011</v>
      </c>
      <c r="AV193" s="23">
        <f>EXP(-LN(2)/25)*AV192+(1-EXP(-LN(2)/25))/(LN(2)/25)*Calculateur!AQ193*Calculateur!AS193*VLOOKUP('Données projet'!$B$10,Paramètres!$A$1:$I$89,3,0)*0.475*44/12</f>
        <v>0.52042145738483292</v>
      </c>
      <c r="AW193" s="23">
        <f>EXP(-LN(2)/2)*AW192+(1-EXP(-LN(2)/2))/(LN(2)/2)*AQ193*AT193*VLOOKUP('Données projet'!$B$10,Paramètres!$A$1:$I$89,3,0)*0.475*44/12</f>
        <v>3.6038096043640396E-23</v>
      </c>
      <c r="AX193" s="23">
        <f t="shared" si="166"/>
        <v>2.763044868416634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87.539629191511665</v>
      </c>
      <c r="T194" s="62">
        <f t="shared" si="142"/>
        <v>411.51686965858363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2.7874186853107128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9.1825494342566249E-25</v>
      </c>
      <c r="AC194" s="24">
        <f t="shared" si="163"/>
        <v>2.7874186853107128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6.7984728957526396E-14</v>
      </c>
      <c r="AK194" s="14">
        <f t="shared" si="164"/>
        <v>1.0682447123141398E-12</v>
      </c>
      <c r="AL194" s="22">
        <f t="shared" si="165"/>
        <v>1.978932943548152E-12</v>
      </c>
      <c r="AM194" s="62">
        <f t="shared" si="113"/>
        <v>293.3333333333353</v>
      </c>
      <c r="AN194" s="62">
        <f ca="1">AVERAGE(OFFSET($AM$3,0,0,'Données projet'!$E$10+1,1))-AVERAGE(OFFSET($H$3,0,0,'Données projet'!$E$10+1,1))</f>
        <v>187.13674266165236</v>
      </c>
      <c r="AO194" s="62">
        <f t="shared" si="144"/>
        <v>439.28159165815276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2.1986469338066827</v>
      </c>
      <c r="AV194" s="23">
        <f>EXP(-LN(2)/25)*AV193+(1-EXP(-LN(2)/25))/(LN(2)/25)*Calculateur!AQ194*Calculateur!AS194*VLOOKUP('Données projet'!$B$10,Paramètres!$A$1:$I$89,3,0)*0.475*44/12</f>
        <v>0.50619050526486964</v>
      </c>
      <c r="AW194" s="23">
        <f>EXP(-LN(2)/2)*AW193+(1-EXP(-LN(2)/2))/(LN(2)/2)*AQ194*AT194*VLOOKUP('Données projet'!$B$10,Paramètres!$A$1:$I$89,3,0)*0.475*44/12</f>
        <v>2.5482782093510214E-23</v>
      </c>
      <c r="AX194" s="23">
        <f t="shared" si="166"/>
        <v>2.7048374390715524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87.539629191511665</v>
      </c>
      <c r="T195" s="62">
        <f t="shared" si="142"/>
        <v>411.51686965858363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2.7327591050492912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6.4930429735435552E-25</v>
      </c>
      <c r="AC195" s="24">
        <f t="shared" si="163"/>
        <v>2.7327591050492912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6.7984728957526396E-14</v>
      </c>
      <c r="AK195" s="14">
        <f t="shared" si="164"/>
        <v>1.0682447123141398E-12</v>
      </c>
      <c r="AL195" s="22">
        <f t="shared" si="165"/>
        <v>1.978932943548152E-12</v>
      </c>
      <c r="AM195" s="62">
        <f t="shared" si="113"/>
        <v>293.3333333333353</v>
      </c>
      <c r="AN195" s="62">
        <f ca="1">AVERAGE(OFFSET($AM$3,0,0,'Données projet'!$E$10+1,1))-AVERAGE(OFFSET($H$3,0,0,'Données projet'!$E$10+1,1))</f>
        <v>187.13674266165236</v>
      </c>
      <c r="AO195" s="62">
        <f t="shared" si="144"/>
        <v>439.28159165815276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2.1555328084769463</v>
      </c>
      <c r="AV195" s="23">
        <f>EXP(-LN(2)/25)*AV194+(1-EXP(-LN(2)/25))/(LN(2)/25)*Calculateur!AQ195*Calculateur!AS195*VLOOKUP('Données projet'!$B$10,Paramètres!$A$1:$I$89,3,0)*0.475*44/12</f>
        <v>0.49234869927900005</v>
      </c>
      <c r="AW195" s="23">
        <f>EXP(-LN(2)/2)*AW194+(1-EXP(-LN(2)/2))/(LN(2)/2)*AQ195*AT195*VLOOKUP('Données projet'!$B$10,Paramètres!$A$1:$I$89,3,0)*0.475*44/12</f>
        <v>1.8019048021820198E-23</v>
      </c>
      <c r="AX195" s="23">
        <f t="shared" si="166"/>
        <v>2.6478815077559466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87.539629191511665</v>
      </c>
      <c r="T196" s="62">
        <f t="shared" si="142"/>
        <v>411.51686965858363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2.6791713658177438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4.5912747171283125E-25</v>
      </c>
      <c r="AC196" s="24">
        <f t="shared" si="163"/>
        <v>2.6791713658177438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6.7984728957526396E-14</v>
      </c>
      <c r="AK196" s="14">
        <f t="shared" si="164"/>
        <v>1.0682447123141398E-12</v>
      </c>
      <c r="AL196" s="22">
        <f t="shared" si="165"/>
        <v>1.978932943548152E-12</v>
      </c>
      <c r="AM196" s="62">
        <f t="shared" ref="AM196:AM203" si="193">AL196+(AD196+AE196)*44/12</f>
        <v>293.3333333333353</v>
      </c>
      <c r="AN196" s="62">
        <f ca="1">AVERAGE(OFFSET($AM$3,0,0,'Données projet'!$E$10+1,1))-AVERAGE(OFFSET($H$3,0,0,'Données projet'!$E$10+1,1))</f>
        <v>187.13674266165236</v>
      </c>
      <c r="AO196" s="62">
        <f t="shared" si="144"/>
        <v>439.28159165815276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2.1132641248479063</v>
      </c>
      <c r="AV196" s="23">
        <f>EXP(-LN(2)/25)*AV195+(1-EXP(-LN(2)/25))/(LN(2)/25)*Calculateur!AQ196*Calculateur!AS196*VLOOKUP('Données projet'!$B$10,Paramètres!$A$1:$I$89,3,0)*0.475*44/12</f>
        <v>0.47888539820572296</v>
      </c>
      <c r="AW196" s="23">
        <f>EXP(-LN(2)/2)*AW195+(1-EXP(-LN(2)/2))/(LN(2)/2)*AQ196*AT196*VLOOKUP('Données projet'!$B$10,Paramètres!$A$1:$I$89,3,0)*0.475*44/12</f>
        <v>1.2741391046755107E-23</v>
      </c>
      <c r="AX196" s="23">
        <f t="shared" si="166"/>
        <v>2.5921495230536293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87.539629191511665</v>
      </c>
      <c r="T197" s="62">
        <f t="shared" ref="T197:T203" si="204">$T$3</f>
        <v>411.51686965858363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2.6266344494672338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3.2465214867717776E-25</v>
      </c>
      <c r="AC197" s="24">
        <f t="shared" si="163"/>
        <v>2.6266344494672338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6.7984728957526396E-14</v>
      </c>
      <c r="AK197" s="14">
        <f t="shared" si="164"/>
        <v>1.0682447123141398E-12</v>
      </c>
      <c r="AL197" s="22">
        <f t="shared" si="165"/>
        <v>1.978932943548152E-12</v>
      </c>
      <c r="AM197" s="62">
        <f t="shared" si="193"/>
        <v>293.3333333333353</v>
      </c>
      <c r="AN197" s="62">
        <f ca="1">AVERAGE(OFFSET($AM$3,0,0,'Données projet'!$E$10+1,1))-AVERAGE(OFFSET($H$3,0,0,'Données projet'!$E$10+1,1))</f>
        <v>187.13674266165236</v>
      </c>
      <c r="AO197" s="62">
        <f t="shared" ref="AO197:AO203" si="205">$AO$3</f>
        <v>439.28159165815276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2.0718243043234805</v>
      </c>
      <c r="AV197" s="23">
        <f>EXP(-LN(2)/25)*AV196+(1-EXP(-LN(2)/25))/(LN(2)/25)*Calculateur!AQ197*Calculateur!AS197*VLOOKUP('Données projet'!$B$10,Paramètres!$A$1:$I$89,3,0)*0.475*44/12</f>
        <v>0.46579025180829886</v>
      </c>
      <c r="AW197" s="23">
        <f>EXP(-LN(2)/2)*AW196+(1-EXP(-LN(2)/2))/(LN(2)/2)*AQ197*AT197*VLOOKUP('Données projet'!$B$10,Paramètres!$A$1:$I$89,3,0)*0.475*44/12</f>
        <v>9.009524010910099E-24</v>
      </c>
      <c r="AX197" s="23">
        <f t="shared" si="166"/>
        <v>2.5376145561317793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87.539629191511665</v>
      </c>
      <c r="T198" s="62">
        <f t="shared" si="204"/>
        <v>411.51686965858363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2.5751277500020024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2.2956373585641562E-25</v>
      </c>
      <c r="AC198" s="24">
        <f t="shared" si="163"/>
        <v>2.5751277500020024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6.7984728957526396E-14</v>
      </c>
      <c r="AK198" s="14">
        <f t="shared" si="164"/>
        <v>1.0682447123141398E-12</v>
      </c>
      <c r="AL198" s="22">
        <f t="shared" si="165"/>
        <v>1.978932943548152E-12</v>
      </c>
      <c r="AM198" s="62">
        <f t="shared" si="193"/>
        <v>293.3333333333353</v>
      </c>
      <c r="AN198" s="62">
        <f ca="1">AVERAGE(OFFSET($AM$3,0,0,'Données projet'!$E$10+1,1))-AVERAGE(OFFSET($H$3,0,0,'Données projet'!$E$10+1,1))</f>
        <v>187.13674266165236</v>
      </c>
      <c r="AO198" s="62">
        <f t="shared" si="205"/>
        <v>439.28159165815276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2.031197093403744</v>
      </c>
      <c r="AV198" s="23">
        <f>EXP(-LN(2)/25)*AV197+(1-EXP(-LN(2)/25))/(LN(2)/25)*Calculateur!AQ198*Calculateur!AS198*VLOOKUP('Données projet'!$B$10,Paramètres!$A$1:$I$89,3,0)*0.475*44/12</f>
        <v>0.45305319287775614</v>
      </c>
      <c r="AW198" s="23">
        <f>EXP(-LN(2)/2)*AW197+(1-EXP(-LN(2)/2))/(LN(2)/2)*AQ198*AT198*VLOOKUP('Données projet'!$B$10,Paramètres!$A$1:$I$89,3,0)*0.475*44/12</f>
        <v>6.3706955233775535E-24</v>
      </c>
      <c r="AX198" s="23">
        <f t="shared" si="166"/>
        <v>2.4842502862815001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87.539629191511665</v>
      </c>
      <c r="T199" s="62">
        <f t="shared" si="204"/>
        <v>411.51686965858363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2.5246310654972994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1.6232607433858888E-25</v>
      </c>
      <c r="AC199" s="24">
        <f t="shared" si="163"/>
        <v>2.5246310654972994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6.7984728957526396E-14</v>
      </c>
      <c r="AK199" s="14">
        <f t="shared" si="164"/>
        <v>1.0682447123141398E-12</v>
      </c>
      <c r="AL199" s="22">
        <f t="shared" si="165"/>
        <v>1.978932943548152E-12</v>
      </c>
      <c r="AM199" s="62">
        <f t="shared" si="193"/>
        <v>293.3333333333353</v>
      </c>
      <c r="AN199" s="62">
        <f ca="1">AVERAGE(OFFSET($AM$3,0,0,'Données projet'!$E$10+1,1))-AVERAGE(OFFSET($H$3,0,0,'Données projet'!$E$10+1,1))</f>
        <v>187.13674266165236</v>
      </c>
      <c r="AO199" s="62">
        <f t="shared" si="205"/>
        <v>439.28159165815276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1.9913665573099915</v>
      </c>
      <c r="AV199" s="23">
        <f>EXP(-LN(2)/25)*AV198+(1-EXP(-LN(2)/25))/(LN(2)/25)*Calculateur!AQ199*Calculateur!AS199*VLOOKUP('Données projet'!$B$10,Paramètres!$A$1:$I$89,3,0)*0.475*44/12</f>
        <v>0.44066442949348195</v>
      </c>
      <c r="AW199" s="23">
        <f>EXP(-LN(2)/2)*AW198+(1-EXP(-LN(2)/2))/(LN(2)/2)*AQ199*AT199*VLOOKUP('Données projet'!$B$10,Paramètres!$A$1:$I$89,3,0)*0.475*44/12</f>
        <v>4.5047620054550495E-24</v>
      </c>
      <c r="AX199" s="23">
        <f t="shared" si="166"/>
        <v>2.4320309868034733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87.539629191511665</v>
      </c>
      <c r="T200" s="62">
        <f t="shared" si="204"/>
        <v>411.51686965858363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2.4751245901757977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1.1478186792820781E-25</v>
      </c>
      <c r="AC200" s="24">
        <f t="shared" si="163"/>
        <v>2.4751245901757977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6.7984728957526396E-14</v>
      </c>
      <c r="AK200" s="14">
        <f t="shared" si="164"/>
        <v>1.0682447123141398E-12</v>
      </c>
      <c r="AL200" s="22">
        <f t="shared" si="165"/>
        <v>1.978932943548152E-12</v>
      </c>
      <c r="AM200" s="62">
        <f t="shared" si="193"/>
        <v>293.3333333333353</v>
      </c>
      <c r="AN200" s="62">
        <f ca="1">AVERAGE(OFFSET($AM$3,0,0,'Données projet'!$E$10+1,1))-AVERAGE(OFFSET($H$3,0,0,'Données projet'!$E$10+1,1))</f>
        <v>187.13674266165236</v>
      </c>
      <c r="AO200" s="62">
        <f t="shared" si="205"/>
        <v>439.28159165815276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1.9523170737348094</v>
      </c>
      <c r="AV200" s="23">
        <f>EXP(-LN(2)/25)*AV199+(1-EXP(-LN(2)/25))/(LN(2)/25)*Calculateur!AQ200*Calculateur!AS200*VLOOKUP('Données projet'!$B$10,Paramètres!$A$1:$I$89,3,0)*0.475*44/12</f>
        <v>0.42861443749544748</v>
      </c>
      <c r="AW200" s="23">
        <f>EXP(-LN(2)/2)*AW199+(1-EXP(-LN(2)/2))/(LN(2)/2)*AQ200*AT200*VLOOKUP('Données projet'!$B$10,Paramètres!$A$1:$I$89,3,0)*0.475*44/12</f>
        <v>3.1853477616887767E-24</v>
      </c>
      <c r="AX200" s="23">
        <f t="shared" si="166"/>
        <v>2.3809315112302567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87.539629191511665</v>
      </c>
      <c r="T201" s="62">
        <f t="shared" si="204"/>
        <v>411.51686965858363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2.426588906639382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8.116303716929444E-26</v>
      </c>
      <c r="AC201" s="24">
        <f t="shared" si="163"/>
        <v>2.426588906639382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6.7984728957526396E-14</v>
      </c>
      <c r="AK201" s="14">
        <f t="shared" si="164"/>
        <v>1.0682447123141398E-12</v>
      </c>
      <c r="AL201" s="22">
        <f t="shared" si="165"/>
        <v>1.978932943548152E-12</v>
      </c>
      <c r="AM201" s="62">
        <f t="shared" si="193"/>
        <v>293.3333333333353</v>
      </c>
      <c r="AN201" s="62">
        <f ca="1">AVERAGE(OFFSET($AM$3,0,0,'Données projet'!$E$10+1,1))-AVERAGE(OFFSET($H$3,0,0,'Données projet'!$E$10+1,1))</f>
        <v>187.13674266165236</v>
      </c>
      <c r="AO201" s="62">
        <f t="shared" si="205"/>
        <v>439.28159165815276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1.9140333267147034</v>
      </c>
      <c r="AV201" s="23">
        <f>EXP(-LN(2)/25)*AV200+(1-EXP(-LN(2)/25))/(LN(2)/25)*Calculateur!AQ201*Calculateur!AS201*VLOOKUP('Données projet'!$B$10,Paramètres!$A$1:$I$89,3,0)*0.475*44/12</f>
        <v>0.41689395316228078</v>
      </c>
      <c r="AW201" s="23">
        <f>EXP(-LN(2)/2)*AW200+(1-EXP(-LN(2)/2))/(LN(2)/2)*AQ201*AT201*VLOOKUP('Données projet'!$B$10,Paramètres!$A$1:$I$89,3,0)*0.475*44/12</f>
        <v>2.2523810027275247E-24</v>
      </c>
      <c r="AX201" s="23">
        <f t="shared" si="166"/>
        <v>2.3309272798769842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87.539629191511665</v>
      </c>
      <c r="T202" s="62">
        <f t="shared" si="204"/>
        <v>411.51686965858363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2.3790049782532718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5.7390933964103906E-26</v>
      </c>
      <c r="AC202" s="24">
        <f t="shared" si="163"/>
        <v>2.3790049782532718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6.7984728957526396E-14</v>
      </c>
      <c r="AK202" s="14">
        <f t="shared" si="164"/>
        <v>1.0682447123141398E-12</v>
      </c>
      <c r="AL202" s="22">
        <f t="shared" si="165"/>
        <v>1.978932943548152E-12</v>
      </c>
      <c r="AM202" s="62">
        <f t="shared" si="193"/>
        <v>293.3333333333353</v>
      </c>
      <c r="AN202" s="62">
        <f ca="1">AVERAGE(OFFSET($AM$3,0,0,'Données projet'!$E$10+1,1))-AVERAGE(OFFSET($H$3,0,0,'Données projet'!$E$10+1,1))</f>
        <v>187.13674266165236</v>
      </c>
      <c r="AO202" s="62">
        <f t="shared" si="205"/>
        <v>439.28159165815276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1.8765003006228818</v>
      </c>
      <c r="AV202" s="23">
        <f>EXP(-LN(2)/25)*AV201+(1-EXP(-LN(2)/25))/(LN(2)/25)*Calculateur!AQ202*Calculateur!AS202*VLOOKUP('Données projet'!$B$10,Paramètres!$A$1:$I$89,3,0)*0.475*44/12</f>
        <v>0.40549396608955807</v>
      </c>
      <c r="AW202" s="23">
        <f>EXP(-LN(2)/2)*AW201+(1-EXP(-LN(2)/2))/(LN(2)/2)*AQ202*AT202*VLOOKUP('Données projet'!$B$10,Paramètres!$A$1:$I$89,3,0)*0.475*44/12</f>
        <v>1.5926738808443884E-24</v>
      </c>
      <c r="AX202" s="23">
        <f t="shared" si="166"/>
        <v>2.2819942667124398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87.539629191511665</v>
      </c>
      <c r="T203" s="62">
        <f t="shared" si="204"/>
        <v>411.51686965858363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2.3323541416794829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4.058151858464722E-26</v>
      </c>
      <c r="AC203" s="24">
        <f t="shared" si="163"/>
        <v>2.3323541416794829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6.7984728957526396E-14</v>
      </c>
      <c r="AK203" s="14">
        <f t="shared" si="164"/>
        <v>1.0682447123141398E-12</v>
      </c>
      <c r="AL203" s="22">
        <f t="shared" si="165"/>
        <v>1.978932943548152E-12</v>
      </c>
      <c r="AM203" s="62">
        <f t="shared" si="193"/>
        <v>293.3333333333353</v>
      </c>
      <c r="AN203" s="62">
        <f ca="1">AVERAGE(OFFSET($AM$3,0,0,'Données projet'!$E$10+1,1))-AVERAGE(OFFSET($H$3,0,0,'Données projet'!$E$10+1,1))</f>
        <v>187.13674266165236</v>
      </c>
      <c r="AO203" s="62">
        <f t="shared" si="205"/>
        <v>439.28159165815276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1.8397032742798354</v>
      </c>
      <c r="AV203" s="23">
        <f>EXP(-LN(2)/25)*AV202+(1-EXP(-LN(2)/25))/(LN(2)/25)*Calculateur!AQ203*Calculateur!AS203*VLOOKUP('Données projet'!$B$10,Paramètres!$A$1:$I$89,3,0)*0.475*44/12</f>
        <v>0.39440571226283822</v>
      </c>
      <c r="AW203" s="23">
        <f>EXP(-LN(2)/2)*AW202+(1-EXP(-LN(2)/2))/(LN(2)/2)*AQ203*AT203*VLOOKUP('Données projet'!$B$10,Paramètres!$A$1:$I$89,3,0)*0.475*44/12</f>
        <v>1.1261905013637624E-24</v>
      </c>
      <c r="AX203" s="23">
        <f t="shared" si="166"/>
        <v>2.2341089865426738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1.3321958753513481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1.4749438547769935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P27" sqref="P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2.0074999999999998</v>
      </c>
      <c r="C6" s="156">
        <f ca="1">IF(OR('Données projet'!B9="",'Données projet'!C9="",'Données projet'!C9=0%),0,Calculateur!S3)</f>
        <v>87.539629191511665</v>
      </c>
      <c r="D6" s="156">
        <f>IF(OR('Données projet'!B9="",'Données projet'!C9="",'Données projet'!C9=0%),0,Calculateur!T3)</f>
        <v>411.51686965858363</v>
      </c>
      <c r="E6" s="156">
        <f ca="1">MIN(C6,D6)</f>
        <v>87.539629191511665</v>
      </c>
      <c r="F6" s="156">
        <f ca="1">E6*B6</f>
        <v>175.73580560195964</v>
      </c>
      <c r="G6" s="156">
        <f ca="1">F6*(100%-'Données projet'!$C$24)*(100%-'Données projet'!$C$25)*(100%-'Données projet'!$C$26)*(100%-'Données projet'!$C$27)</f>
        <v>150.2541137896755</v>
      </c>
      <c r="H6" s="157">
        <f>IF(OR('Données projet'!B9="",'Données projet'!C9="",'Données projet'!C9=0%),0,AVERAGE(Calculateur!$AC$3:$AC$33)*B6)</f>
        <v>64.131916405585997</v>
      </c>
      <c r="I6" s="158">
        <f>H6*(100%-'Données projet'!$C$24)*(100%-'Données projet'!$C$25)*(100%-'Données projet'!$C$26)*(100%-'Données projet'!$C$27)</f>
        <v>54.832788526776021</v>
      </c>
      <c r="J6" s="159">
        <f>IF(OR('Données projet'!B9="",'Données projet'!C9="",'Données projet'!C9=0%),0,SUM(Calculateur!$V$3:$V$33)*VLOOKUP('Données projet'!$B$9,Paramètres!$A$1:$I$89,9,0)*B6)</f>
        <v>640.99474999999995</v>
      </c>
      <c r="K6" s="160">
        <f>J6*(100%-'Données projet'!$C$24)*(100%-'Données projet'!$C$25)*(100%-'Données projet'!$C$26)*(100%-'Données projet'!$C$27)</f>
        <v>548.05051125</v>
      </c>
      <c r="L6" s="161">
        <f ca="1">G6+I6+K6</f>
        <v>753.13741356645153</v>
      </c>
      <c r="M6" s="25">
        <f ca="1">(L6/B6)</f>
        <v>375.16184984630218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taeda</v>
      </c>
      <c r="B7" s="163">
        <f>'Données projet'!D10</f>
        <v>0.74250000000000005</v>
      </c>
      <c r="C7" s="156">
        <f ca="1">IF(OR('Données projet'!B10="",'Données projet'!C10="",'Données projet'!C10=0%),0,Calculateur!AN3)</f>
        <v>187.13674266165236</v>
      </c>
      <c r="D7" s="156">
        <f>IF(OR('Données projet'!B10="",'Données projet'!C10="",'Données projet'!C10=0%),0,Calculateur!AO3)</f>
        <v>439.28159165815276</v>
      </c>
      <c r="E7" s="156">
        <f t="shared" ref="E7:E15" ca="1" si="0">MIN(C7,D7)</f>
        <v>187.13674266165236</v>
      </c>
      <c r="F7" s="156">
        <f t="shared" ref="F7:F15" ca="1" si="1">E7*B7</f>
        <v>138.94903142627689</v>
      </c>
      <c r="G7" s="156">
        <f ca="1">F7*(100%-'Données projet'!$C$24)*(100%-'Données projet'!$C$25)*(100%-'Données projet'!$C$26)*(100%-'Données projet'!$C$27)</f>
        <v>118.80142186946674</v>
      </c>
      <c r="H7" s="164">
        <f>IF(OR('Données projet'!B10="",'Données projet'!C10="",'Données projet'!C10=0%),0,AVERAGE(Calculateur!$AX$3:$AX$33)*B7)</f>
        <v>11.162060384497968</v>
      </c>
      <c r="I7" s="158">
        <f>H7*(100%-'Données projet'!$C$24)*(100%-'Données projet'!$C$25)*(100%-'Données projet'!$C$26)*(100%-'Données projet'!$C$27)</f>
        <v>9.5435616287457634</v>
      </c>
      <c r="J7" s="159">
        <f>IF(OR('Données projet'!B10="",'Données projet'!C10="",'Données projet'!C10=0%),0,SUM(Calculateur!$AQ$3:$AQ$33)*VLOOKUP('Données projet'!$B$10,Paramètres!$A$1:$I$89,9,0)*B7)</f>
        <v>141.11955</v>
      </c>
      <c r="K7" s="160">
        <f>J7*(100%-'Données projet'!$C$24)*(100%-'Données projet'!$C$25)*(100%-'Données projet'!$C$26)*(100%-'Données projet'!$C$27)</f>
        <v>120.65721525000001</v>
      </c>
      <c r="L7" s="161">
        <f t="shared" ref="L7:L15" ca="1" si="2">G7+I7+K7</f>
        <v>249.00219874821252</v>
      </c>
      <c r="M7" s="25">
        <f ca="1">(L7/B7)</f>
        <v>335.35649663058922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314.68483702823653</v>
      </c>
      <c r="G16" s="175">
        <f t="shared" ca="1" si="3"/>
        <v>269.05553565914227</v>
      </c>
      <c r="H16" s="176">
        <f t="shared" si="3"/>
        <v>75.29397679008396</v>
      </c>
      <c r="I16" s="176">
        <f t="shared" si="3"/>
        <v>64.376350155521777</v>
      </c>
      <c r="J16" s="177">
        <f t="shared" si="3"/>
        <v>782.11429999999996</v>
      </c>
      <c r="K16" s="177">
        <f t="shared" si="3"/>
        <v>668.70772650000004</v>
      </c>
      <c r="L16" s="178">
        <f t="shared" ca="1" si="3"/>
        <v>1002.1396123146641</v>
      </c>
      <c r="M16" s="25">
        <f ca="1">L16/(B6+B7)</f>
        <v>364.41440447805968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10" zoomScale="90" zoomScaleNormal="90" workbookViewId="0">
      <selection activeCell="V22" sqref="V2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7712.3571901332725</v>
      </c>
      <c r="U10" s="190">
        <f>'Données projet'!D9</f>
        <v>2.0074999999999998</v>
      </c>
      <c r="V10" s="189">
        <f>U10*T10</f>
        <v>15482.557059192543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4757.5775226390087</v>
      </c>
      <c r="U11" s="190">
        <f>'Données projet'!D10</f>
        <v>0.74250000000000005</v>
      </c>
      <c r="V11" s="189">
        <f t="shared" ref="V11" si="0">U11*T11</f>
        <v>3532.5013105594644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5140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300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310</v>
      </c>
      <c r="C23" s="206">
        <v>60</v>
      </c>
      <c r="D23" s="194">
        <f>B23*C23</f>
        <v>18600</v>
      </c>
      <c r="E23" s="206"/>
      <c r="F23" s="261"/>
      <c r="H23" s="203">
        <v>3</v>
      </c>
      <c r="I23" s="204">
        <v>600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-665.6479074319941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5</v>
      </c>
      <c r="I24" s="204">
        <v>800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-665.6479074319941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12</v>
      </c>
      <c r="B54" s="193">
        <f>'Données projet'!D62</f>
        <v>34</v>
      </c>
      <c r="C54" s="204">
        <v>15</v>
      </c>
      <c r="D54" s="191">
        <f>B54*C54</f>
        <v>510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17</v>
      </c>
      <c r="B55" s="193">
        <f>'Données projet'!D63</f>
        <v>43</v>
      </c>
      <c r="C55" s="204">
        <v>25</v>
      </c>
      <c r="D55" s="191">
        <f t="shared" ref="D55:D73" si="4">B55*C55</f>
        <v>1075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22</v>
      </c>
      <c r="B56" s="193">
        <f>'Données projet'!D64</f>
        <v>56</v>
      </c>
      <c r="C56" s="204">
        <v>35</v>
      </c>
      <c r="D56" s="191">
        <f t="shared" si="4"/>
        <v>1960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309</v>
      </c>
      <c r="C57" s="204">
        <v>45</v>
      </c>
      <c r="D57" s="191">
        <f t="shared" si="4"/>
        <v>13905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2023-05-30T08:52:11Z</dcterms:modified>
</cp:coreProperties>
</file>