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Pyrénées\ARTIX (64) JUNCA BOURIE\Dossier à finaliser\"/>
    </mc:Choice>
  </mc:AlternateContent>
  <xr:revisionPtr revIDLastSave="0" documentId="13_ncr:1_{E6358335-2904-405C-9B11-7092ABAE8B33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<sst xmlns="http://schemas.openxmlformats.org/spreadsheetml/2006/main" count="1170" uniqueCount="324">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</sst>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1.9346100651543445</c:v>
                </c:pt>
                <c:pt idx="2">
                  <c:v>2.5166964034907369</c:v>
                </c:pt>
                <c:pt idx="3">
                  <c:v>3.2746364615115446</c:v>
                </c:pt>
                <c:pt idx="4">
                  <c:v>4.2617612023556566</c:v>
                </c:pt>
                <c:pt idx="5">
                  <c:v>5.5476331026231724</c:v>
                </c:pt>
                <c:pt idx="6">
                  <c:v>7.2230026576329607</c:v>
                </c:pt>
                <c:pt idx="7">
                  <c:v>9.40628303445129</c:v>
                </c:pt>
                <c:pt idx="8">
                  <c:v>12.25200916819078</c:v>
                </c:pt>
                <c:pt idx="9">
                  <c:v>15.961891181540167</c:v>
                </c:pt>
                <c:pt idx="10">
                  <c:v>20.799259906659596</c:v>
                </c:pt>
                <c:pt idx="11">
                  <c:v>27.107948207614722</c:v>
                </c:pt>
                <c:pt idx="12">
                  <c:v>35.336973691994501</c:v>
                </c:pt>
                <c:pt idx="13">
                  <c:v>46.07280977813928</c:v>
                </c:pt>
                <c:pt idx="14">
                  <c:v>60.081583757185136</c:v>
                </c:pt>
                <c:pt idx="15">
                  <c:v>78.36426282100237</c:v>
                </c:pt>
                <c:pt idx="16">
                  <c:v>102.22883490746044</c:v>
                </c:pt>
                <c:pt idx="17">
                  <c:v>133.3847299504487</c:v>
                </c:pt>
                <c:pt idx="18">
                  <c:v>174.06634954241179</c:v>
                </c:pt>
                <c:pt idx="19">
                  <c:v>227.19469816439656</c:v>
                </c:pt>
                <c:pt idx="20">
                  <c:v>296.58889304529583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7" zoomScale="90" zoomScaleNormal="90" workbookViewId="0">
      <selection activeCell="F26" sqref="F2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1.65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129</v>
      </c>
      <c r="C9" s="35">
        <v>1</v>
      </c>
      <c r="D9" s="36">
        <f t="shared" ref="D9:D18" si="0">C9*$C$5</f>
        <v>1.65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1.65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Robusta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236</v>
      </c>
      <c r="C36" s="63">
        <v>1</v>
      </c>
      <c r="D36" s="63">
        <v>236</v>
      </c>
      <c r="E36" s="54">
        <v>0.7</v>
      </c>
      <c r="F36" s="54"/>
      <c r="G36" s="54">
        <v>0.3</v>
      </c>
      <c r="H36" s="54"/>
      <c r="I36" s="52">
        <f>IFERROR(B36/A36,"")</f>
        <v>11.8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23" sqref="F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Robusta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68.344219429278041</v>
      </c>
      <c r="T3" s="62">
        <f>IF('Données projet'!E9&gt;30,$R$33-$H$33,LOOKUP('Données projet'!$E$9,$A$3:$A$203,R3:R203)-LOOKUP('Données projet'!$E$9,$A$3:$A$203,$H$3:$H$203))</f>
        <v>329.77026259885815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11.8</v>
      </c>
      <c r="N4" s="14">
        <f>IF('Données projet'!$A$36&gt;35,N3+M4-V3,IF(A4&lt;'Données projet'!$A$36,$K$205^A4,IF(A4='Données projet'!$A$36,'Données projet'!$B$36,N3+M4-V3)))</f>
        <v>1.3141519994188957</v>
      </c>
      <c r="O4" s="14">
        <f>N4*VLOOKUP('Données projet'!$B$9,Paramètres!$A$1:$I$89,3,0)*VLOOKUP('Données projet'!$B$9,Paramètres!$A$1:$I$89,5,0)</f>
        <v>0.75237830270730621</v>
      </c>
      <c r="P4" s="14">
        <f>EXP(-1.0587+0.8836*LN(O4)+0.284)</f>
        <v>0.35840259594590623</v>
      </c>
      <c r="Q4" s="22">
        <f t="shared" ref="Q4:Q34" si="2">(O4+P4)*0.475*44/12</f>
        <v>1.9346100651543445</v>
      </c>
      <c r="R4" s="62">
        <f t="shared" si="0"/>
        <v>169.74704401807818</v>
      </c>
      <c r="S4" s="62">
        <f ca="1">AVERAGE(OFFSET($R$3,0,0,'Données projet'!$E$9+1,1))-AVERAGE(OFFSET($H$3,0,0,'Données projet'!$E$9+1,1))</f>
        <v>68.344219429278041</v>
      </c>
      <c r="T4" s="62">
        <f>$T$3</f>
        <v>329.77026259885815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11.8</v>
      </c>
      <c r="N5" s="14">
        <f>IF('Données projet'!$A$36&gt;35,N4+M5-V4,IF(A5&lt;'Données projet'!$A$36,$K$205^A5,IF(A5='Données projet'!$A$36,'Données projet'!$B$36,N4+M5-V4)))</f>
        <v>1.7269954775766814</v>
      </c>
      <c r="O5" s="14">
        <f>N5*VLOOKUP('Données projet'!$B$9,Paramètres!$A$1:$I$89,3,0)*VLOOKUP('Données projet'!$B$9,Paramètres!$A$1:$I$89,5,0)</f>
        <v>0.9887394508222016</v>
      </c>
      <c r="P5" s="14">
        <f t="shared" ref="P5:P68" si="33">EXP(-1.0587+0.8836*LN(O5)+0.284)</f>
        <v>0.45625369950740835</v>
      </c>
      <c r="Q5" s="22">
        <f t="shared" si="2"/>
        <v>2.5166964034907369</v>
      </c>
      <c r="R5" s="62">
        <f t="shared" si="0"/>
        <v>173.11397769099156</v>
      </c>
      <c r="S5" s="62">
        <f ca="1">AVERAGE(OFFSET($R$3,0,0,'Données projet'!$E$9+1,1))-AVERAGE(OFFSET($H$3,0,0,'Données projet'!$E$9+1,1))</f>
        <v>68.344219429278041</v>
      </c>
      <c r="T5" s="62">
        <f t="shared" ref="T5:T68" si="34">$T$3</f>
        <v>329.77026259885815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11.8</v>
      </c>
      <c r="N6" s="14">
        <f>IF('Données projet'!$A$36&gt;35,N5+M6-V5,IF(A6&lt;'Données projet'!$A$36,$K$205^A6,IF(A6='Données projet'!$A$36,'Données projet'!$B$36,N5+M6-V5)))</f>
        <v>2.2695345598447867</v>
      </c>
      <c r="O6" s="14">
        <f>N6*VLOOKUP('Données projet'!$B$9,Paramètres!$A$1:$I$89,3,0)*VLOOKUP('Données projet'!$B$9,Paramètres!$A$1:$I$89,5,0)</f>
        <v>1.2993539262023373</v>
      </c>
      <c r="P6" s="14">
        <f t="shared" si="33"/>
        <v>0.58082011868467387</v>
      </c>
      <c r="Q6" s="22">
        <f t="shared" si="2"/>
        <v>3.2746364615115446</v>
      </c>
      <c r="R6" s="62">
        <f t="shared" si="0"/>
        <v>176.62965703139642</v>
      </c>
      <c r="S6" s="62">
        <f ca="1">AVERAGE(OFFSET($R$3,0,0,'Données projet'!$E$9+1,1))-AVERAGE(OFFSET($H$3,0,0,'Données projet'!$E$9+1,1))</f>
        <v>68.344219429278041</v>
      </c>
      <c r="T6" s="62">
        <f t="shared" si="34"/>
        <v>329.77026259885815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11.8</v>
      </c>
      <c r="N7" s="14">
        <f>IF('Données projet'!$A$36&gt;35,N6+M7-V6,IF(A7&lt;'Données projet'!$A$36,$K$205^A7,IF(A7='Données projet'!$A$36,'Données projet'!$B$36,N6+M7-V6)))</f>
        <v>2.9825133795703098</v>
      </c>
      <c r="O7" s="14">
        <f>N7*VLOOKUP('Données projet'!$B$9,Paramètres!$A$1:$I$89,3,0)*VLOOKUP('Données projet'!$B$9,Paramètres!$A$1:$I$89,5,0)</f>
        <v>1.7075485600715938</v>
      </c>
      <c r="P7" s="14">
        <f t="shared" si="33"/>
        <v>0.73939567094600833</v>
      </c>
      <c r="Q7" s="22">
        <f t="shared" si="2"/>
        <v>4.2617612023556566</v>
      </c>
      <c r="R7" s="62">
        <f t="shared" si="0"/>
        <v>180.34788326653259</v>
      </c>
      <c r="S7" s="62">
        <f ca="1">AVERAGE(OFFSET($R$3,0,0,'Données projet'!$E$9+1,1))-AVERAGE(OFFSET($H$3,0,0,'Données projet'!$E$9+1,1))</f>
        <v>68.344219429278041</v>
      </c>
      <c r="T7" s="62">
        <f t="shared" si="34"/>
        <v>329.77026259885815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11.8</v>
      </c>
      <c r="N8" s="14">
        <f>IF('Données projet'!$A$36&gt;35,N7+M8-V7,IF(A8&lt;'Données projet'!$A$36,$K$205^A8,IF(A8='Données projet'!$A$36,'Données projet'!$B$36,N7+M8-V7)))</f>
        <v>3.9194759210559305</v>
      </c>
      <c r="O8" s="14">
        <f>N8*VLOOKUP('Données projet'!$B$9,Paramètres!$A$1:$I$89,3,0)*VLOOKUP('Données projet'!$B$9,Paramètres!$A$1:$I$89,5,0)</f>
        <v>2.2439783543229415</v>
      </c>
      <c r="P8" s="14">
        <f t="shared" si="33"/>
        <v>0.94126553235065091</v>
      </c>
      <c r="Q8" s="22">
        <f t="shared" si="2"/>
        <v>5.5476331026231724</v>
      </c>
      <c r="R8" s="62">
        <f t="shared" si="0"/>
        <v>184.33868097907052</v>
      </c>
      <c r="S8" s="62">
        <f ca="1">AVERAGE(OFFSET($R$3,0,0,'Données projet'!$E$9+1,1))-AVERAGE(OFFSET($H$3,0,0,'Données projet'!$E$9+1,1))</f>
        <v>68.344219429278041</v>
      </c>
      <c r="T8" s="62">
        <f t="shared" si="34"/>
        <v>329.77026259885815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11.8</v>
      </c>
      <c r="N9" s="14">
        <f>IF('Données projet'!$A$36&gt;35,N8+M9-V8,IF(A9&lt;'Données projet'!$A$36,$K$205^A9,IF(A9='Données projet'!$A$36,'Données projet'!$B$36,N8+M9-V8)))</f>
        <v>5.1507871183298688</v>
      </c>
      <c r="O9" s="14">
        <f>N9*VLOOKUP('Données projet'!$B$9,Paramètres!$A$1:$I$89,3,0)*VLOOKUP('Données projet'!$B$9,Paramètres!$A$1:$I$89,5,0)</f>
        <v>2.9489286409862165</v>
      </c>
      <c r="P9" s="14">
        <f t="shared" si="33"/>
        <v>1.1982499184202684</v>
      </c>
      <c r="Q9" s="22">
        <f t="shared" si="2"/>
        <v>7.2230026576329607</v>
      </c>
      <c r="R9" s="62">
        <f t="shared" si="0"/>
        <v>188.69325475389195</v>
      </c>
      <c r="S9" s="62">
        <f ca="1">AVERAGE(OFFSET($R$3,0,0,'Données projet'!$E$9+1,1))-AVERAGE(OFFSET($H$3,0,0,'Données projet'!$E$9+1,1))</f>
        <v>68.344219429278041</v>
      </c>
      <c r="T9" s="62">
        <f t="shared" si="34"/>
        <v>329.77026259885815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11.8</v>
      </c>
      <c r="N10" s="14">
        <f>IF('Données projet'!$A$36&gt;35,N9+M10-V9,IF(A10&lt;'Données projet'!$A$36,$K$205^A10,IF(A10='Données projet'!$A$36,'Données projet'!$B$36,N9+M10-V9)))</f>
        <v>6.7689171901342906</v>
      </c>
      <c r="O10" s="14">
        <f>N10*VLOOKUP('Données projet'!$B$9,Paramètres!$A$1:$I$89,3,0)*VLOOKUP('Données projet'!$B$9,Paramètres!$A$1:$I$89,5,0)</f>
        <v>3.8753404696956841</v>
      </c>
      <c r="P10" s="14">
        <f t="shared" si="33"/>
        <v>1.5253962008026642</v>
      </c>
      <c r="Q10" s="22">
        <f t="shared" si="2"/>
        <v>9.40628303445129</v>
      </c>
      <c r="R10" s="62">
        <f t="shared" si="0"/>
        <v>193.53046397018753</v>
      </c>
      <c r="S10" s="62">
        <f ca="1">AVERAGE(OFFSET($R$3,0,0,'Données projet'!$E$9+1,1))-AVERAGE(OFFSET($H$3,0,0,'Données projet'!$E$9+1,1))</f>
        <v>68.344219429278041</v>
      </c>
      <c r="T10" s="62">
        <f t="shared" si="34"/>
        <v>329.77026259885815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11.8</v>
      </c>
      <c r="N11" s="14">
        <f>IF('Données projet'!$A$36&gt;35,N10+M11-V10,IF(A11&lt;'Données projet'!$A$36,$K$205^A11,IF(A11='Données projet'!$A$36,'Données projet'!$B$36,N10+M11-V10)))</f>
        <v>8.8953860593159106</v>
      </c>
      <c r="O11" s="14">
        <f>N11*VLOOKUP('Données projet'!$B$9,Paramètres!$A$1:$I$89,3,0)*VLOOKUP('Données projet'!$B$9,Paramètres!$A$1:$I$89,5,0)</f>
        <v>5.0927864266795453</v>
      </c>
      <c r="P11" s="14">
        <f t="shared" si="33"/>
        <v>1.9418599856787968</v>
      </c>
      <c r="Q11" s="22">
        <f t="shared" si="2"/>
        <v>12.25200916819078</v>
      </c>
      <c r="R11" s="62">
        <f t="shared" si="0"/>
        <v>199.00528203441132</v>
      </c>
      <c r="S11" s="62">
        <f ca="1">AVERAGE(OFFSET($R$3,0,0,'Données projet'!$E$9+1,1))-AVERAGE(OFFSET($H$3,0,0,'Données projet'!$E$9+1,1))</f>
        <v>68.344219429278041</v>
      </c>
      <c r="T11" s="62">
        <f t="shared" si="34"/>
        <v>329.77026259885815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11.8</v>
      </c>
      <c r="N12" s="14">
        <f>IF('Données projet'!$A$36&gt;35,N11+M12-V11,IF(A12&lt;'Données projet'!$A$36,$K$205^A12,IF(A12='Données projet'!$A$36,'Données projet'!$B$36,N11+M12-V11)))</f>
        <v>11.689889375452976</v>
      </c>
      <c r="O12" s="14">
        <f>N12*VLOOKUP('Données projet'!$B$9,Paramètres!$A$1:$I$89,3,0)*VLOOKUP('Données projet'!$B$9,Paramètres!$A$1:$I$89,5,0)</f>
        <v>6.6926954652343378</v>
      </c>
      <c r="P12" s="14">
        <f t="shared" si="33"/>
        <v>2.4720267442624091</v>
      </c>
      <c r="Q12" s="22">
        <f t="shared" si="2"/>
        <v>15.961891181540167</v>
      </c>
      <c r="R12" s="62">
        <f t="shared" si="0"/>
        <v>205.31984993409623</v>
      </c>
      <c r="S12" s="62">
        <f ca="1">AVERAGE(OFFSET($R$3,0,0,'Données projet'!$E$9+1,1))-AVERAGE(OFFSET($H$3,0,0,'Données projet'!$E$9+1,1))</f>
        <v>68.344219429278041</v>
      </c>
      <c r="T12" s="62">
        <f t="shared" si="34"/>
        <v>329.77026259885815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11.8</v>
      </c>
      <c r="N13" s="14">
        <f>IF('Données projet'!$A$36&gt;35,N12+M13-V12,IF(A13&lt;'Données projet'!$A$36,$K$205^A13,IF(A13='Données projet'!$A$36,'Données projet'!$B$36,N12+M13-V12)))</f>
        <v>15.362291495737235</v>
      </c>
      <c r="O13" s="14">
        <f>N13*VLOOKUP('Données projet'!$B$9,Paramètres!$A$1:$I$89,3,0)*VLOOKUP('Données projet'!$B$9,Paramètres!$A$1:$I$89,5,0)</f>
        <v>8.7952191271394824</v>
      </c>
      <c r="P13" s="14">
        <f t="shared" si="33"/>
        <v>3.1469396709425839</v>
      </c>
      <c r="Q13" s="22">
        <f t="shared" si="2"/>
        <v>20.799259906659596</v>
      </c>
      <c r="R13" s="62">
        <f t="shared" si="0"/>
        <v>212.73792189170447</v>
      </c>
      <c r="S13" s="62">
        <f ca="1">AVERAGE(OFFSET($R$3,0,0,'Données projet'!$E$9+1,1))-AVERAGE(OFFSET($H$3,0,0,'Données projet'!$E$9+1,1))</f>
        <v>68.344219429278041</v>
      </c>
      <c r="T13" s="62">
        <f t="shared" si="34"/>
        <v>329.77026259885815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11.8</v>
      </c>
      <c r="N14" s="14">
        <f>IF('Données projet'!$A$36&gt;35,N13+M14-V13,IF(A14&lt;'Données projet'!$A$36,$K$205^A14,IF(A14='Données projet'!$A$36,'Données projet'!$B$36,N13+M14-V13)))</f>
        <v>20.188386084778987</v>
      </c>
      <c r="O14" s="14">
        <f>N14*VLOOKUP('Données projet'!$B$9,Paramètres!$A$1:$I$89,3,0)*VLOOKUP('Données projet'!$B$9,Paramètres!$A$1:$I$89,5,0)</f>
        <v>11.558254801257666</v>
      </c>
      <c r="P14" s="14">
        <f t="shared" si="33"/>
        <v>4.0061173753632255</v>
      </c>
      <c r="Q14" s="22">
        <f t="shared" si="2"/>
        <v>27.107948207614722</v>
      </c>
      <c r="R14" s="62">
        <f t="shared" si="0"/>
        <v>221.60374681672886</v>
      </c>
      <c r="S14" s="62">
        <f ca="1">AVERAGE(OFFSET($R$3,0,0,'Données projet'!$E$9+1,1))-AVERAGE(OFFSET($H$3,0,0,'Données projet'!$E$9+1,1))</f>
        <v>68.344219429278041</v>
      </c>
      <c r="T14" s="62">
        <f t="shared" si="34"/>
        <v>329.77026259885815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11.8</v>
      </c>
      <c r="N15" s="14">
        <f>IF('Données projet'!$A$36&gt;35,N14+M15-V14,IF(A15&lt;'Données projet'!$A$36,$K$205^A15,IF(A15='Données projet'!$A$36,'Données projet'!$B$36,N14+M15-V14)))</f>
        <v>26.530607938352919</v>
      </c>
      <c r="O15" s="14">
        <f>N15*VLOOKUP('Données projet'!$B$9,Paramètres!$A$1:$I$89,3,0)*VLOOKUP('Données projet'!$B$9,Paramètres!$A$1:$I$89,5,0)</f>
        <v>15.189303656865814</v>
      </c>
      <c r="P15" s="14">
        <f t="shared" si="33"/>
        <v>5.0998678409300684</v>
      </c>
      <c r="Q15" s="22">
        <f t="shared" si="2"/>
        <v>35.336973691994501</v>
      </c>
      <c r="R15" s="62">
        <f t="shared" si="0"/>
        <v>232.36675114472737</v>
      </c>
      <c r="S15" s="62">
        <f ca="1">AVERAGE(OFFSET($R$3,0,0,'Données projet'!$E$9+1,1))-AVERAGE(OFFSET($H$3,0,0,'Données projet'!$E$9+1,1))</f>
        <v>68.344219429278041</v>
      </c>
      <c r="T15" s="62">
        <f t="shared" si="34"/>
        <v>329.77026259885815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11.8</v>
      </c>
      <c r="N16" s="14">
        <f>IF('Données projet'!$A$36&gt;35,N15+M16-V15,IF(A16&lt;'Données projet'!$A$36,$K$205^A16,IF(A16='Données projet'!$A$36,'Données projet'!$B$36,N15+M16-V15)))</f>
        <v>34.86525146798531</v>
      </c>
      <c r="O16" s="14">
        <f>N16*VLOOKUP('Données projet'!$B$9,Paramètres!$A$1:$I$89,3,0)*VLOOKUP('Données projet'!$B$9,Paramètres!$A$1:$I$89,5,0)</f>
        <v>19.961053770450949</v>
      </c>
      <c r="P16" s="14">
        <f t="shared" si="33"/>
        <v>6.4922341404424166</v>
      </c>
      <c r="Q16" s="22">
        <f t="shared" si="2"/>
        <v>46.07280977813928</v>
      </c>
      <c r="R16" s="62">
        <f t="shared" si="0"/>
        <v>245.6138100297581</v>
      </c>
      <c r="S16" s="62">
        <f ca="1">AVERAGE(OFFSET($R$3,0,0,'Données projet'!$E$9+1,1))-AVERAGE(OFFSET($H$3,0,0,'Données projet'!$E$9+1,1))</f>
        <v>68.344219429278041</v>
      </c>
      <c r="T16" s="62">
        <f t="shared" si="34"/>
        <v>329.77026259885815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11.8</v>
      </c>
      <c r="N17" s="14">
        <f>IF('Données projet'!$A$36&gt;35,N16+M17-V16,IF(A17&lt;'Données projet'!$A$36,$K$205^A17,IF(A17='Données projet'!$A$36,'Données projet'!$B$36,N16+M17-V16)))</f>
        <v>45.818239926895487</v>
      </c>
      <c r="O17" s="14">
        <f>N17*VLOOKUP('Données projet'!$B$9,Paramètres!$A$1:$I$89,3,0)*VLOOKUP('Données projet'!$B$9,Paramètres!$A$1:$I$89,5,0)</f>
        <v>26.231858722946203</v>
      </c>
      <c r="P17" s="14">
        <f t="shared" si="33"/>
        <v>8.2647443912270777</v>
      </c>
      <c r="Q17" s="22">
        <f t="shared" si="2"/>
        <v>60.081583757185136</v>
      </c>
      <c r="R17" s="62">
        <f t="shared" si="0"/>
        <v>262.11144552945831</v>
      </c>
      <c r="S17" s="62">
        <f ca="1">AVERAGE(OFFSET($R$3,0,0,'Données projet'!$E$9+1,1))-AVERAGE(OFFSET($H$3,0,0,'Données projet'!$E$9+1,1))</f>
        <v>68.344219429278041</v>
      </c>
      <c r="T17" s="62">
        <f t="shared" si="34"/>
        <v>329.77026259885815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11.8</v>
      </c>
      <c r="N18" s="14">
        <f>IF('Données projet'!$A$36&gt;35,N17+M18-V17,IF(A18&lt;'Données projet'!$A$36,$K$205^A18,IF(A18='Données projet'!$A$36,'Données projet'!$B$36,N17+M18-V17)))</f>
        <v>60.212131609784393</v>
      </c>
      <c r="O18" s="14">
        <f>N18*VLOOKUP('Données projet'!$B$9,Paramètres!$A$1:$I$89,3,0)*VLOOKUP('Données projet'!$B$9,Paramètres!$A$1:$I$89,5,0)</f>
        <v>34.472649589233761</v>
      </c>
      <c r="P18" s="14">
        <f t="shared" si="33"/>
        <v>10.521185523303487</v>
      </c>
      <c r="Q18" s="22">
        <f t="shared" si="2"/>
        <v>78.36426282100237</v>
      </c>
      <c r="R18" s="62">
        <f t="shared" si="0"/>
        <v>282.86101275388341</v>
      </c>
      <c r="S18" s="62">
        <f ca="1">AVERAGE(OFFSET($R$3,0,0,'Données projet'!$E$9+1,1))-AVERAGE(OFFSET($H$3,0,0,'Données projet'!$E$9+1,1))</f>
        <v>68.344219429278041</v>
      </c>
      <c r="T18" s="62">
        <f t="shared" si="34"/>
        <v>329.77026259885815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11.8</v>
      </c>
      <c r="N19" s="14">
        <f>IF('Données projet'!$A$36&gt;35,N18+M19-V18,IF(A19&lt;'Données projet'!$A$36,$K$205^A19,IF(A19='Données projet'!$A$36,'Données projet'!$B$36,N18+M19-V18)))</f>
        <v>79.127893144271852</v>
      </c>
      <c r="O19" s="14">
        <f>N19*VLOOKUP('Données projet'!$B$9,Paramètres!$A$1:$I$89,3,0)*VLOOKUP('Données projet'!$B$9,Paramètres!$A$1:$I$89,5,0)</f>
        <v>45.302301382958525</v>
      </c>
      <c r="P19" s="14">
        <f t="shared" si="33"/>
        <v>13.39368038209053</v>
      </c>
      <c r="Q19" s="22">
        <f t="shared" si="2"/>
        <v>102.22883490746044</v>
      </c>
      <c r="R19" s="62">
        <f t="shared" si="0"/>
        <v>309.17088082957451</v>
      </c>
      <c r="S19" s="62">
        <f ca="1">AVERAGE(OFFSET($R$3,0,0,'Données projet'!$E$9+1,1))-AVERAGE(OFFSET($H$3,0,0,'Données projet'!$E$9+1,1))</f>
        <v>68.344219429278041</v>
      </c>
      <c r="T19" s="62">
        <f t="shared" si="34"/>
        <v>329.77026259885815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11.8</v>
      </c>
      <c r="N20" s="14">
        <f>IF('Données projet'!$A$36&gt;35,N19+M20-V19,IF(A20&lt;'Données projet'!$A$36,$K$205^A20,IF(A20='Données projet'!$A$36,'Données projet'!$B$36,N19+M20-V19)))</f>
        <v>103.98607898534958</v>
      </c>
      <c r="O20" s="14">
        <f>N20*VLOOKUP('Données projet'!$B$9,Paramètres!$A$1:$I$89,3,0)*VLOOKUP('Données projet'!$B$9,Paramètres!$A$1:$I$89,5,0)</f>
        <v>59.534109940692339</v>
      </c>
      <c r="P20" s="14">
        <f t="shared" si="33"/>
        <v>17.050424002149033</v>
      </c>
      <c r="Q20" s="22">
        <f t="shared" si="2"/>
        <v>133.3847299504487</v>
      </c>
      <c r="R20" s="62">
        <f t="shared" si="0"/>
        <v>342.75085426632143</v>
      </c>
      <c r="S20" s="62">
        <f ca="1">AVERAGE(OFFSET($R$3,0,0,'Données projet'!$E$9+1,1))-AVERAGE(OFFSET($H$3,0,0,'Données projet'!$E$9+1,1))</f>
        <v>68.344219429278041</v>
      </c>
      <c r="T20" s="62">
        <f t="shared" si="34"/>
        <v>329.77026259885815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11.8</v>
      </c>
      <c r="N21" s="14">
        <f>IF('Données projet'!$A$36&gt;35,N20+M21-V20,IF(A21&lt;'Données projet'!$A$36,$K$205^A21,IF(A21='Données projet'!$A$36,'Données projet'!$B$36,N20+M21-V20)))</f>
        <v>136.65351361032839</v>
      </c>
      <c r="O21" s="14">
        <f>N21*VLOOKUP('Données projet'!$B$9,Paramètres!$A$1:$I$89,3,0)*VLOOKUP('Données projet'!$B$9,Paramètres!$A$1:$I$89,5,0)</f>
        <v>78.236869612185217</v>
      </c>
      <c r="P21" s="14">
        <f t="shared" si="33"/>
        <v>21.705532038960303</v>
      </c>
      <c r="Q21" s="22">
        <f t="shared" si="2"/>
        <v>174.06634954241179</v>
      </c>
      <c r="R21" s="62">
        <f t="shared" si="0"/>
        <v>385.83570273441489</v>
      </c>
      <c r="S21" s="62">
        <f ca="1">AVERAGE(OFFSET($R$3,0,0,'Données projet'!$E$9+1,1))-AVERAGE(OFFSET($H$3,0,0,'Données projet'!$E$9+1,1))</f>
        <v>68.344219429278041</v>
      </c>
      <c r="T21" s="62">
        <f t="shared" si="34"/>
        <v>329.77026259885815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11.8</v>
      </c>
      <c r="N22" s="14">
        <f>IF('Données projet'!$A$36&gt;35,N21+M22-V21,IF(A22&lt;'Données projet'!$A$36,$K$205^A22,IF(A22='Données projet'!$A$36,'Données projet'!$B$36,N21+M22-V21)))</f>
        <v>179.58348813863034</v>
      </c>
      <c r="O22" s="14">
        <f>N22*VLOOKUP('Données projet'!$B$9,Paramètres!$A$1:$I$89,3,0)*VLOOKUP('Données projet'!$B$9,Paramètres!$A$1:$I$89,5,0)</f>
        <v>102.81513862912865</v>
      </c>
      <c r="P22" s="14">
        <f t="shared" si="33"/>
        <v>27.631578020285644</v>
      </c>
      <c r="Q22" s="22">
        <f t="shared" si="2"/>
        <v>227.19469816439656</v>
      </c>
      <c r="R22" s="62">
        <f t="shared" si="0"/>
        <v>441.34679240742008</v>
      </c>
      <c r="S22" s="62">
        <f ca="1">AVERAGE(OFFSET($R$3,0,0,'Données projet'!$E$9+1,1))-AVERAGE(OFFSET($H$3,0,0,'Données projet'!$E$9+1,1))</f>
        <v>68.344219429278041</v>
      </c>
      <c r="T22" s="62">
        <f t="shared" si="34"/>
        <v>329.77026259885815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236</v>
      </c>
      <c r="L23" s="13">
        <f>VLOOKUP(A23,'Données projet'!$A$35:$I$55,9,0)</f>
        <v>11.8</v>
      </c>
      <c r="M23" s="13">
        <f t="array" ref="M23">INDEX(L:L,MIN(IF(ISNUMBER(L23:L219),ROW(L23:L219),"")))</f>
        <v>11.8</v>
      </c>
      <c r="N23" s="14">
        <f>IF('Données projet'!$A$36&gt;35,N22+M23-V22,IF(A23&lt;'Données projet'!$A$36,$K$205^A23,IF(A23='Données projet'!$A$36,'Données projet'!$B$36,N22+M23-V22)))</f>
        <v>236</v>
      </c>
      <c r="O23" s="14">
        <f>N23*VLOOKUP('Données projet'!$B$9,Paramètres!$A$1:$I$89,3,0)*VLOOKUP('Données projet'!$B$9,Paramètres!$A$1:$I$89,5,0)</f>
        <v>135.11472000000001</v>
      </c>
      <c r="P23" s="14">
        <f t="shared" si="33"/>
        <v>35.175553518830135</v>
      </c>
      <c r="Q23" s="22">
        <f t="shared" si="2"/>
        <v>296.58889304529583</v>
      </c>
      <c r="R23" s="62">
        <f t="shared" si="0"/>
        <v>513.10359593219152</v>
      </c>
      <c r="S23" s="62">
        <f ca="1">AVERAGE(OFFSET($R$3,0,0,'Données projet'!$E$9+1,1))-AVERAGE(OFFSET($H$3,0,0,'Données projet'!$E$9+1,1))</f>
        <v>68.344219429278041</v>
      </c>
      <c r="T23" s="62">
        <f t="shared" si="34"/>
        <v>329.77026259885815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236</v>
      </c>
      <c r="W23" s="17">
        <f>IF(ISNA(VLOOKUP(A23,'Données projet'!$A$35:$I$55,5,0)),0%,VLOOKUP(A23,'Données projet'!$A$35:$I$55,5,0)*VLOOKUP('Données projet'!$B$9,Paramètres!$A$1:$I$89,7,0))</f>
        <v>0.42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0.3</v>
      </c>
      <c r="Z23" s="23">
        <f>EXP(-LN(2)/35)*Z22+(1-EXP(-LN(2)/35))/(LN(2)/35)*V23*W23*VLOOKUP('Données projet'!$B$9,Paramètres!$A$1:$I$89,3,0)*0.475*44/12</f>
        <v>62.733434735533081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38.245312463811281</v>
      </c>
      <c r="AC23" s="24">
        <f t="shared" si="3"/>
        <v>100.97874719934435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68.344219429278041</v>
      </c>
      <c r="T24" s="62">
        <f t="shared" si="34"/>
        <v>329.77026259885815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61.503270343986244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27.043519791759344</v>
      </c>
      <c r="AC24" s="24">
        <f t="shared" si="3"/>
        <v>88.546790135745596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68.344219429278041</v>
      </c>
      <c r="T25" s="62">
        <f t="shared" si="34"/>
        <v>329.77026259885815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60.297228725831452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19.122656231905644</v>
      </c>
      <c r="AC25" s="24">
        <f t="shared" si="3"/>
        <v>79.419884957737096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68.344219429278041</v>
      </c>
      <c r="T26" s="62">
        <f t="shared" si="34"/>
        <v>329.77026259885815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59.114836848195928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13.521759895879674</v>
      </c>
      <c r="AC26" s="24">
        <f t="shared" si="3"/>
        <v>72.636596744075604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68.344219429278041</v>
      </c>
      <c r="T27" s="62">
        <f t="shared" si="34"/>
        <v>329.77026259885815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57.955630954093003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9.5613281159528221</v>
      </c>
      <c r="AC27" s="24">
        <f t="shared" si="3"/>
        <v>67.516959070045829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68.344219429278041</v>
      </c>
      <c r="T28" s="62">
        <f t="shared" si="34"/>
        <v>329.77026259885815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56.819156380527652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6.7608799479398369</v>
      </c>
      <c r="AC28" s="24">
        <f t="shared" si="3"/>
        <v>63.580036328467486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68.344219429278041</v>
      </c>
      <c r="T29" s="62">
        <f t="shared" si="34"/>
        <v>329.77026259885815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55.704967380168874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4.780664057976411</v>
      </c>
      <c r="AC29" s="24">
        <f t="shared" si="3"/>
        <v>60.485631438145283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68.344219429278041</v>
      </c>
      <c r="T30" s="62">
        <f t="shared" si="34"/>
        <v>329.77026259885815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54.612626946518944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3.3804399739699185</v>
      </c>
      <c r="AC30" s="24">
        <f t="shared" si="3"/>
        <v>57.993066920488864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68.344219429278041</v>
      </c>
      <c r="T31" s="62">
        <f t="shared" si="34"/>
        <v>329.77026259885815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53.541706642511016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2.3903320289882055</v>
      </c>
      <c r="AC31" s="24">
        <f t="shared" si="3"/>
        <v>55.932038671499221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68.344219429278041</v>
      </c>
      <c r="T32" s="62">
        <f t="shared" si="34"/>
        <v>329.77026259885815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52.491786432467798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1.6902199869849592</v>
      </c>
      <c r="AC32" s="24">
        <f t="shared" si="3"/>
        <v>54.182006419452755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68.344219429278041</v>
      </c>
      <c r="T33" s="62">
        <f t="shared" si="34"/>
        <v>329.77026259885815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51.462454517355432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1.1951660144941028</v>
      </c>
      <c r="AC33" s="24">
        <f t="shared" si="3"/>
        <v>52.657620531849538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68.344219429278041</v>
      </c>
      <c r="T34" s="62">
        <f t="shared" si="34"/>
        <v>329.77026259885815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50.453307173267945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0.84510999349247962</v>
      </c>
      <c r="AC34" s="24">
        <f t="shared" si="3"/>
        <v>51.298417166760423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68.344219429278041</v>
      </c>
      <c r="T35" s="62">
        <f t="shared" si="34"/>
        <v>329.77026259885815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49.463948593078911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0.59758300724705138</v>
      </c>
      <c r="AC35" s="24">
        <f t="shared" si="3"/>
        <v>50.061531600325964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68.344219429278041</v>
      </c>
      <c r="T36" s="62">
        <f t="shared" si="34"/>
        <v>329.77026259885815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48.493990731198231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0.42255499674623981</v>
      </c>
      <c r="AC36" s="24">
        <f t="shared" si="3"/>
        <v>48.916545727944474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68.344219429278041</v>
      </c>
      <c r="T37" s="62">
        <f t="shared" si="34"/>
        <v>329.77026259885815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47.543053151373151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0.29879150362352569</v>
      </c>
      <c r="AC37" s="24">
        <f t="shared" si="3"/>
        <v>47.841844654996677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68.344219429278041</v>
      </c>
      <c r="T38" s="62">
        <f t="shared" si="34"/>
        <v>329.77026259885815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46.610762877473789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0.2112774983731199</v>
      </c>
      <c r="AC38" s="24">
        <f t="shared" si="3"/>
        <v>46.82204037584691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68.344219429278041</v>
      </c>
      <c r="T39" s="62">
        <f t="shared" si="34"/>
        <v>329.77026259885815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45.69675424720468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0.14939575181176284</v>
      </c>
      <c r="AC39" s="24">
        <f t="shared" si="3"/>
        <v>45.84614999901644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68.344219429278041</v>
      </c>
      <c r="T40" s="62">
        <f t="shared" si="34"/>
        <v>329.77026259885815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44.800668768684929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0.10563874918655995</v>
      </c>
      <c r="AC40" s="24">
        <f t="shared" si="3"/>
        <v>44.90630751787149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68.344219429278041</v>
      </c>
      <c r="T41" s="62">
        <f t="shared" si="34"/>
        <v>329.77026259885815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43.922154979840776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7.4697875905881422E-2</v>
      </c>
      <c r="AC41" s="24">
        <f t="shared" si="3"/>
        <v>43.99685285574666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68.344219429278041</v>
      </c>
      <c r="T42" s="62">
        <f t="shared" si="34"/>
        <v>329.77026259885815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43.060868310555357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5.2819374593279976E-2</v>
      </c>
      <c r="AC42" s="24">
        <f t="shared" si="3"/>
        <v>43.113687685148633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68.344219429278041</v>
      </c>
      <c r="T43" s="62">
        <f t="shared" si="34"/>
        <v>329.77026259885815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42.216470947521628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3.7348937952940711E-2</v>
      </c>
      <c r="AC43" s="24">
        <f t="shared" si="3"/>
        <v>42.25381988547457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68.344219429278041</v>
      </c>
      <c r="T44" s="62">
        <f t="shared" si="34"/>
        <v>329.77026259885815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41.388631701745453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2.6409687296639988E-2</v>
      </c>
      <c r="AC44" s="24">
        <f t="shared" si="3"/>
        <v>41.415041389042095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68.344219429278041</v>
      </c>
      <c r="T45" s="62">
        <f t="shared" si="34"/>
        <v>329.77026259885815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40.577025878646872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1.8674468976470356E-2</v>
      </c>
      <c r="AC45" s="24">
        <f t="shared" si="3"/>
        <v>40.595700347623342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68.344219429278041</v>
      </c>
      <c r="T46" s="62">
        <f t="shared" si="34"/>
        <v>329.77026259885815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39.781335150708578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1.3204843648319994E-2</v>
      </c>
      <c r="AC46" s="24">
        <f t="shared" si="3"/>
        <v>39.794539994356896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68.344219429278041</v>
      </c>
      <c r="T47" s="62">
        <f t="shared" si="34"/>
        <v>329.77026259885815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39.001247432621732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9.3372344882351778E-3</v>
      </c>
      <c r="AC47" s="24">
        <f t="shared" si="3"/>
        <v>39.010584667109967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68.344219429278041</v>
      </c>
      <c r="T48" s="62">
        <f t="shared" si="34"/>
        <v>329.77026259885815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38.236456758880045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6.602421824159997E-3</v>
      </c>
      <c r="AC48" s="24">
        <f t="shared" si="3"/>
        <v>38.243059180704208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68.344219429278041</v>
      </c>
      <c r="T49" s="62">
        <f t="shared" si="34"/>
        <v>329.77026259885815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37.486663163774182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4.6686172441175889E-3</v>
      </c>
      <c r="AC49" s="24">
        <f t="shared" si="3"/>
        <v>37.491331781018296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68.344219429278041</v>
      </c>
      <c r="T50" s="62">
        <f t="shared" si="34"/>
        <v>329.77026259885815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36.751572563739408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3.3012109120799985E-3</v>
      </c>
      <c r="AC50" s="24">
        <f t="shared" si="3"/>
        <v>36.754873774651486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68.344219429278041</v>
      </c>
      <c r="T51" s="62">
        <f t="shared" si="34"/>
        <v>329.77026259885815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36.030896642010319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2.3343086220587944E-3</v>
      </c>
      <c r="AC51" s="24">
        <f t="shared" si="3"/>
        <v>36.03323095063238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68.344219429278041</v>
      </c>
      <c r="T52" s="62">
        <f t="shared" si="34"/>
        <v>329.77026259885815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35.324352735537431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1.6506054560399993E-3</v>
      </c>
      <c r="AC52" s="24">
        <f t="shared" si="3"/>
        <v>35.326003340993474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68.344219429278041</v>
      </c>
      <c r="T53" s="62">
        <f t="shared" si="34"/>
        <v>329.77026259885815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34.631663724121246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1.1671543110293972E-3</v>
      </c>
      <c r="AC53" s="24">
        <f t="shared" si="3"/>
        <v>34.632830878432273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68.344219429278041</v>
      </c>
      <c r="T54" s="62">
        <f t="shared" si="34"/>
        <v>329.77026259885815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33.952557921720356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8.2530272801999963E-4</v>
      </c>
      <c r="AC54" s="24">
        <f t="shared" si="3"/>
        <v>33.953383224448373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68.344219429278041</v>
      </c>
      <c r="T55" s="62">
        <f t="shared" si="34"/>
        <v>329.77026259885815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33.286768969890907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5.8357715551469861E-4</v>
      </c>
      <c r="AC55" s="24">
        <f t="shared" si="3"/>
        <v>33.287352547046424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68.344219429278041</v>
      </c>
      <c r="T56" s="62">
        <f t="shared" si="34"/>
        <v>329.77026259885815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32.63403573331567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4.1265136400999981E-4</v>
      </c>
      <c r="AC56" s="24">
        <f t="shared" si="3"/>
        <v>32.634448384679679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68.344219429278041</v>
      </c>
      <c r="T57" s="62">
        <f t="shared" si="34"/>
        <v>329.77026259885815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31.994102197381711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2.9178857775734931E-4</v>
      </c>
      <c r="AC57" s="24">
        <f t="shared" si="3"/>
        <v>31.994393985959469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68.344219429278041</v>
      </c>
      <c r="T58" s="62">
        <f t="shared" si="34"/>
        <v>329.77026259885815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31.366717367766501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2.0632568200499991E-4</v>
      </c>
      <c r="AC58" s="24">
        <f t="shared" si="3"/>
        <v>31.366923693448506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68.344219429278041</v>
      </c>
      <c r="T59" s="62">
        <f t="shared" si="34"/>
        <v>329.77026259885815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30.751635171993087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1.4589428887867465E-4</v>
      </c>
      <c r="AC59" s="24">
        <f t="shared" si="3"/>
        <v>30.751781066281964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68.344219429278041</v>
      </c>
      <c r="T60" s="62">
        <f t="shared" si="34"/>
        <v>329.77026259885815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30.148614362915691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1.0316284100249995E-4</v>
      </c>
      <c r="AC60" s="24">
        <f t="shared" si="3"/>
        <v>30.148717525756695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68.344219429278041</v>
      </c>
      <c r="T61" s="62">
        <f t="shared" si="34"/>
        <v>329.77026259885815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29.557418424097929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7.2947144439337327E-5</v>
      </c>
      <c r="AC61" s="24">
        <f t="shared" si="3"/>
        <v>29.557491371242367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68.344219429278041</v>
      </c>
      <c r="T62" s="62">
        <f t="shared" si="34"/>
        <v>329.77026259885815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28.977815477046466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5.1581420501249977E-5</v>
      </c>
      <c r="AC62" s="24">
        <f t="shared" si="3"/>
        <v>28.977867058466966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68.344219429278041</v>
      </c>
      <c r="T63" s="62">
        <f t="shared" si="34"/>
        <v>329.77026259885815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28.40957819026379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3.6473572219668663E-5</v>
      </c>
      <c r="AC63" s="24">
        <f t="shared" si="3"/>
        <v>28.40961466383601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68.344219429278041</v>
      </c>
      <c r="T64" s="62">
        <f t="shared" si="34"/>
        <v>329.77026259885815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27.852483690084402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2.5790710250624988E-5</v>
      </c>
      <c r="AC64" s="24">
        <f t="shared" si="3"/>
        <v>27.852509480794652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68.344219429278041</v>
      </c>
      <c r="T65" s="62">
        <f t="shared" si="34"/>
        <v>329.77026259885815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27.30631347325944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1.8236786109834332E-5</v>
      </c>
      <c r="AC65" s="24">
        <f t="shared" si="3"/>
        <v>27.306331710045551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68.344219429278041</v>
      </c>
      <c r="T66" s="62">
        <f t="shared" si="34"/>
        <v>329.77026259885815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26.770853321255476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1.2895355125312494E-5</v>
      </c>
      <c r="AC66" s="24">
        <f t="shared" si="3"/>
        <v>26.770866216610603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68.344219429278041</v>
      </c>
      <c r="T67" s="62">
        <f t="shared" si="34"/>
        <v>329.77026259885815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26.245893216233867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9.1183930549171658E-6</v>
      </c>
      <c r="AC67" s="24">
        <f t="shared" si="3"/>
        <v>26.245902334626923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68.344219429278041</v>
      </c>
      <c r="T68" s="62">
        <f t="shared" si="34"/>
        <v>329.77026259885815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25.731227258677684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6.4476775626562471E-6</v>
      </c>
      <c r="AC68" s="24">
        <f t="shared" ref="AC68:AC131" si="57">SUM(Z68:AB68)</f>
        <v>25.731233706355248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68.344219429278041</v>
      </c>
      <c r="T69" s="62">
        <f t="shared" ref="T69:T132" si="88">$T$3</f>
        <v>329.77026259885815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25.22665358663394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4.5591965274585829E-6</v>
      </c>
      <c r="AC69" s="24">
        <f t="shared" si="57"/>
        <v>25.226658145830466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68.344219429278041</v>
      </c>
      <c r="T70" s="62">
        <f t="shared" si="88"/>
        <v>329.77026259885815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24.731974296539423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3.2238387813281235E-6</v>
      </c>
      <c r="AC70" s="24">
        <f t="shared" si="57"/>
        <v>24.731977520378205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68.344219429278041</v>
      </c>
      <c r="T71" s="62">
        <f t="shared" si="88"/>
        <v>329.77026259885815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24.246995365599084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2.2795982637292915E-6</v>
      </c>
      <c r="AC71" s="24">
        <f t="shared" si="57"/>
        <v>24.246997645197347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68.344219429278041</v>
      </c>
      <c r="T72" s="62">
        <f t="shared" si="88"/>
        <v>329.77026259885815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23.771526575686547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1.6119193906640618E-6</v>
      </c>
      <c r="AC72" s="24">
        <f t="shared" si="57"/>
        <v>23.771528187605938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68.344219429278041</v>
      </c>
      <c r="T73" s="62">
        <f t="shared" si="88"/>
        <v>329.77026259885815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23.30538143873687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1.1397991318646457E-6</v>
      </c>
      <c r="AC73" s="24">
        <f t="shared" si="57"/>
        <v>23.305382578536001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68.344219429278041</v>
      </c>
      <c r="T74" s="62">
        <f t="shared" si="88"/>
        <v>329.77026259885815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22.848377123602315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8.0595969533203088E-7</v>
      </c>
      <c r="AC74" s="24">
        <f t="shared" si="57"/>
        <v>22.848377929562009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68.344219429278041</v>
      </c>
      <c r="T75" s="62">
        <f t="shared" si="88"/>
        <v>329.77026259885815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22.40033438434244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5.6989956593232286E-7</v>
      </c>
      <c r="AC75" s="24">
        <f t="shared" si="57"/>
        <v>22.400334954242005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68.344219429278041</v>
      </c>
      <c r="T76" s="62">
        <f t="shared" si="88"/>
        <v>329.77026259885815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21.961077489920363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4.0297984766601544E-7</v>
      </c>
      <c r="AC76" s="24">
        <f t="shared" si="57"/>
        <v>21.96107789290021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68.344219429278041</v>
      </c>
      <c r="T77" s="62">
        <f t="shared" si="88"/>
        <v>329.77026259885815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21.530434155277653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2.8494978296616143E-7</v>
      </c>
      <c r="AC77" s="24">
        <f t="shared" si="57"/>
        <v>21.530434440227438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68.344219429278041</v>
      </c>
      <c r="T78" s="62">
        <f t="shared" si="88"/>
        <v>329.77026259885815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21.108235473760789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2.0148992383300772E-7</v>
      </c>
      <c r="AC78" s="24">
        <f t="shared" si="57"/>
        <v>21.108235675250715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68.344219429278041</v>
      </c>
      <c r="T79" s="62">
        <f t="shared" si="88"/>
        <v>329.77026259885815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20.694315850872702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1.4247489148308072E-7</v>
      </c>
      <c r="AC79" s="24">
        <f t="shared" si="57"/>
        <v>20.694315993347594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68.344219429278041</v>
      </c>
      <c r="T80" s="62">
        <f t="shared" si="88"/>
        <v>329.77026259885815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20.288512939323411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1.0074496191650386E-7</v>
      </c>
      <c r="AC80" s="24">
        <f t="shared" si="57"/>
        <v>20.288513040068374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68.344219429278041</v>
      </c>
      <c r="T81" s="62">
        <f t="shared" si="88"/>
        <v>329.77026259885815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19.890667575354264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7.1237445741540358E-8</v>
      </c>
      <c r="AC81" s="24">
        <f t="shared" si="57"/>
        <v>19.890667646591709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68.344219429278041</v>
      </c>
      <c r="T82" s="62">
        <f t="shared" si="88"/>
        <v>329.77026259885815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19.500623716310841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5.037248095825193E-8</v>
      </c>
      <c r="AC82" s="24">
        <f t="shared" si="57"/>
        <v>19.500623766683322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68.344219429278041</v>
      </c>
      <c r="T83" s="62">
        <f t="shared" si="88"/>
        <v>329.77026259885815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19.118228379439998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3.5618722870770179E-8</v>
      </c>
      <c r="AC83" s="24">
        <f t="shared" si="57"/>
        <v>19.11822841505872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68.344219429278041</v>
      </c>
      <c r="T84" s="62">
        <f t="shared" si="88"/>
        <v>329.77026259885815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18.743331581887066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2.5186240479125965E-8</v>
      </c>
      <c r="AC84" s="24">
        <f t="shared" si="57"/>
        <v>18.743331607073305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68.344219429278041</v>
      </c>
      <c r="T85" s="62">
        <f t="shared" si="88"/>
        <v>329.77026259885815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18.375786281869679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1.7809361435385089E-8</v>
      </c>
      <c r="AC85" s="24">
        <f t="shared" si="57"/>
        <v>18.375786299679042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68.344219429278041</v>
      </c>
      <c r="T86" s="62">
        <f t="shared" si="88"/>
        <v>329.77026259885815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18.015448321005138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1.2593120239562983E-8</v>
      </c>
      <c r="AC86" s="24">
        <f t="shared" si="57"/>
        <v>18.015448333598258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68.344219429278041</v>
      </c>
      <c r="T87" s="62">
        <f t="shared" si="88"/>
        <v>329.77026259885815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17.662176367768694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8.9046807176925447E-9</v>
      </c>
      <c r="AC87" s="24">
        <f t="shared" si="57"/>
        <v>17.662176376673376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68.344219429278041</v>
      </c>
      <c r="T88" s="62">
        <f t="shared" si="88"/>
        <v>329.77026259885815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17.315831862060602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6.2965601197814913E-9</v>
      </c>
      <c r="AC88" s="24">
        <f t="shared" si="57"/>
        <v>17.315831868357161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68.344219429278041</v>
      </c>
      <c r="T89" s="62">
        <f t="shared" si="88"/>
        <v>329.77026259885815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16.976278960860157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4.4523403588462724E-9</v>
      </c>
      <c r="AC89" s="24">
        <f t="shared" si="57"/>
        <v>16.976278965312495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68.344219429278041</v>
      </c>
      <c r="T90" s="62">
        <f t="shared" si="88"/>
        <v>329.77026259885815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16.643384484945432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3.1482800598907456E-9</v>
      </c>
      <c r="AC90" s="24">
        <f t="shared" si="57"/>
        <v>16.643384488093712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68.344219429278041</v>
      </c>
      <c r="T91" s="62">
        <f t="shared" si="88"/>
        <v>329.77026259885815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16.317017866657814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2.2261701794231362E-9</v>
      </c>
      <c r="AC91" s="24">
        <f t="shared" si="57"/>
        <v>16.317017868883983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68.344219429278041</v>
      </c>
      <c r="T92" s="62">
        <f t="shared" si="88"/>
        <v>329.77026259885815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15.997051098690836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1.5741400299453728E-9</v>
      </c>
      <c r="AC92" s="24">
        <f t="shared" si="57"/>
        <v>15.997051100264976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68.344219429278041</v>
      </c>
      <c r="T93" s="62">
        <f t="shared" si="88"/>
        <v>329.77026259885815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15.683358683883231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1.1130850897115681E-9</v>
      </c>
      <c r="AC93" s="24">
        <f t="shared" si="57"/>
        <v>15.683358684996316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68.344219429278041</v>
      </c>
      <c r="T94" s="62">
        <f t="shared" si="88"/>
        <v>329.77026259885815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15.375817585996524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7.8707001497268641E-10</v>
      </c>
      <c r="AC94" s="24">
        <f t="shared" si="57"/>
        <v>15.375817586783594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68.344219429278041</v>
      </c>
      <c r="T95" s="62">
        <f t="shared" si="88"/>
        <v>329.77026259885815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15.074307181457828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5.5654254485578405E-10</v>
      </c>
      <c r="AC95" s="24">
        <f t="shared" si="57"/>
        <v>15.074307182014371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68.344219429278041</v>
      </c>
      <c r="T96" s="62">
        <f t="shared" si="88"/>
        <v>329.77026259885815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14.778709212048946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3.9353500748634321E-10</v>
      </c>
      <c r="AC96" s="24">
        <f t="shared" si="57"/>
        <v>14.778709212442482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68.344219429278041</v>
      </c>
      <c r="T97" s="62">
        <f t="shared" si="88"/>
        <v>329.77026259885815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14.488907738523215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2.7827127242789202E-10</v>
      </c>
      <c r="AC97" s="24">
        <f t="shared" si="57"/>
        <v>14.488907738801487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68.344219429278041</v>
      </c>
      <c r="T98" s="62">
        <f t="shared" si="88"/>
        <v>329.77026259885815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14.204789095131879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1.967675037431716E-10</v>
      </c>
      <c r="AC98" s="24">
        <f t="shared" si="57"/>
        <v>14.204789095328646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68.344219429278041</v>
      </c>
      <c r="T99" s="62">
        <f t="shared" si="88"/>
        <v>329.77026259885815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13.926241845042185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1.3913563621394601E-10</v>
      </c>
      <c r="AC99" s="24">
        <f t="shared" si="57"/>
        <v>13.92624184518132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68.344219429278041</v>
      </c>
      <c r="T100" s="62">
        <f t="shared" si="88"/>
        <v>329.77026259885815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13.653156736629704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9.8383751871585801E-11</v>
      </c>
      <c r="AC100" s="24">
        <f t="shared" si="57"/>
        <v>13.653156736728087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68.344219429278041</v>
      </c>
      <c r="T101" s="62">
        <f t="shared" si="88"/>
        <v>329.77026259885815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13.385426660627722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6.9567818106973006E-11</v>
      </c>
      <c r="AC101" s="24">
        <f t="shared" si="57"/>
        <v>13.38542666069729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68.344219429278041</v>
      </c>
      <c r="T102" s="62">
        <f t="shared" si="88"/>
        <v>329.77026259885815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13.122946608116917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4.9191875935792901E-11</v>
      </c>
      <c r="AC102" s="24">
        <f t="shared" si="57"/>
        <v>13.12294660816611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68.344219429278041</v>
      </c>
      <c r="T103" s="62">
        <f t="shared" si="88"/>
        <v>329.77026259885815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12.865613629338826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3.4783909053486503E-11</v>
      </c>
      <c r="AC103" s="24">
        <f t="shared" si="57"/>
        <v>12.865613629373611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68.344219429278041</v>
      </c>
      <c r="T104" s="62">
        <f t="shared" si="88"/>
        <v>329.77026259885815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12.613326793316954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2.459593796789645E-11</v>
      </c>
      <c r="AC104" s="24">
        <f t="shared" si="57"/>
        <v>12.61332679334155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68.344219429278041</v>
      </c>
      <c r="T105" s="62">
        <f t="shared" si="88"/>
        <v>329.77026259885815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12.365987148269696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1.7391954526743251E-11</v>
      </c>
      <c r="AC105" s="24">
        <f t="shared" si="57"/>
        <v>12.365987148287088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68.344219429278041</v>
      </c>
      <c r="T106" s="62">
        <f t="shared" si="88"/>
        <v>329.77026259885815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12.123497682799526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1.2297968983948225E-11</v>
      </c>
      <c r="AC106" s="24">
        <f t="shared" si="57"/>
        <v>12.123497682811823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68.344219429278041</v>
      </c>
      <c r="T107" s="62">
        <f t="shared" si="88"/>
        <v>329.77026259885815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11.885763287843258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8.6959772633716257E-12</v>
      </c>
      <c r="AC107" s="24">
        <f t="shared" si="57"/>
        <v>11.885763287851953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68.344219429278041</v>
      </c>
      <c r="T108" s="62">
        <f t="shared" si="88"/>
        <v>329.77026259885815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11.652690719368419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6.1489844919741126E-12</v>
      </c>
      <c r="AC108" s="24">
        <f t="shared" si="57"/>
        <v>11.652690719374569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68.344219429278041</v>
      </c>
      <c r="T109" s="62">
        <f t="shared" si="88"/>
        <v>329.77026259885815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11.424188561801142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4.3479886316858129E-12</v>
      </c>
      <c r="AC109" s="24">
        <f t="shared" si="57"/>
        <v>11.42418856180549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68.344219429278041</v>
      </c>
      <c r="T110" s="62">
        <f t="shared" si="88"/>
        <v>329.77026259885815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11.200167192171204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3.0744922459870563E-12</v>
      </c>
      <c r="AC110" s="24">
        <f t="shared" si="57"/>
        <v>11.200167192174279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68.344219429278041</v>
      </c>
      <c r="T111" s="62">
        <f t="shared" si="88"/>
        <v>329.77026259885815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10.980538744960166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2.1739943158429064E-12</v>
      </c>
      <c r="AC111" s="24">
        <f t="shared" si="57"/>
        <v>10.98053874496234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68.344219429278041</v>
      </c>
      <c r="T112" s="62">
        <f t="shared" si="88"/>
        <v>329.77026259885815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10.765217077638811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1.5372461229935281E-12</v>
      </c>
      <c r="AC112" s="24">
        <f t="shared" si="57"/>
        <v>10.765217077640347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68.344219429278041</v>
      </c>
      <c r="T113" s="62">
        <f t="shared" si="88"/>
        <v>329.77026259885815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10.554117736880379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1.0869971579214532E-12</v>
      </c>
      <c r="AC113" s="24">
        <f t="shared" si="57"/>
        <v>10.554117736881466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68.344219429278041</v>
      </c>
      <c r="T114" s="62">
        <f t="shared" si="88"/>
        <v>329.77026259885815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10.347157925436337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7.6862306149676407E-13</v>
      </c>
      <c r="AC114" s="24">
        <f t="shared" si="57"/>
        <v>10.347157925437106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68.344219429278041</v>
      </c>
      <c r="T115" s="62">
        <f t="shared" si="88"/>
        <v>329.77026259885815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10.144256469661691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5.4349857896072661E-13</v>
      </c>
      <c r="AC115" s="24">
        <f t="shared" si="57"/>
        <v>10.144256469662235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68.344219429278041</v>
      </c>
      <c r="T116" s="62">
        <f t="shared" si="88"/>
        <v>329.77026259885815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9.945333787677118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3.8431153074838204E-13</v>
      </c>
      <c r="AC116" s="24">
        <f t="shared" si="57"/>
        <v>9.9453337876775016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68.344219429278041</v>
      </c>
      <c r="T117" s="62">
        <f t="shared" si="88"/>
        <v>329.77026259885815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9.7503118581554062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2.717492894803633E-13</v>
      </c>
      <c r="AC117" s="24">
        <f t="shared" si="57"/>
        <v>9.750311858155678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68.344219429278041</v>
      </c>
      <c r="T118" s="62">
        <f t="shared" si="88"/>
        <v>329.77026259885815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9.5591141897199847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1.9215576537419102E-13</v>
      </c>
      <c r="AC118" s="24">
        <f t="shared" si="57"/>
        <v>9.5591141897201766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68.344219429278041</v>
      </c>
      <c r="T119" s="62">
        <f t="shared" si="88"/>
        <v>329.77026259885815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9.3716657909435188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1.3587464474018165E-13</v>
      </c>
      <c r="AC119" s="24">
        <f t="shared" si="57"/>
        <v>9.3716657909436538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68.344219429278041</v>
      </c>
      <c r="T120" s="62">
        <f t="shared" si="88"/>
        <v>329.77026259885815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9.1878931409348255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9.6077882687095509E-14</v>
      </c>
      <c r="AC120" s="24">
        <f t="shared" si="57"/>
        <v>9.1878931409349214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68.344219429278041</v>
      </c>
      <c r="T121" s="62">
        <f t="shared" si="88"/>
        <v>329.77026259885815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9.0077241605025549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6.7937322370090826E-14</v>
      </c>
      <c r="AC121" s="24">
        <f t="shared" si="57"/>
        <v>9.0077241605026224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68.344219429278041</v>
      </c>
      <c r="T122" s="62">
        <f t="shared" si="88"/>
        <v>329.77026259885815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8.8310881838843329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4.8038941343547755E-14</v>
      </c>
      <c r="AC122" s="24">
        <f t="shared" si="57"/>
        <v>8.8310881838843809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68.344219429278041</v>
      </c>
      <c r="T123" s="62">
        <f t="shared" si="88"/>
        <v>329.77026259885815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8.6579159310302867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3.3968661185045413E-14</v>
      </c>
      <c r="AC123" s="24">
        <f t="shared" si="57"/>
        <v>8.6579159310303204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68.344219429278041</v>
      </c>
      <c r="T124" s="62">
        <f t="shared" si="88"/>
        <v>329.77026259885815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8.4881394804300641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2.4019470671773877E-14</v>
      </c>
      <c r="AC124" s="24">
        <f t="shared" si="57"/>
        <v>8.4881394804300889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68.344219429278041</v>
      </c>
      <c r="T125" s="62">
        <f t="shared" si="88"/>
        <v>329.77026259885815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8.321692242472702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1.6984330592522706E-14</v>
      </c>
      <c r="AC125" s="24">
        <f t="shared" si="57"/>
        <v>8.3216922424727198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68.344219429278041</v>
      </c>
      <c r="T126" s="62">
        <f t="shared" si="88"/>
        <v>329.77026259885815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8.1585089333288927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1.2009735335886939E-14</v>
      </c>
      <c r="AC126" s="24">
        <f t="shared" si="57"/>
        <v>8.1585089333289051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68.344219429278041</v>
      </c>
      <c r="T127" s="62">
        <f t="shared" si="88"/>
        <v>329.77026259885815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7.9985255493454037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8.4921652962613532E-15</v>
      </c>
      <c r="AC127" s="24">
        <f t="shared" si="57"/>
        <v>7.9985255493454126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68.344219429278041</v>
      </c>
      <c r="T128" s="62">
        <f t="shared" si="88"/>
        <v>329.77026259885815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7.8416793419416022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6.0048676679434693E-15</v>
      </c>
      <c r="AC128" s="24">
        <f t="shared" si="57"/>
        <v>7.8416793419416084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68.344219429278041</v>
      </c>
      <c r="T129" s="62">
        <f t="shared" si="88"/>
        <v>329.77026259885815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7.6879087929982486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4.2460826481306766E-15</v>
      </c>
      <c r="AC129" s="24">
        <f t="shared" si="57"/>
        <v>7.687908792998253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68.344219429278041</v>
      </c>
      <c r="T130" s="62">
        <f t="shared" si="88"/>
        <v>329.77026259885815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7.5371535907289005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3.0024338339717347E-15</v>
      </c>
      <c r="AC130" s="24">
        <f t="shared" si="57"/>
        <v>7.5371535907289031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68.344219429278041</v>
      </c>
      <c r="T131" s="62">
        <f t="shared" si="88"/>
        <v>329.77026259885815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7.3893546060244599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2.1230413240653383E-15</v>
      </c>
      <c r="AC131" s="24">
        <f t="shared" si="57"/>
        <v>7.3893546060244617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68.344219429278041</v>
      </c>
      <c r="T132" s="62">
        <f t="shared" si="88"/>
        <v>329.77026259885815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7.2444538692615943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1.5012169169858673E-15</v>
      </c>
      <c r="AC132" s="24">
        <f t="shared" ref="AC132:AC153" si="111">SUM(Z132:AB132)</f>
        <v>7.2444538692615961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68.344219429278041</v>
      </c>
      <c r="T133" s="62">
        <f t="shared" ref="T133:T196" si="142">$T$3</f>
        <v>329.77026259885815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7.1023945475659263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1.0615206620326692E-15</v>
      </c>
      <c r="AC133" s="24">
        <f t="shared" si="111"/>
        <v>7.1023945475659271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68.344219429278041</v>
      </c>
      <c r="T134" s="62">
        <f t="shared" si="142"/>
        <v>329.77026259885815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6.9631209225210799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7.5060845849293366E-16</v>
      </c>
      <c r="AC134" s="24">
        <f t="shared" si="111"/>
        <v>6.9631209225210808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68.344219429278041</v>
      </c>
      <c r="T135" s="62">
        <f t="shared" si="142"/>
        <v>329.77026259885815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6.8265783683148396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5.3076033101633458E-16</v>
      </c>
      <c r="AC135" s="24">
        <f t="shared" si="111"/>
        <v>6.8265783683148404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68.344219429278041</v>
      </c>
      <c r="T136" s="62">
        <f t="shared" si="142"/>
        <v>329.77026259885815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6.6927133303138486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3.7530422924646683E-16</v>
      </c>
      <c r="AC136" s="24">
        <f t="shared" si="111"/>
        <v>6.6927133303138486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68.344219429278041</v>
      </c>
      <c r="T137" s="62">
        <f t="shared" si="142"/>
        <v>329.77026259885815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6.5614733040584463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2.6538016550816729E-16</v>
      </c>
      <c r="AC137" s="24">
        <f t="shared" si="111"/>
        <v>6.5614733040584463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68.344219429278041</v>
      </c>
      <c r="T138" s="62">
        <f t="shared" si="142"/>
        <v>329.77026259885815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6.4328068146694006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1.8765211462323342E-16</v>
      </c>
      <c r="AC138" s="24">
        <f t="shared" si="111"/>
        <v>6.4328068146694006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68.344219429278041</v>
      </c>
      <c r="T139" s="62">
        <f t="shared" si="142"/>
        <v>329.77026259885815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6.3066633966584646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1.3269008275408364E-16</v>
      </c>
      <c r="AC139" s="24">
        <f t="shared" si="111"/>
        <v>6.3066633966584646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68.344219429278041</v>
      </c>
      <c r="T140" s="62">
        <f t="shared" si="142"/>
        <v>329.77026259885815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6.1829935741348354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9.3826057311616708E-17</v>
      </c>
      <c r="AC140" s="24">
        <f t="shared" si="111"/>
        <v>6.1829935741348354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68.344219429278041</v>
      </c>
      <c r="T141" s="62">
        <f t="shared" si="142"/>
        <v>329.77026259885815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6.0617488413997513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6.6345041377041822E-17</v>
      </c>
      <c r="AC141" s="24">
        <f t="shared" si="111"/>
        <v>6.0617488413997513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68.344219429278041</v>
      </c>
      <c r="T142" s="62">
        <f t="shared" si="142"/>
        <v>329.77026259885815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5.9428816439216172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4.6913028655808354E-17</v>
      </c>
      <c r="AC142" s="24">
        <f t="shared" si="111"/>
        <v>5.9428816439216172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68.344219429278041</v>
      </c>
      <c r="T143" s="62">
        <f t="shared" si="142"/>
        <v>329.77026259885815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5.8263453596841979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3.3172520688520911E-17</v>
      </c>
      <c r="AC143" s="24">
        <f t="shared" si="111"/>
        <v>5.8263453596841979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68.344219429278041</v>
      </c>
      <c r="T144" s="62">
        <f t="shared" si="142"/>
        <v>329.77026259885815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5.7120942809005593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2.3456514327904177E-17</v>
      </c>
      <c r="AC144" s="24">
        <f t="shared" si="111"/>
        <v>5.7120942809005593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68.344219429278041</v>
      </c>
      <c r="T145" s="62">
        <f t="shared" si="142"/>
        <v>329.77026259885815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5.6000835960855913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1.6586260344260456E-17</v>
      </c>
      <c r="AC145" s="24">
        <f t="shared" si="111"/>
        <v>5.6000835960855913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68.344219429278041</v>
      </c>
      <c r="T146" s="62">
        <f t="shared" si="142"/>
        <v>329.77026259885815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5.4902693724800731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1.1728257163952089E-17</v>
      </c>
      <c r="AC146" s="24">
        <f t="shared" si="111"/>
        <v>5.4902693724800731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68.344219429278041</v>
      </c>
      <c r="T147" s="62">
        <f t="shared" si="142"/>
        <v>329.77026259885815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5.3826085388193965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8.2931301721302278E-18</v>
      </c>
      <c r="AC147" s="24">
        <f t="shared" si="111"/>
        <v>5.3826085388193965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68.344219429278041</v>
      </c>
      <c r="T148" s="62">
        <f t="shared" si="142"/>
        <v>329.77026259885815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5.2770588684401805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5.8641285819760443E-18</v>
      </c>
      <c r="AC148" s="24">
        <f t="shared" si="111"/>
        <v>5.2770588684401805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68.344219429278041</v>
      </c>
      <c r="T149" s="62">
        <f t="shared" si="142"/>
        <v>329.77026259885815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5.1735789627181594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4.1465650860651139E-18</v>
      </c>
      <c r="AC149" s="24">
        <f t="shared" si="111"/>
        <v>5.1735789627181594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68.344219429278041</v>
      </c>
      <c r="T150" s="62">
        <f t="shared" si="142"/>
        <v>329.77026259885815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5.0721282348308367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2.9320642909880221E-18</v>
      </c>
      <c r="AC150" s="24">
        <f t="shared" si="111"/>
        <v>5.0721282348308367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68.344219429278041</v>
      </c>
      <c r="T151" s="62">
        <f t="shared" si="142"/>
        <v>329.77026259885815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4.9726668938385501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2.0732825430325569E-18</v>
      </c>
      <c r="AC151" s="24">
        <f t="shared" si="111"/>
        <v>4.9726668938385501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68.344219429278041</v>
      </c>
      <c r="T152" s="62">
        <f t="shared" si="142"/>
        <v>329.77026259885815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4.8751559290776951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1.4660321454940111E-18</v>
      </c>
      <c r="AC152" s="24">
        <f t="shared" si="111"/>
        <v>4.8751559290776951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68.344219429278041</v>
      </c>
      <c r="T153" s="62">
        <f t="shared" si="142"/>
        <v>329.77026259885815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4.7795570948599844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1.0366412715162785E-18</v>
      </c>
      <c r="AC153" s="24">
        <f t="shared" si="111"/>
        <v>4.7795570948599844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68.344219429278041</v>
      </c>
      <c r="T154" s="62">
        <f t="shared" si="142"/>
        <v>329.77026259885815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4.6858328954717514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7.3301607274700553E-19</v>
      </c>
      <c r="AC154" s="24">
        <f t="shared" ref="AC154:AC203" si="163">SUM(Z154:AB154)</f>
        <v>4.6858328954717514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68.344219429278041</v>
      </c>
      <c r="T155" s="62">
        <f t="shared" si="142"/>
        <v>329.77026259885815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4.5939465704674047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5.1832063575813924E-19</v>
      </c>
      <c r="AC155" s="24">
        <f t="shared" si="163"/>
        <v>4.5939465704674047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68.344219429278041</v>
      </c>
      <c r="T156" s="62">
        <f t="shared" si="142"/>
        <v>329.77026259885815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4.5038620802512694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3.6650803637350277E-19</v>
      </c>
      <c r="AC156" s="24">
        <f t="shared" si="163"/>
        <v>4.5038620802512694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68.344219429278041</v>
      </c>
      <c r="T157" s="62">
        <f t="shared" si="142"/>
        <v>329.77026259885815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4.4155440919421594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2.5916031787906962E-19</v>
      </c>
      <c r="AC157" s="24">
        <f t="shared" si="163"/>
        <v>4.4155440919421594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68.344219429278041</v>
      </c>
      <c r="T158" s="62">
        <f t="shared" si="142"/>
        <v>329.77026259885815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4.3289579655151371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1.8325401818675138E-19</v>
      </c>
      <c r="AC158" s="24">
        <f t="shared" si="163"/>
        <v>4.3289579655151371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68.344219429278041</v>
      </c>
      <c r="T159" s="62">
        <f t="shared" si="142"/>
        <v>329.77026259885815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4.2440697402150258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1.2958015893953481E-19</v>
      </c>
      <c r="AC159" s="24">
        <f t="shared" si="163"/>
        <v>4.2440697402150258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68.344219429278041</v>
      </c>
      <c r="T160" s="62">
        <f t="shared" si="142"/>
        <v>329.77026259885815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4.1608461212363448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9.1627009093375691E-20</v>
      </c>
      <c r="AC160" s="24">
        <f t="shared" si="163"/>
        <v>4.1608461212363448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68.344219429278041</v>
      </c>
      <c r="T161" s="62">
        <f t="shared" si="142"/>
        <v>329.77026259885815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4.079254466664441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6.4790079469767405E-20</v>
      </c>
      <c r="AC161" s="24">
        <f t="shared" si="163"/>
        <v>4.079254466664441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68.344219429278041</v>
      </c>
      <c r="T162" s="62">
        <f t="shared" si="142"/>
        <v>329.77026259885815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3.9992627746726965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4.5813504546687846E-20</v>
      </c>
      <c r="AC162" s="24">
        <f t="shared" si="163"/>
        <v>3.9992627746726965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68.344219429278041</v>
      </c>
      <c r="T163" s="62">
        <f t="shared" si="142"/>
        <v>329.77026259885815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3.9208396709707958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3.2395039734883702E-20</v>
      </c>
      <c r="AC163" s="24">
        <f t="shared" si="163"/>
        <v>3.9208396709707958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68.344219429278041</v>
      </c>
      <c r="T164" s="62">
        <f t="shared" si="142"/>
        <v>329.77026259885815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3.843954396499119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2.2906752273343923E-20</v>
      </c>
      <c r="AC164" s="24">
        <f t="shared" si="163"/>
        <v>3.843954396499119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68.344219429278041</v>
      </c>
      <c r="T165" s="62">
        <f t="shared" si="142"/>
        <v>329.77026259885815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3.7685767953644449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1.6197519867441851E-20</v>
      </c>
      <c r="AC165" s="24">
        <f t="shared" si="163"/>
        <v>3.7685767953644449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68.344219429278041</v>
      </c>
      <c r="T166" s="62">
        <f t="shared" si="142"/>
        <v>329.77026259885815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3.6946773030122251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1.1453376136671961E-20</v>
      </c>
      <c r="AC166" s="24">
        <f t="shared" si="163"/>
        <v>3.6946773030122251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68.344219429278041</v>
      </c>
      <c r="T167" s="62">
        <f t="shared" si="142"/>
        <v>329.77026259885815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3.6222269346307927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8.0987599337209256E-21</v>
      </c>
      <c r="AC167" s="24">
        <f t="shared" si="163"/>
        <v>3.6222269346307927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68.344219429278041</v>
      </c>
      <c r="T168" s="62">
        <f t="shared" si="142"/>
        <v>329.77026259885815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3.5511972737829587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5.7266880683359807E-21</v>
      </c>
      <c r="AC168" s="24">
        <f t="shared" si="163"/>
        <v>3.5511972737829587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68.344219429278041</v>
      </c>
      <c r="T169" s="62">
        <f t="shared" si="142"/>
        <v>329.77026259885815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3.4815604612605355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4.0493799668604628E-21</v>
      </c>
      <c r="AC169" s="24">
        <f t="shared" si="163"/>
        <v>3.4815604612605355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68.344219429278041</v>
      </c>
      <c r="T170" s="62">
        <f t="shared" si="142"/>
        <v>329.77026259885815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3.4132891841574153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2.8633440341679904E-21</v>
      </c>
      <c r="AC170" s="24">
        <f t="shared" si="163"/>
        <v>3.4132891841574153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68.344219429278041</v>
      </c>
      <c r="T171" s="62">
        <f t="shared" si="142"/>
        <v>329.77026259885815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3.3463566651569203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2.0246899834302314E-21</v>
      </c>
      <c r="AC171" s="24">
        <f t="shared" si="163"/>
        <v>3.3463566651569203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68.344219429278041</v>
      </c>
      <c r="T172" s="62">
        <f t="shared" si="142"/>
        <v>329.77026259885815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3.2807366520292192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1.4316720170839952E-21</v>
      </c>
      <c r="AC172" s="24">
        <f t="shared" si="163"/>
        <v>3.2807366520292192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68.344219429278041</v>
      </c>
      <c r="T173" s="62">
        <f t="shared" si="142"/>
        <v>329.77026259885815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3.2164034073346963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1.0123449917151157E-21</v>
      </c>
      <c r="AC173" s="24">
        <f t="shared" si="163"/>
        <v>3.2164034073346963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68.344219429278041</v>
      </c>
      <c r="T174" s="62">
        <f t="shared" si="142"/>
        <v>329.77026259885815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3.1533316983292283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7.1583600854199759E-22</v>
      </c>
      <c r="AC174" s="24">
        <f t="shared" si="163"/>
        <v>3.1533316983292283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68.344219429278041</v>
      </c>
      <c r="T175" s="62">
        <f t="shared" si="142"/>
        <v>329.77026259885815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3.0914967870674137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5.0617249585755785E-22</v>
      </c>
      <c r="AC175" s="24">
        <f t="shared" si="163"/>
        <v>3.0914967870674137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68.344219429278041</v>
      </c>
      <c r="T176" s="62">
        <f t="shared" si="142"/>
        <v>329.77026259885815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3.0308744206998717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3.5791800427099879E-22</v>
      </c>
      <c r="AC176" s="24">
        <f t="shared" si="163"/>
        <v>3.0308744206998717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68.344219429278041</v>
      </c>
      <c r="T177" s="62">
        <f t="shared" si="142"/>
        <v>329.77026259885815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2.9714408219608046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2.5308624792877892E-22</v>
      </c>
      <c r="AC177" s="24">
        <f t="shared" si="163"/>
        <v>2.9714408219608046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68.344219429278041</v>
      </c>
      <c r="T178" s="62">
        <f t="shared" si="142"/>
        <v>329.77026259885815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2.9131726798420949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1.789590021354994E-22</v>
      </c>
      <c r="AC178" s="24">
        <f t="shared" si="163"/>
        <v>2.9131726798420949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68.344219429278041</v>
      </c>
      <c r="T179" s="62">
        <f t="shared" si="142"/>
        <v>329.77026259885815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2.8560471404502756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1.2654312396438946E-22</v>
      </c>
      <c r="AC179" s="24">
        <f t="shared" si="163"/>
        <v>2.8560471404502756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68.344219429278041</v>
      </c>
      <c r="T180" s="62">
        <f t="shared" si="142"/>
        <v>329.77026259885815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2.8000417980427916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8.9479501067749699E-23</v>
      </c>
      <c r="AC180" s="24">
        <f t="shared" si="163"/>
        <v>2.8000417980427916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68.344219429278041</v>
      </c>
      <c r="T181" s="62">
        <f t="shared" si="142"/>
        <v>329.77026259885815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2.7451346862400325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6.3271561982194731E-23</v>
      </c>
      <c r="AC181" s="24">
        <f t="shared" si="163"/>
        <v>2.7451346862400325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68.344219429278041</v>
      </c>
      <c r="T182" s="62">
        <f t="shared" si="142"/>
        <v>329.77026259885815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2.6913042694096942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4.4739750533874849E-23</v>
      </c>
      <c r="AC182" s="24">
        <f t="shared" si="163"/>
        <v>2.6913042694096942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68.344219429278041</v>
      </c>
      <c r="T183" s="62">
        <f t="shared" si="142"/>
        <v>329.77026259885815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2.6385294342200867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3.1635780991097365E-23</v>
      </c>
      <c r="AC183" s="24">
        <f t="shared" si="163"/>
        <v>2.6385294342200867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68.344219429278041</v>
      </c>
      <c r="T184" s="62">
        <f t="shared" si="142"/>
        <v>329.77026259885815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2.5867894813590762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2.2369875266937425E-23</v>
      </c>
      <c r="AC184" s="24">
        <f t="shared" si="163"/>
        <v>2.5867894813590762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68.344219429278041</v>
      </c>
      <c r="T185" s="62">
        <f t="shared" si="142"/>
        <v>329.77026259885815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2.5360641174154148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1.5817890495548683E-23</v>
      </c>
      <c r="AC185" s="24">
        <f t="shared" si="163"/>
        <v>2.5360641174154148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68.344219429278041</v>
      </c>
      <c r="T186" s="62">
        <f t="shared" si="142"/>
        <v>329.77026259885815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2.4863334469192719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1.1184937633468712E-23</v>
      </c>
      <c r="AC186" s="24">
        <f t="shared" si="163"/>
        <v>2.4863334469192719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68.344219429278041</v>
      </c>
      <c r="T187" s="62">
        <f t="shared" si="142"/>
        <v>329.77026259885815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2.4375779645388445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7.9089452477743414E-24</v>
      </c>
      <c r="AC187" s="24">
        <f t="shared" si="163"/>
        <v>2.4375779645388445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68.344219429278041</v>
      </c>
      <c r="T188" s="62">
        <f t="shared" si="142"/>
        <v>329.77026259885815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2.3897785474299891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5.5924688167343562E-24</v>
      </c>
      <c r="AC188" s="24">
        <f t="shared" si="163"/>
        <v>2.3897785474299891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68.344219429278041</v>
      </c>
      <c r="T189" s="62">
        <f t="shared" si="142"/>
        <v>329.77026259885815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2.3429164477358726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3.9544726238871707E-24</v>
      </c>
      <c r="AC189" s="24">
        <f t="shared" si="163"/>
        <v>2.3429164477358726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68.344219429278041</v>
      </c>
      <c r="T190" s="62">
        <f t="shared" si="142"/>
        <v>329.77026259885815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2.2969732852336997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2.7962344083671781E-24</v>
      </c>
      <c r="AC190" s="24">
        <f t="shared" si="163"/>
        <v>2.2969732852336997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68.344219429278041</v>
      </c>
      <c r="T191" s="62">
        <f t="shared" si="142"/>
        <v>329.77026259885815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2.2519310401256321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1.9772363119435853E-24</v>
      </c>
      <c r="AC191" s="24">
        <f t="shared" si="163"/>
        <v>2.2519310401256321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68.344219429278041</v>
      </c>
      <c r="T192" s="62">
        <f t="shared" si="142"/>
        <v>329.77026259885815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2.207772045971077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1.398117204183589E-24</v>
      </c>
      <c r="AC192" s="24">
        <f t="shared" si="163"/>
        <v>2.207772045971077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68.344219429278041</v>
      </c>
      <c r="T193" s="62">
        <f t="shared" si="142"/>
        <v>329.77026259885815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2.1644789827575659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9.8861815597179267E-25</v>
      </c>
      <c r="AC193" s="24">
        <f t="shared" si="163"/>
        <v>2.1644789827575659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68.344219429278041</v>
      </c>
      <c r="T194" s="62">
        <f t="shared" si="142"/>
        <v>329.77026259885815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2.1220348701075102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6.9905860209179452E-25</v>
      </c>
      <c r="AC194" s="24">
        <f t="shared" si="163"/>
        <v>2.1220348701075102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68.344219429278041</v>
      </c>
      <c r="T195" s="62">
        <f t="shared" si="142"/>
        <v>329.77026259885815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2.0804230606181697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4.9430907798589634E-25</v>
      </c>
      <c r="AC195" s="24">
        <f t="shared" si="163"/>
        <v>2.0804230606181697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68.344219429278041</v>
      </c>
      <c r="T196" s="62">
        <f t="shared" si="142"/>
        <v>329.77026259885815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2.0396272333322178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3.4952930104589726E-25</v>
      </c>
      <c r="AC196" s="24">
        <f t="shared" si="163"/>
        <v>2.0396272333322178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68.344219429278041</v>
      </c>
      <c r="T197" s="62">
        <f t="shared" ref="T197:T203" si="204">$T$3</f>
        <v>329.77026259885815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1.9996313873363456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2.4715453899294817E-25</v>
      </c>
      <c r="AC197" s="24">
        <f t="shared" si="163"/>
        <v>1.9996313873363456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68.344219429278041</v>
      </c>
      <c r="T198" s="62">
        <f t="shared" si="204"/>
        <v>329.77026259885815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1.9604198354853952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1.7476465052294863E-25</v>
      </c>
      <c r="AC198" s="24">
        <f t="shared" si="163"/>
        <v>1.9604198354853952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68.344219429278041</v>
      </c>
      <c r="T199" s="62">
        <f t="shared" si="204"/>
        <v>329.77026259885815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1.921977198249557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1.2357726949647408E-25</v>
      </c>
      <c r="AC199" s="24">
        <f t="shared" si="163"/>
        <v>1.921977198249557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68.344219429278041</v>
      </c>
      <c r="T200" s="62">
        <f t="shared" si="204"/>
        <v>329.77026259885815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1.88428839768222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8.7382325261474315E-26</v>
      </c>
      <c r="AC200" s="24">
        <f t="shared" si="163"/>
        <v>1.88428839768222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68.344219429278041</v>
      </c>
      <c r="T201" s="62">
        <f t="shared" si="204"/>
        <v>329.77026259885815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1.8473386515061101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6.1788634748237042E-26</v>
      </c>
      <c r="AC201" s="24">
        <f t="shared" si="163"/>
        <v>1.8473386515061101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68.344219429278041</v>
      </c>
      <c r="T202" s="62">
        <f t="shared" si="204"/>
        <v>329.77026259885815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1.8111134673153939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4.3691162630737158E-26</v>
      </c>
      <c r="AC202" s="24">
        <f t="shared" si="163"/>
        <v>1.8111134673153939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68.344219429278041</v>
      </c>
      <c r="T203" s="62">
        <f t="shared" si="204"/>
        <v>329.77026259885815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1.7755986368914769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3.0894317374118521E-26</v>
      </c>
      <c r="AC203" s="24">
        <f t="shared" si="163"/>
        <v>1.7755986368914769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1.3141519994188957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O27" sqref="O2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Robusta</v>
      </c>
      <c r="B6" s="155">
        <f>'Données projet'!D9</f>
        <v>1.65</v>
      </c>
      <c r="C6" s="156">
        <f ca="1">IF(OR('Données projet'!B9="",'Données projet'!C9="",'Données projet'!C9=0%),0,Calculateur!S3)</f>
        <v>68.344219429278041</v>
      </c>
      <c r="D6" s="156">
        <f>IF(OR('Données projet'!B9="",'Données projet'!C9="",'Données projet'!C9=0%),0,Calculateur!T3)</f>
        <v>329.77026259885815</v>
      </c>
      <c r="E6" s="156">
        <f ca="1">MIN(C6,D6)</f>
        <v>68.344219429278041</v>
      </c>
      <c r="F6" s="156">
        <f ca="1">E6*B6</f>
        <v>112.76796205830877</v>
      </c>
      <c r="G6" s="156">
        <f ca="1">F6*(100%-'Données projet'!$C$24)*(100%-'Données projet'!$C$25)*(100%-'Données projet'!$C$26)*(100%-'Données projet'!$C$27)</f>
        <v>81.192932681982313</v>
      </c>
      <c r="H6" s="157">
        <f>IF(OR('Données projet'!B9="",'Données projet'!C9="",'Données projet'!C9=0%),0,AVERAGE(Calculateur!$AC$3:$AC$33)*B6)</f>
        <v>40.128499173800165</v>
      </c>
      <c r="I6" s="158">
        <f>H6*(100%-'Données projet'!$C$24)*(100%-'Données projet'!$C$25)*(100%-'Données projet'!$C$26)*(100%-'Données projet'!$C$27)</f>
        <v>28.89251940513612</v>
      </c>
      <c r="J6" s="159">
        <f>IF(OR('Données projet'!B9="",'Données projet'!C9="",'Données projet'!C9=0%),0,SUM(Calculateur!$V$3:$V$33)*VLOOKUP('Données projet'!$B$9,Paramètres!$A$1:$I$89,9,0)*B6)</f>
        <v>401.08199999999999</v>
      </c>
      <c r="K6" s="160">
        <f>J6*(100%-'Données projet'!$C$24)*(100%-'Données projet'!$C$25)*(100%-'Données projet'!$C$26)*(100%-'Données projet'!$C$27)</f>
        <v>288.77904000000001</v>
      </c>
      <c r="L6" s="161">
        <f ca="1">G6+I6+K6</f>
        <v>398.86449208711844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112.76796205830877</v>
      </c>
      <c r="G16" s="175">
        <f t="shared" ca="1" si="3"/>
        <v>81.192932681982313</v>
      </c>
      <c r="H16" s="176">
        <f t="shared" si="3"/>
        <v>40.128499173800165</v>
      </c>
      <c r="I16" s="176">
        <f t="shared" si="3"/>
        <v>28.89251940513612</v>
      </c>
      <c r="J16" s="177">
        <f t="shared" si="3"/>
        <v>401.08199999999999</v>
      </c>
      <c r="K16" s="177">
        <f t="shared" si="3"/>
        <v>288.77904000000001</v>
      </c>
      <c r="L16" s="178">
        <f t="shared" ca="1" si="3"/>
        <v>398.86449208711844</v>
      </c>
      <c r="M16" s="25">
        <f ca="1">(L16/B6)</f>
        <v>241.73605581037484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Robusta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90" zoomScaleNormal="90" workbookViewId="0">
      <selection activeCell="I25" sqref="H20:I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Robusta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1.65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Robusta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236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2023-07-27T09:12:43Z</dcterms:modified>
</cp:coreProperties>
</file>