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ey.Rombaut\Desktop\"/>
    </mc:Choice>
  </mc:AlternateContent>
  <bookViews>
    <workbookView xWindow="0" yWindow="0" windowWidth="11748" windowHeight="5316" tabRatio="866" activeTab="5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7" i="1" l="1"/>
  <c r="B107" i="1"/>
  <c r="D106" i="1"/>
  <c r="B106" i="1"/>
  <c r="B105" i="1"/>
  <c r="B104" i="1"/>
  <c r="B103" i="1"/>
  <c r="B102" i="1"/>
  <c r="B101" i="1"/>
  <c r="D100" i="1"/>
  <c r="B100" i="1"/>
  <c r="B99" i="1"/>
  <c r="D98" i="1"/>
  <c r="B98" i="1"/>
  <c r="B97" i="1"/>
  <c r="D96" i="1"/>
  <c r="B96" i="1"/>
  <c r="B95" i="1"/>
  <c r="D94" i="1"/>
  <c r="B94" i="1"/>
  <c r="B93" i="1"/>
  <c r="D92" i="1"/>
  <c r="B92" i="1"/>
  <c r="B91" i="1"/>
  <c r="D90" i="1"/>
  <c r="B90" i="1"/>
  <c r="B89" i="1"/>
  <c r="B88" i="1"/>
  <c r="B62" i="1" l="1"/>
  <c r="B63" i="1"/>
  <c r="B64" i="1"/>
  <c r="B65" i="1"/>
  <c r="B66" i="1"/>
  <c r="B67" i="1"/>
  <c r="D67" i="1"/>
  <c r="B68" i="1"/>
  <c r="B69" i="1"/>
  <c r="B70" i="1"/>
  <c r="D70" i="1"/>
  <c r="B71" i="1"/>
  <c r="B72" i="1"/>
  <c r="B73" i="1"/>
  <c r="D73" i="1"/>
  <c r="B74" i="1"/>
  <c r="B75" i="1"/>
  <c r="D205" i="1" l="1"/>
  <c r="B205" i="1"/>
  <c r="D204" i="1"/>
  <c r="B204" i="1"/>
  <c r="D203" i="1"/>
  <c r="B203" i="1"/>
  <c r="B202" i="1"/>
  <c r="D201" i="1"/>
  <c r="B201" i="1"/>
  <c r="B200" i="1"/>
  <c r="D199" i="1"/>
  <c r="B199" i="1"/>
  <c r="B198" i="1"/>
  <c r="D197" i="1"/>
  <c r="B197" i="1"/>
  <c r="B196" i="1"/>
  <c r="D195" i="1"/>
  <c r="B195" i="1"/>
  <c r="B194" i="1"/>
  <c r="D193" i="1"/>
  <c r="B193" i="1"/>
  <c r="B192" i="1"/>
  <c r="D133" i="1"/>
  <c r="B133" i="1"/>
  <c r="D132" i="1"/>
  <c r="B132" i="1"/>
  <c r="D131" i="1"/>
  <c r="B131" i="1"/>
  <c r="D130" i="1"/>
  <c r="B130" i="1"/>
  <c r="B129" i="1"/>
  <c r="D128" i="1"/>
  <c r="B128" i="1"/>
  <c r="B127" i="1"/>
  <c r="D126" i="1"/>
  <c r="B126" i="1"/>
  <c r="B125" i="1"/>
  <c r="D124" i="1"/>
  <c r="B124" i="1"/>
  <c r="B123" i="1"/>
  <c r="D122" i="1"/>
  <c r="B122" i="1"/>
  <c r="B121" i="1"/>
  <c r="D120" i="1"/>
  <c r="B120" i="1"/>
  <c r="B119" i="1"/>
  <c r="D118" i="1"/>
  <c r="B118" i="1"/>
  <c r="B117" i="1"/>
  <c r="D116" i="1"/>
  <c r="B116" i="1"/>
  <c r="B115" i="1"/>
  <c r="B114" i="1"/>
  <c r="B173" i="1" l="1"/>
  <c r="D172" i="1"/>
  <c r="B172" i="1"/>
  <c r="B171" i="1"/>
  <c r="D170" i="1"/>
  <c r="B170" i="1"/>
  <c r="B169" i="1"/>
  <c r="D168" i="1"/>
  <c r="B168" i="1"/>
  <c r="B167" i="1"/>
  <c r="B147" i="1"/>
  <c r="D146" i="1"/>
  <c r="B146" i="1"/>
  <c r="B145" i="1"/>
  <c r="D144" i="1"/>
  <c r="B144" i="1"/>
  <c r="B143" i="1"/>
  <c r="D142" i="1"/>
  <c r="B142" i="1"/>
  <c r="B141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W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R74" i="2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HI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B105" i="2"/>
  <c r="EA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FQ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X113" i="2"/>
  <c r="HI113" i="2"/>
  <c r="FS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FR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I154" i="2" s="1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I156" i="2" l="1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C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C160" i="2"/>
  <c r="H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ED160" i="2"/>
  <c r="EX161" i="2"/>
  <c r="EB161" i="2"/>
  <c r="EA161" i="2"/>
  <c r="ED161" i="2" s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C162" i="2"/>
  <c r="EB162" i="2"/>
  <c r="EW162" i="2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FR164" i="2"/>
  <c r="FS164" i="2"/>
  <c r="EX164" i="2"/>
  <c r="EV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HH167" i="2"/>
  <c r="FR167" i="2"/>
  <c r="EX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A172" i="2"/>
  <c r="ED171" i="2"/>
  <c r="EV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HI175" i="2"/>
  <c r="FS175" i="2"/>
  <c r="EW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HG178" i="2"/>
  <c r="FQ178" i="2"/>
  <c r="FS178" i="2"/>
  <c r="EA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HI179" i="2"/>
  <c r="EV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FS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H185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ED185" i="2"/>
  <c r="FR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HJ189" i="2" s="1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V192" i="2"/>
  <c r="EB192" i="2"/>
  <c r="EC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B193" i="2"/>
  <c r="FQ193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FQ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FQ195" i="2" l="1"/>
  <c r="EY194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B199" i="2"/>
  <c r="HG199" i="2"/>
  <c r="FS199" i="2"/>
  <c r="EA199" i="2"/>
  <c r="HI199" i="2"/>
  <c r="HJ199" i="2" s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90" i="2" a="1"/>
  <c r="FY90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BC117" i="2" a="1"/>
  <c r="BC117" i="2" s="1"/>
  <c r="BC130" i="2" a="1"/>
  <c r="BC130" i="2" s="1"/>
  <c r="BC58" i="2" a="1"/>
  <c r="BC58" i="2" s="1"/>
  <c r="BC38" i="2" a="1"/>
  <c r="BC38" i="2" s="1"/>
  <c r="BC185" i="2" a="1"/>
  <c r="BC185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BC32" i="2" a="1"/>
  <c r="BC32" i="2" s="1"/>
  <c r="BC126" i="2" a="1"/>
  <c r="BC126" i="2" s="1"/>
  <c r="BC83" i="2" a="1"/>
  <c r="BC83" i="2" s="1"/>
  <c r="BC164" i="2" a="1"/>
  <c r="BC164" i="2" s="1"/>
  <c r="BC82" i="2" a="1"/>
  <c r="BC82" i="2" s="1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106" i="2" l="1"/>
  <c r="CD179" i="2"/>
  <c r="CD31" i="2"/>
  <c r="CD30" i="2"/>
  <c r="CD45" i="2"/>
  <c r="CD88" i="2"/>
  <c r="CD73" i="2"/>
  <c r="CD187" i="2"/>
  <c r="CD26" i="2"/>
  <c r="CD66" i="2"/>
  <c r="CD13" i="2"/>
  <c r="CD162" i="2"/>
  <c r="CD103" i="2"/>
  <c r="CD129" i="2"/>
  <c r="CD151" i="2"/>
  <c r="CD29" i="2"/>
  <c r="CD121" i="2"/>
  <c r="CD195" i="2"/>
  <c r="CD105" i="2"/>
  <c r="CD172" i="2"/>
  <c r="CD58" i="2"/>
  <c r="CD113" i="2"/>
  <c r="CD135" i="2"/>
  <c r="CD91" i="2"/>
  <c r="CD148" i="2"/>
  <c r="CD110" i="2"/>
  <c r="CD116" i="2"/>
  <c r="CD79" i="2"/>
  <c r="CD107" i="2"/>
  <c r="CD198" i="2"/>
  <c r="CD64" i="2"/>
  <c r="CD16" i="2"/>
  <c r="CD70" i="2"/>
  <c r="CD35" i="2"/>
  <c r="CD43" i="2"/>
  <c r="CD140" i="2"/>
  <c r="CD54" i="2"/>
  <c r="CD132" i="2"/>
  <c r="CD49" i="2"/>
  <c r="CD158" i="2"/>
  <c r="CD194" i="2"/>
  <c r="CD85" i="2"/>
  <c r="CD78" i="2"/>
  <c r="CD142" i="2"/>
  <c r="CD192" i="2"/>
  <c r="CD197" i="2"/>
  <c r="CD124" i="2"/>
  <c r="CD96" i="2"/>
  <c r="CD163" i="2"/>
  <c r="CD177" i="2"/>
  <c r="CD93" i="2"/>
  <c r="CD178" i="2"/>
  <c r="CD126" i="2"/>
  <c r="CD109" i="2"/>
  <c r="CD122" i="2"/>
  <c r="CD22" i="2"/>
  <c r="CD119" i="2"/>
  <c r="CD82" i="2"/>
  <c r="CD199" i="2"/>
  <c r="CD83" i="2"/>
  <c r="CD84" i="2"/>
  <c r="CD108" i="2"/>
  <c r="CD100" i="2"/>
  <c r="CD37" i="2"/>
  <c r="CD170" i="2"/>
  <c r="CD130" i="2"/>
  <c r="CD147" i="2"/>
  <c r="CD39" i="2"/>
  <c r="CD65" i="2"/>
  <c r="CD6" i="2"/>
  <c r="CD154" i="2"/>
  <c r="CD131" i="2"/>
  <c r="CD136" i="2"/>
  <c r="CD123" i="2"/>
  <c r="CD203" i="2"/>
  <c r="CD81" i="2"/>
  <c r="CD168" i="2"/>
  <c r="CD63" i="2"/>
  <c r="CD38" i="2"/>
  <c r="CD164" i="2"/>
  <c r="CD196" i="2"/>
  <c r="CD72" i="2"/>
  <c r="CD69" i="2"/>
  <c r="CD125" i="2"/>
  <c r="CD32" i="2"/>
  <c r="CD128" i="2"/>
  <c r="CD145" i="2"/>
  <c r="CD183" i="2"/>
  <c r="CD173" i="2"/>
  <c r="CD60" i="2"/>
  <c r="CD160" i="2"/>
  <c r="CD59" i="2"/>
  <c r="CD118" i="2"/>
  <c r="CD120" i="2"/>
  <c r="CD28" i="2"/>
  <c r="CD53" i="2"/>
  <c r="CD102" i="2"/>
  <c r="CD184" i="2"/>
  <c r="CD180" i="2"/>
  <c r="CD137" i="2"/>
  <c r="CD47" i="2"/>
  <c r="CD4" i="2"/>
  <c r="CD90" i="2"/>
  <c r="CD19" i="2"/>
  <c r="CD8" i="2"/>
  <c r="CD161" i="2"/>
  <c r="CD99" i="2"/>
  <c r="CD181" i="2"/>
  <c r="CD25" i="2"/>
  <c r="CD185" i="2"/>
  <c r="CD77" i="2"/>
  <c r="CD134" i="2"/>
  <c r="CD166" i="2"/>
  <c r="CD40" i="2"/>
  <c r="CD71" i="2"/>
  <c r="CD153" i="2"/>
  <c r="CD114" i="2"/>
  <c r="CD3" i="2"/>
  <c r="C9" i="4" s="1"/>
  <c r="E9" i="4" s="1"/>
  <c r="F9" i="4" s="1"/>
  <c r="G9" i="4" s="1"/>
  <c r="L9" i="4" s="1"/>
  <c r="CD155" i="2"/>
  <c r="CD186" i="2"/>
  <c r="CD150" i="2"/>
  <c r="CD76" i="2"/>
  <c r="CD157" i="2"/>
  <c r="CD202" i="2"/>
  <c r="CD149" i="2"/>
  <c r="CD87" i="2"/>
  <c r="CD23" i="2"/>
  <c r="CD201" i="2"/>
  <c r="CD11" i="2"/>
  <c r="CD52" i="2"/>
  <c r="CD41" i="2"/>
  <c r="CD146" i="2"/>
  <c r="CD12" i="2"/>
  <c r="CD159" i="2"/>
  <c r="CD174" i="2"/>
  <c r="CD193" i="2"/>
  <c r="CD74" i="2"/>
  <c r="CD10" i="2"/>
  <c r="CD101" i="2"/>
  <c r="CD189" i="2"/>
  <c r="CD133" i="2"/>
  <c r="CD9" i="2"/>
  <c r="CD55" i="2"/>
  <c r="CD190" i="2"/>
  <c r="CD141" i="2"/>
  <c r="CD57" i="2"/>
  <c r="CD17" i="2"/>
  <c r="CD104" i="2"/>
  <c r="CD156" i="2"/>
  <c r="CD152" i="2"/>
  <c r="CD171" i="2"/>
  <c r="CD89" i="2"/>
  <c r="CD191" i="2"/>
  <c r="CD62" i="2"/>
  <c r="CD51" i="2"/>
  <c r="CD36" i="2"/>
  <c r="CD175" i="2"/>
  <c r="CD94" i="2"/>
  <c r="CD75" i="2"/>
  <c r="CD46" i="2"/>
  <c r="CD188" i="2"/>
  <c r="CD165" i="2"/>
  <c r="CD95" i="2"/>
  <c r="CD139" i="2"/>
  <c r="CD97" i="2"/>
  <c r="CD34" i="2"/>
  <c r="CD68" i="2"/>
  <c r="CD86" i="2"/>
  <c r="CD169" i="2"/>
  <c r="CD115" i="2"/>
  <c r="CD92" i="2"/>
  <c r="CD5" i="2"/>
  <c r="CD50" i="2"/>
  <c r="CD44" i="2"/>
  <c r="CD167" i="2"/>
  <c r="CD20" i="2"/>
  <c r="CD138" i="2"/>
  <c r="CD18" i="2"/>
  <c r="CD112" i="2"/>
  <c r="CD67" i="2"/>
  <c r="CD27" i="2"/>
  <c r="CD80" i="2"/>
  <c r="CD127" i="2"/>
  <c r="CD21" i="2"/>
  <c r="CD24" i="2"/>
  <c r="CD182" i="2"/>
  <c r="CD56" i="2"/>
  <c r="CD143" i="2"/>
  <c r="CD42" i="2"/>
  <c r="CD61" i="2"/>
  <c r="CD98" i="2"/>
  <c r="CD7" i="2"/>
  <c r="CD176" i="2"/>
  <c r="CD33" i="2"/>
  <c r="CD15" i="2"/>
  <c r="CD48" i="2"/>
  <c r="CD117" i="2"/>
  <c r="CD200" i="2"/>
  <c r="CD144" i="2"/>
  <c r="CD14" i="2"/>
  <c r="CD111" i="2"/>
  <c r="DT134" i="2"/>
  <c r="DT186" i="2"/>
  <c r="DT165" i="2"/>
  <c r="DT146" i="2"/>
  <c r="DT140" i="2"/>
  <c r="DT76" i="2"/>
  <c r="DT117" i="2"/>
  <c r="DT124" i="2"/>
  <c r="DT69" i="2"/>
  <c r="DT56" i="2"/>
  <c r="DT151" i="2"/>
  <c r="DT158" i="2"/>
  <c r="DT64" i="2"/>
  <c r="DT32" i="2"/>
  <c r="DT27" i="2"/>
  <c r="DT22" i="2"/>
  <c r="DT173" i="2"/>
  <c r="DT171" i="2"/>
  <c r="DT142" i="2"/>
  <c r="DT104" i="2"/>
  <c r="DT195" i="2"/>
  <c r="DT59" i="2"/>
  <c r="DT167" i="2"/>
  <c r="DT29" i="2"/>
  <c r="DT57" i="2"/>
  <c r="DT122" i="2"/>
  <c r="DT36" i="2"/>
  <c r="DT68" i="2"/>
  <c r="DT182" i="2"/>
  <c r="DT159" i="2"/>
  <c r="DT23" i="2"/>
  <c r="DT15" i="2"/>
  <c r="DT75" i="2"/>
  <c r="DT40" i="2"/>
  <c r="DT92" i="2"/>
  <c r="DT172" i="2"/>
  <c r="DT170" i="2"/>
  <c r="DT109" i="2"/>
  <c r="DT20" i="2"/>
  <c r="DT72" i="2"/>
  <c r="DT90" i="2"/>
  <c r="DT26" i="2"/>
  <c r="DT8" i="2"/>
  <c r="DT38" i="2"/>
  <c r="DT163" i="2"/>
  <c r="DT9" i="2"/>
  <c r="DT52" i="2"/>
  <c r="DT108" i="2"/>
  <c r="DT164" i="2"/>
  <c r="DT54" i="2"/>
  <c r="DT144" i="2"/>
  <c r="DT128" i="2"/>
  <c r="DT17" i="2"/>
  <c r="DT105" i="2"/>
  <c r="DT161" i="2"/>
  <c r="DT180" i="2"/>
  <c r="DT86" i="2"/>
  <c r="DT143" i="2"/>
  <c r="DT192" i="2"/>
  <c r="DT107" i="2"/>
  <c r="DT148" i="2"/>
  <c r="DT97" i="2"/>
  <c r="DT35" i="2"/>
  <c r="DT145" i="2"/>
  <c r="DT83" i="2"/>
  <c r="DT10" i="2"/>
  <c r="DT53" i="2"/>
  <c r="DT95" i="2"/>
  <c r="DT126" i="2"/>
  <c r="DT178" i="2"/>
  <c r="DT30" i="2"/>
  <c r="DT157" i="2"/>
  <c r="DT13" i="2"/>
  <c r="DT156" i="2"/>
  <c r="DT88" i="2"/>
  <c r="DT184" i="2"/>
  <c r="DT47" i="2"/>
  <c r="DT48" i="2"/>
  <c r="DT42" i="2"/>
  <c r="DT85" i="2"/>
  <c r="DT70" i="2"/>
  <c r="DT190" i="2"/>
  <c r="DT101" i="2"/>
  <c r="DT37" i="2"/>
  <c r="DT55" i="2"/>
  <c r="DT80" i="2"/>
  <c r="DT141" i="2"/>
  <c r="DT60" i="2"/>
  <c r="DT96" i="2"/>
  <c r="DT79" i="2"/>
  <c r="DT194" i="2"/>
  <c r="DT188" i="2"/>
  <c r="DT93" i="2"/>
  <c r="DT181" i="2"/>
  <c r="DT138" i="2"/>
  <c r="DT43" i="2"/>
  <c r="DT191" i="2"/>
  <c r="DT197" i="2"/>
  <c r="DT155" i="2"/>
  <c r="DT152" i="2"/>
  <c r="DT200" i="2"/>
  <c r="DT201" i="2"/>
  <c r="DT46" i="2"/>
  <c r="DT39" i="2"/>
  <c r="DT84" i="2"/>
  <c r="DT193" i="2"/>
  <c r="DT3" i="2"/>
  <c r="C11" i="4" s="1"/>
  <c r="E11" i="4" s="1"/>
  <c r="F11" i="4" s="1"/>
  <c r="G11" i="4" s="1"/>
  <c r="L11" i="4" s="1"/>
  <c r="DT77" i="2"/>
  <c r="DT24" i="2"/>
  <c r="DT21" i="2"/>
  <c r="DT196" i="2"/>
  <c r="DT111" i="2"/>
  <c r="DT136" i="2"/>
  <c r="DT110" i="2"/>
  <c r="DT82" i="2"/>
  <c r="DT119" i="2"/>
  <c r="DT78" i="2"/>
  <c r="DT6" i="2"/>
  <c r="DT18" i="2"/>
  <c r="DT176" i="2"/>
  <c r="DT73" i="2"/>
  <c r="DT11" i="2"/>
  <c r="DT116" i="2"/>
  <c r="DT19" i="2"/>
  <c r="DT169" i="2"/>
  <c r="DT185" i="2"/>
  <c r="DT166" i="2"/>
  <c r="DT49" i="2"/>
  <c r="DT14" i="2"/>
  <c r="DT12" i="2"/>
  <c r="DT98" i="2"/>
  <c r="DT129" i="2"/>
  <c r="DT7" i="2"/>
  <c r="DT62" i="2"/>
  <c r="DT189" i="2"/>
  <c r="DT115" i="2"/>
  <c r="DT183" i="2"/>
  <c r="DT100" i="2"/>
  <c r="DT58" i="2"/>
  <c r="DT63" i="2"/>
  <c r="DT103" i="2"/>
  <c r="DT139" i="2"/>
  <c r="DT198" i="2"/>
  <c r="DT25" i="2"/>
  <c r="DT28" i="2"/>
  <c r="DT137" i="2"/>
  <c r="DT147" i="2"/>
  <c r="DT135" i="2"/>
  <c r="DT114" i="2"/>
  <c r="DT87" i="2"/>
  <c r="DT203" i="2"/>
  <c r="DT61" i="2"/>
  <c r="DT112" i="2"/>
  <c r="DT202" i="2"/>
  <c r="DT102" i="2"/>
  <c r="DT71" i="2"/>
  <c r="DT33" i="2"/>
  <c r="DT131" i="2"/>
  <c r="DT50" i="2"/>
  <c r="DT16" i="2"/>
  <c r="DT45" i="2"/>
  <c r="DT91" i="2"/>
  <c r="DT94" i="2"/>
  <c r="DT4" i="2"/>
  <c r="DT81" i="2"/>
  <c r="DT106" i="2"/>
  <c r="DT150" i="2"/>
  <c r="DT179" i="2"/>
  <c r="DT41" i="2"/>
  <c r="DT5" i="2"/>
  <c r="DT121" i="2"/>
  <c r="DT120" i="2"/>
  <c r="DT31" i="2"/>
  <c r="DT113" i="2"/>
  <c r="DT44" i="2"/>
  <c r="DT133" i="2"/>
  <c r="DT89" i="2"/>
  <c r="DT149" i="2"/>
  <c r="DT67" i="2"/>
  <c r="DT99" i="2"/>
  <c r="DT175" i="2"/>
  <c r="DT154" i="2"/>
  <c r="DT168" i="2"/>
  <c r="DT162" i="2"/>
  <c r="DT187" i="2"/>
  <c r="DT34" i="2"/>
  <c r="DT160" i="2"/>
  <c r="DT74" i="2"/>
  <c r="DT199" i="2"/>
  <c r="DT65" i="2"/>
  <c r="DT66" i="2"/>
  <c r="DT177" i="2"/>
  <c r="DT174" i="2"/>
  <c r="DT127" i="2"/>
  <c r="DT125" i="2"/>
  <c r="DT132" i="2"/>
  <c r="DT123" i="2"/>
  <c r="DT118" i="2"/>
  <c r="DT51" i="2"/>
  <c r="DT153" i="2"/>
  <c r="DT130" i="2"/>
  <c r="CY24" i="2"/>
  <c r="CY16" i="2"/>
  <c r="CY165" i="2"/>
  <c r="CY168" i="2"/>
  <c r="CY65" i="2"/>
  <c r="CY164" i="2"/>
  <c r="CY104" i="2"/>
  <c r="CY112" i="2"/>
  <c r="CY101" i="2"/>
  <c r="CY50" i="2"/>
  <c r="CY152" i="2"/>
  <c r="CY177" i="2"/>
  <c r="CY27" i="2"/>
  <c r="CY186" i="2"/>
  <c r="CY144" i="2"/>
  <c r="CY175" i="2"/>
  <c r="CY163" i="2"/>
  <c r="CY166" i="2"/>
  <c r="CY167" i="2"/>
  <c r="CY185" i="2"/>
  <c r="CY33" i="2"/>
  <c r="CY88" i="2"/>
  <c r="CY99" i="2"/>
  <c r="CY26" i="2"/>
  <c r="CY21" i="2"/>
  <c r="CY124" i="2"/>
  <c r="CY105" i="2"/>
  <c r="CY176" i="2"/>
  <c r="CY71" i="2"/>
  <c r="CY133" i="2"/>
  <c r="CY3" i="2"/>
  <c r="C10" i="4" s="1"/>
  <c r="E10" i="4" s="1"/>
  <c r="F10" i="4" s="1"/>
  <c r="G10" i="4" s="1"/>
  <c r="L10" i="4" s="1"/>
  <c r="CY179" i="2"/>
  <c r="CY91" i="2"/>
  <c r="CY53" i="2"/>
  <c r="CY83" i="2"/>
  <c r="CY178" i="2"/>
  <c r="CY146" i="2"/>
  <c r="CY58" i="2"/>
  <c r="CY102" i="2"/>
  <c r="CY32" i="2"/>
  <c r="CY197" i="2"/>
  <c r="CY150" i="2"/>
  <c r="CY93" i="2"/>
  <c r="CY79" i="2"/>
  <c r="CY129" i="2"/>
  <c r="CY57" i="2"/>
  <c r="CY94" i="2"/>
  <c r="CY113" i="2"/>
  <c r="CY200" i="2"/>
  <c r="CY153" i="2"/>
  <c r="CY107" i="2"/>
  <c r="CY73" i="2"/>
  <c r="CY40" i="2"/>
  <c r="CY48" i="2"/>
  <c r="CY10" i="2"/>
  <c r="CY47" i="2"/>
  <c r="CY121" i="2"/>
  <c r="CY115" i="2"/>
  <c r="CY78" i="2"/>
  <c r="CY137" i="2"/>
  <c r="CY182" i="2"/>
  <c r="CY7" i="2"/>
  <c r="CY201" i="2"/>
  <c r="CY108" i="2"/>
  <c r="CY35" i="2"/>
  <c r="CY13" i="2"/>
  <c r="CY92" i="2"/>
  <c r="CY154" i="2"/>
  <c r="CY6" i="2"/>
  <c r="CY160" i="2"/>
  <c r="CY56" i="2"/>
  <c r="CY151" i="2"/>
  <c r="CY190" i="2"/>
  <c r="CY19" i="2"/>
  <c r="CY194" i="2"/>
  <c r="CY140" i="2"/>
  <c r="CY132" i="2"/>
  <c r="CY67" i="2"/>
  <c r="CY15" i="2"/>
  <c r="CY195" i="2"/>
  <c r="CY172" i="2"/>
  <c r="CY9" i="2"/>
  <c r="CY46" i="2"/>
  <c r="CY147" i="2"/>
  <c r="CY180" i="2"/>
  <c r="CY60" i="2"/>
  <c r="CY84" i="2"/>
  <c r="CY82" i="2"/>
  <c r="CY20" i="2"/>
  <c r="CY37" i="2"/>
  <c r="CY158" i="2"/>
  <c r="CY49" i="2"/>
  <c r="CY198" i="2"/>
  <c r="CY196" i="2"/>
  <c r="CY157" i="2"/>
  <c r="CY138" i="2"/>
  <c r="CY75" i="2"/>
  <c r="CY98" i="2"/>
  <c r="CY126" i="2"/>
  <c r="CY81" i="2"/>
  <c r="CY69" i="2"/>
  <c r="CY11" i="2"/>
  <c r="CY173" i="2"/>
  <c r="CY66" i="2"/>
  <c r="CY193" i="2"/>
  <c r="CY109" i="2"/>
  <c r="CY70" i="2"/>
  <c r="CY128" i="2"/>
  <c r="CY117" i="2"/>
  <c r="CY100" i="2"/>
  <c r="CY174" i="2"/>
  <c r="CY63" i="2"/>
  <c r="CY45" i="2"/>
  <c r="CY64" i="2"/>
  <c r="CY68" i="2"/>
  <c r="CY199" i="2"/>
  <c r="CY149" i="2"/>
  <c r="CY76" i="2"/>
  <c r="CY118" i="2"/>
  <c r="CY183" i="2"/>
  <c r="CY127" i="2"/>
  <c r="CY51" i="2"/>
  <c r="CY139" i="2"/>
  <c r="CY41" i="2"/>
  <c r="CY22" i="2"/>
  <c r="CY169" i="2"/>
  <c r="CY142" i="2"/>
  <c r="CY97" i="2"/>
  <c r="CY77" i="2"/>
  <c r="CY85" i="2"/>
  <c r="CY72" i="2"/>
  <c r="CY54" i="2"/>
  <c r="CY203" i="2"/>
  <c r="CY187" i="2"/>
  <c r="CY39" i="2"/>
  <c r="CY111" i="2"/>
  <c r="CY38" i="2"/>
  <c r="CY17" i="2"/>
  <c r="CY145" i="2"/>
  <c r="CY34" i="2"/>
  <c r="CY155" i="2"/>
  <c r="CY135" i="2"/>
  <c r="CY106" i="2"/>
  <c r="CY61" i="2"/>
  <c r="CY86" i="2"/>
  <c r="CY156" i="2"/>
  <c r="CY31" i="2"/>
  <c r="CY202" i="2"/>
  <c r="CY130" i="2"/>
  <c r="CY44" i="2"/>
  <c r="CY14" i="2"/>
  <c r="CY36" i="2"/>
  <c r="CY131" i="2"/>
  <c r="CY18" i="2"/>
  <c r="CY55" i="2"/>
  <c r="CY120" i="2"/>
  <c r="CY119" i="2"/>
  <c r="CY134" i="2"/>
  <c r="CY42" i="2"/>
  <c r="CY141" i="2"/>
  <c r="CY52" i="2"/>
  <c r="CY23" i="2"/>
  <c r="CY110" i="2"/>
  <c r="CY116" i="2"/>
  <c r="CY114" i="2"/>
  <c r="CY8" i="2"/>
  <c r="CY171" i="2"/>
  <c r="CY43" i="2"/>
  <c r="CY161" i="2"/>
  <c r="CY30" i="2"/>
  <c r="CY159" i="2"/>
  <c r="CY189" i="2"/>
  <c r="CY123" i="2"/>
  <c r="CY122" i="2"/>
  <c r="CY103" i="2"/>
  <c r="CY125" i="2"/>
  <c r="CY95" i="2"/>
  <c r="CY90" i="2"/>
  <c r="CY5" i="2"/>
  <c r="CY87" i="2"/>
  <c r="CY74" i="2"/>
  <c r="CY181" i="2"/>
  <c r="CY191" i="2"/>
  <c r="CY188" i="2"/>
  <c r="CY80" i="2"/>
  <c r="CY25" i="2"/>
  <c r="CY192" i="2"/>
  <c r="CY12" i="2"/>
  <c r="CY184" i="2"/>
  <c r="CY59" i="2"/>
  <c r="CY162" i="2"/>
  <c r="CY170" i="2"/>
  <c r="CY29" i="2"/>
  <c r="CY4" i="2"/>
  <c r="CY143" i="2"/>
  <c r="CY28" i="2"/>
  <c r="CY62" i="2"/>
  <c r="CY96" i="2"/>
  <c r="CY89" i="2"/>
  <c r="CY136" i="2"/>
  <c r="CY148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103" i="2"/>
  <c r="BI161" i="2"/>
  <c r="BI154" i="2"/>
  <c r="BI199" i="2"/>
  <c r="BI59" i="2"/>
  <c r="BI77" i="2"/>
  <c r="BI85" i="2"/>
  <c r="BI94" i="2"/>
  <c r="BI89" i="2"/>
  <c r="BI3" i="2"/>
  <c r="C8" i="4" s="1"/>
  <c r="E8" i="4" s="1"/>
  <c r="F8" i="4" s="1"/>
  <c r="G8" i="4" s="1"/>
  <c r="L8" i="4" s="1"/>
  <c r="BI170" i="2"/>
  <c r="BI189" i="2"/>
  <c r="BI43" i="2"/>
  <c r="BI165" i="2"/>
  <c r="BI44" i="2"/>
  <c r="BI115" i="2"/>
  <c r="BI168" i="2"/>
  <c r="BI93" i="2"/>
  <c r="BI79" i="2"/>
  <c r="BI42" i="2"/>
  <c r="BI19" i="2"/>
  <c r="BI164" i="2"/>
  <c r="BI113" i="2"/>
  <c r="BI13" i="2"/>
  <c r="BI116" i="2"/>
  <c r="BI8" i="2"/>
  <c r="BI18" i="2"/>
  <c r="BI102" i="2"/>
  <c r="BI6" i="2"/>
  <c r="BI66" i="2"/>
  <c r="BI92" i="2"/>
  <c r="BI194" i="2"/>
  <c r="BI82" i="2"/>
  <c r="BI114" i="2"/>
  <c r="BI122" i="2"/>
  <c r="BI151" i="2"/>
  <c r="BI197" i="2"/>
  <c r="BI95" i="2"/>
  <c r="BI126" i="2"/>
  <c r="BI120" i="2"/>
  <c r="BI185" i="2"/>
  <c r="BI99" i="2"/>
  <c r="BI143" i="2"/>
  <c r="BI35" i="2"/>
  <c r="BI11" i="2"/>
  <c r="BI138" i="2"/>
  <c r="BI112" i="2"/>
  <c r="BI53" i="2"/>
  <c r="BI51" i="2"/>
  <c r="BI109" i="2"/>
  <c r="BI39" i="2"/>
  <c r="BI87" i="2"/>
  <c r="BI182" i="2"/>
  <c r="BI132" i="2"/>
  <c r="BI134" i="2"/>
  <c r="BI127" i="2"/>
  <c r="BI178" i="2"/>
  <c r="BI65" i="2"/>
  <c r="BI24" i="2"/>
  <c r="BI97" i="2"/>
  <c r="BI16" i="2"/>
  <c r="BI26" i="2"/>
  <c r="BI142" i="2"/>
  <c r="BI27" i="2"/>
  <c r="BI20" i="2"/>
  <c r="BI5" i="2"/>
  <c r="BI180" i="2"/>
  <c r="BI56" i="2"/>
  <c r="BI54" i="2"/>
  <c r="BI181" i="2"/>
  <c r="BI28" i="2"/>
  <c r="BI131" i="2"/>
  <c r="BI21" i="2"/>
  <c r="BI172" i="2"/>
  <c r="BI101" i="2"/>
  <c r="BI7" i="2"/>
  <c r="BI147" i="2"/>
  <c r="BI73" i="2"/>
  <c r="BI183" i="2"/>
  <c r="BI195" i="2"/>
  <c r="BI156" i="2"/>
  <c r="BI34" i="2"/>
  <c r="BI90" i="2"/>
  <c r="BI60" i="2"/>
  <c r="BI107" i="2"/>
  <c r="BI166" i="2"/>
  <c r="BI155" i="2"/>
  <c r="BI130" i="2"/>
  <c r="BI162" i="2"/>
  <c r="BI179" i="2"/>
  <c r="BI67" i="2"/>
  <c r="BI139" i="2"/>
  <c r="BI163" i="2"/>
  <c r="BI36" i="2"/>
  <c r="BI70" i="2"/>
  <c r="BI184" i="2"/>
  <c r="BI125" i="2"/>
  <c r="BI84" i="2"/>
  <c r="BI118" i="2"/>
  <c r="BI159" i="2"/>
  <c r="BI37" i="2"/>
  <c r="BI160" i="2"/>
  <c r="BI69" i="2"/>
  <c r="BI175" i="2"/>
  <c r="BI174" i="2"/>
  <c r="BI192" i="2"/>
  <c r="BI146" i="2"/>
  <c r="BI186" i="2"/>
  <c r="BI78" i="2"/>
  <c r="BI124" i="2"/>
  <c r="BI50" i="2"/>
  <c r="BI201" i="2"/>
  <c r="BI25" i="2"/>
  <c r="BI187" i="2"/>
  <c r="BI64" i="2"/>
  <c r="BI30" i="2"/>
  <c r="BI119" i="2"/>
  <c r="BI62" i="2"/>
  <c r="BI171" i="2"/>
  <c r="BI41" i="2"/>
  <c r="BI123" i="2"/>
  <c r="BI190" i="2"/>
  <c r="BI38" i="2"/>
  <c r="BI202" i="2"/>
  <c r="BI198" i="2"/>
  <c r="BI96" i="2"/>
  <c r="BI140" i="2"/>
  <c r="BI33" i="2"/>
  <c r="BI108" i="2"/>
  <c r="BI22" i="2"/>
  <c r="BI137" i="2"/>
  <c r="BI157" i="2"/>
  <c r="BI4" i="2"/>
  <c r="BI88" i="2"/>
  <c r="BI148" i="2"/>
  <c r="BI150" i="2"/>
  <c r="BI91" i="2"/>
  <c r="BI100" i="2"/>
  <c r="BI153" i="2"/>
  <c r="BI158" i="2"/>
  <c r="BI12" i="2"/>
  <c r="BI48" i="2"/>
  <c r="BI61" i="2"/>
  <c r="BI141" i="2"/>
  <c r="BI55" i="2"/>
  <c r="BI80" i="2"/>
  <c r="BI152" i="2"/>
  <c r="BI129" i="2"/>
  <c r="BI104" i="2"/>
  <c r="BI31" i="2"/>
  <c r="BI72" i="2"/>
  <c r="BI169" i="2"/>
  <c r="BI14" i="2"/>
  <c r="BI81" i="2"/>
  <c r="BI17" i="2"/>
  <c r="BI68" i="2"/>
  <c r="BI105" i="2"/>
  <c r="BI135" i="2"/>
  <c r="BI117" i="2"/>
  <c r="BI188" i="2"/>
  <c r="BI144" i="2"/>
  <c r="BI133" i="2"/>
  <c r="BI177" i="2"/>
  <c r="BI57" i="2"/>
  <c r="BI86" i="2"/>
  <c r="BI29" i="2"/>
  <c r="BI74" i="2"/>
  <c r="BI121" i="2"/>
  <c r="BI49" i="2"/>
  <c r="BI58" i="2"/>
  <c r="BI75" i="2"/>
  <c r="BI149" i="2"/>
  <c r="BI32" i="2"/>
  <c r="BI40" i="2"/>
  <c r="BI76" i="2"/>
  <c r="BI71" i="2"/>
  <c r="BI45" i="2"/>
  <c r="BI23" i="2"/>
  <c r="BI191" i="2"/>
  <c r="BI9" i="2"/>
  <c r="BI83" i="2"/>
  <c r="BI203" i="2"/>
  <c r="BI106" i="2"/>
  <c r="BI196" i="2"/>
  <c r="BI200" i="2"/>
  <c r="BI46" i="2"/>
  <c r="BI176" i="2"/>
  <c r="BI98" i="2"/>
  <c r="BI128" i="2"/>
  <c r="BI111" i="2"/>
  <c r="BI15" i="2"/>
  <c r="BI63" i="2"/>
  <c r="BI52" i="2"/>
  <c r="BI173" i="2"/>
  <c r="BI193" i="2"/>
  <c r="BI167" i="2"/>
  <c r="BI10" i="2"/>
  <c r="BI110" i="2"/>
  <c r="BI145" i="2"/>
  <c r="BI136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<sst xmlns="http://schemas.openxmlformats.org/spreadsheetml/2006/main" count="1178" uniqueCount="324">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</sst>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03282032"/>
        <c:axId val="-1603284208"/>
      </c:scatterChart>
      <c:valAx>
        <c:axId val="-16032820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3284208"/>
        <c:crosses val="autoZero"/>
        <c:crossBetween val="midCat"/>
      </c:valAx>
      <c:valAx>
        <c:axId val="-160328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3282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839792"/>
        <c:axId val="-1400837616"/>
      </c:scatterChart>
      <c:valAx>
        <c:axId val="-1400839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37616"/>
        <c:crosses val="autoZero"/>
        <c:crossBetween val="midCat"/>
      </c:valAx>
      <c:valAx>
        <c:axId val="-140083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39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118.03208120289025</c:v>
                </c:pt>
                <c:pt idx="32">
                  <c:v>127.16454093707324</c:v>
                </c:pt>
                <c:pt idx="33">
                  <c:v>136.28111027557466</c:v>
                </c:pt>
                <c:pt idx="34">
                  <c:v>145.38300356865543</c:v>
                </c:pt>
                <c:pt idx="35">
                  <c:v>154.47127040505103</c:v>
                </c:pt>
                <c:pt idx="36">
                  <c:v>164.62257075242445</c:v>
                </c:pt>
                <c:pt idx="37">
                  <c:v>174.75908346315285</c:v>
                </c:pt>
                <c:pt idx="38">
                  <c:v>184.88178804027584</c:v>
                </c:pt>
                <c:pt idx="39">
                  <c:v>194.99154782254652</c:v>
                </c:pt>
                <c:pt idx="40">
                  <c:v>205.08912920241869</c:v>
                </c:pt>
                <c:pt idx="41">
                  <c:v>216.07167176294379</c:v>
                </c:pt>
                <c:pt idx="42">
                  <c:v>227.04137501930674</c:v>
                </c:pt>
                <c:pt idx="43">
                  <c:v>237.99894718169116</c:v>
                </c:pt>
                <c:pt idx="44">
                  <c:v>248.9450258663492</c:v>
                </c:pt>
                <c:pt idx="45">
                  <c:v>259.88018799430489</c:v>
                </c:pt>
                <c:pt idx="46">
                  <c:v>271.49118936448139</c:v>
                </c:pt>
                <c:pt idx="47">
                  <c:v>283.09102384512045</c:v>
                </c:pt>
                <c:pt idx="48">
                  <c:v>294.6802137025349</c:v>
                </c:pt>
                <c:pt idx="49">
                  <c:v>306.25923674841783</c:v>
                </c:pt>
                <c:pt idx="50">
                  <c:v>317.82853169749472</c:v>
                </c:pt>
                <c:pt idx="51">
                  <c:v>329.76706192494242</c:v>
                </c:pt>
                <c:pt idx="52">
                  <c:v>239.62065334927328</c:v>
                </c:pt>
                <c:pt idx="53">
                  <c:v>250.17992771178422</c:v>
                </c:pt>
                <c:pt idx="54">
                  <c:v>260.7290983972735</c:v>
                </c:pt>
                <c:pt idx="55">
                  <c:v>271.26863210148059</c:v>
                </c:pt>
                <c:pt idx="56">
                  <c:v>282.09814713694817</c:v>
                </c:pt>
                <c:pt idx="57">
                  <c:v>292.91834832034198</c:v>
                </c:pt>
                <c:pt idx="58">
                  <c:v>303.72962838128052</c:v>
                </c:pt>
                <c:pt idx="59">
                  <c:v>314.53234979242978</c:v>
                </c:pt>
                <c:pt idx="60">
                  <c:v>325.32684808209291</c:v>
                </c:pt>
                <c:pt idx="61">
                  <c:v>336.42619727682859</c:v>
                </c:pt>
                <c:pt idx="62">
                  <c:v>347.51748449303227</c:v>
                </c:pt>
                <c:pt idx="63">
                  <c:v>358.60100339709629</c:v>
                </c:pt>
                <c:pt idx="64">
                  <c:v>259.98848073094109</c:v>
                </c:pt>
                <c:pt idx="65">
                  <c:v>269.69206696282356</c:v>
                </c:pt>
                <c:pt idx="66">
                  <c:v>279.47428950232273</c:v>
                </c:pt>
                <c:pt idx="67">
                  <c:v>289.2488338563175</c:v>
                </c:pt>
                <c:pt idx="68">
                  <c:v>299.0159962581734</c:v>
                </c:pt>
                <c:pt idx="69">
                  <c:v>308.77605199491023</c:v>
                </c:pt>
                <c:pt idx="70">
                  <c:v>318.52925751795101</c:v>
                </c:pt>
                <c:pt idx="71">
                  <c:v>328.50977739215841</c:v>
                </c:pt>
                <c:pt idx="72">
                  <c:v>338.48360561351461</c:v>
                </c:pt>
                <c:pt idx="73">
                  <c:v>348.45096726512315</c:v>
                </c:pt>
                <c:pt idx="74">
                  <c:v>358.41207349541224</c:v>
                </c:pt>
                <c:pt idx="75">
                  <c:v>368.3671227524876</c:v>
                </c:pt>
                <c:pt idx="76">
                  <c:v>291.90308558346857</c:v>
                </c:pt>
                <c:pt idx="77">
                  <c:v>300.84490171136019</c:v>
                </c:pt>
                <c:pt idx="78">
                  <c:v>309.78080110442289</c:v>
                </c:pt>
                <c:pt idx="79">
                  <c:v>318.71097863597828</c:v>
                </c:pt>
                <c:pt idx="80">
                  <c:v>327.63561735902289</c:v>
                </c:pt>
                <c:pt idx="81">
                  <c:v>336.68255528127548</c:v>
                </c:pt>
                <c:pt idx="82">
                  <c:v>345.72414124031229</c:v>
                </c:pt>
                <c:pt idx="83">
                  <c:v>354.76053503205168</c:v>
                </c:pt>
                <c:pt idx="84">
                  <c:v>363.79188764232754</c:v>
                </c:pt>
                <c:pt idx="85">
                  <c:v>372.818341944037</c:v>
                </c:pt>
                <c:pt idx="86">
                  <c:v>381.89371986785494</c:v>
                </c:pt>
                <c:pt idx="87">
                  <c:v>390.96440874320461</c:v>
                </c:pt>
                <c:pt idx="88">
                  <c:v>316.25754932457295</c:v>
                </c:pt>
                <c:pt idx="89">
                  <c:v>324.40323912652161</c:v>
                </c:pt>
                <c:pt idx="90">
                  <c:v>332.5444091790477</c:v>
                </c:pt>
                <c:pt idx="91">
                  <c:v>340.57661946734987</c:v>
                </c:pt>
                <c:pt idx="92">
                  <c:v>348.60466388116532</c:v>
                </c:pt>
                <c:pt idx="93">
                  <c:v>356.62865196344347</c:v>
                </c:pt>
                <c:pt idx="94">
                  <c:v>364.64868792174479</c:v>
                </c:pt>
                <c:pt idx="95">
                  <c:v>372.66487100231348</c:v>
                </c:pt>
                <c:pt idx="96">
                  <c:v>380.913914562152</c:v>
                </c:pt>
                <c:pt idx="97">
                  <c:v>389.15907303237492</c:v>
                </c:pt>
                <c:pt idx="98">
                  <c:v>397.40044038751142</c:v>
                </c:pt>
                <c:pt idx="99">
                  <c:v>405.63810638397234</c:v>
                </c:pt>
                <c:pt idx="100">
                  <c:v>214.6733510235083</c:v>
                </c:pt>
                <c:pt idx="101">
                  <c:v>220.1489233728546</c:v>
                </c:pt>
                <c:pt idx="102">
                  <c:v>225.62136845497756</c:v>
                </c:pt>
                <c:pt idx="103">
                  <c:v>231.09077296125758</c:v>
                </c:pt>
                <c:pt idx="104">
                  <c:v>236.55721913724756</c:v>
                </c:pt>
                <c:pt idx="105">
                  <c:v>242.02078511048478</c:v>
                </c:pt>
                <c:pt idx="106">
                  <c:v>247.48154518711115</c:v>
                </c:pt>
                <c:pt idx="107">
                  <c:v>252.93957012090684</c:v>
                </c:pt>
                <c:pt idx="108">
                  <c:v>258.39492735785757</c:v>
                </c:pt>
                <c:pt idx="109">
                  <c:v>263.84768125895937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03787936"/>
        <c:axId val="-1383088464"/>
      </c:scatterChart>
      <c:valAx>
        <c:axId val="-1603787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83088464"/>
        <c:crosses val="autoZero"/>
        <c:crossBetween val="midCat"/>
      </c:valAx>
      <c:valAx>
        <c:axId val="-138308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03787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3.0014387364624144</c:v>
                </c:pt>
                <c:pt idx="2">
                  <c:v>3.7145412190420841</c:v>
                </c:pt>
                <c:pt idx="3">
                  <c:v>4.5977137759603162</c:v>
                </c:pt>
                <c:pt idx="4">
                  <c:v>5.6916621841286643</c:v>
                </c:pt>
                <c:pt idx="5">
                  <c:v>7.0468675392058993</c:v>
                </c:pt>
                <c:pt idx="6">
                  <c:v>8.7259410082412483</c:v>
                </c:pt>
                <c:pt idx="7">
                  <c:v>10.806547425059891</c:v>
                </c:pt>
                <c:pt idx="8">
                  <c:v>13.385035502274631</c:v>
                </c:pt>
                <c:pt idx="9">
                  <c:v>16.580945881648475</c:v>
                </c:pt>
                <c:pt idx="10">
                  <c:v>20.542609830027327</c:v>
                </c:pt>
                <c:pt idx="11">
                  <c:v>25.454103094879063</c:v>
                </c:pt>
                <c:pt idx="12">
                  <c:v>31.543883729671435</c:v>
                </c:pt>
                <c:pt idx="13">
                  <c:v>39.095522655805127</c:v>
                </c:pt>
                <c:pt idx="14">
                  <c:v>48.461035165831312</c:v>
                </c:pt>
                <c:pt idx="15">
                  <c:v>60.077445247401975</c:v>
                </c:pt>
                <c:pt idx="16">
                  <c:v>71.459832854892184</c:v>
                </c:pt>
                <c:pt idx="17">
                  <c:v>82.795684713351179</c:v>
                </c:pt>
                <c:pt idx="18">
                  <c:v>94.092290977081163</c:v>
                </c:pt>
                <c:pt idx="19">
                  <c:v>105.35503866631927</c:v>
                </c:pt>
                <c:pt idx="20">
                  <c:v>116.58806413803597</c:v>
                </c:pt>
                <c:pt idx="21">
                  <c:v>128.32767279839109</c:v>
                </c:pt>
                <c:pt idx="22">
                  <c:v>140.04128009371192</c:v>
                </c:pt>
                <c:pt idx="23">
                  <c:v>151.73136972113534</c:v>
                </c:pt>
                <c:pt idx="24">
                  <c:v>163.40001066454386</c:v>
                </c:pt>
                <c:pt idx="25">
                  <c:v>175.04895178283451</c:v>
                </c:pt>
                <c:pt idx="26">
                  <c:v>131.79109678331454</c:v>
                </c:pt>
                <c:pt idx="27">
                  <c:v>144.2948262011146</c:v>
                </c:pt>
                <c:pt idx="28">
                  <c:v>156.77262338649481</c:v>
                </c:pt>
                <c:pt idx="29">
                  <c:v>169.22684490502482</c:v>
                </c:pt>
                <c:pt idx="30">
                  <c:v>181.6594715736322</c:v>
                </c:pt>
                <c:pt idx="31">
                  <c:v>194.07219056368885</c:v>
                </c:pt>
                <c:pt idx="32">
                  <c:v>206.46645534524569</c:v>
                </c:pt>
                <c:pt idx="33">
                  <c:v>218.8435304524692</c:v>
                </c:pt>
                <c:pt idx="34">
                  <c:v>231.20452557301368</c:v>
                </c:pt>
                <c:pt idx="35">
                  <c:v>243.55042195408134</c:v>
                </c:pt>
                <c:pt idx="36">
                  <c:v>201.19447073367209</c:v>
                </c:pt>
                <c:pt idx="37">
                  <c:v>212.78873854639866</c:v>
                </c:pt>
                <c:pt idx="38">
                  <c:v>224.36845432498706</c:v>
                </c:pt>
                <c:pt idx="39">
                  <c:v>235.93447540790089</c:v>
                </c:pt>
                <c:pt idx="40">
                  <c:v>247.48756814320427</c:v>
                </c:pt>
                <c:pt idx="41">
                  <c:v>259.02842143420213</c:v>
                </c:pt>
                <c:pt idx="42">
                  <c:v>270.55765774209488</c:v>
                </c:pt>
                <c:pt idx="43">
                  <c:v>282.07584211332147</c:v>
                </c:pt>
                <c:pt idx="44">
                  <c:v>293.5834896540614</c:v>
                </c:pt>
                <c:pt idx="45">
                  <c:v>305.08107177066262</c:v>
                </c:pt>
                <c:pt idx="46">
                  <c:v>258.24192081308087</c:v>
                </c:pt>
                <c:pt idx="47">
                  <c:v>268.98615199406328</c:v>
                </c:pt>
                <c:pt idx="48">
                  <c:v>279.72072320950429</c:v>
                </c:pt>
                <c:pt idx="49">
                  <c:v>290.44605764381009</c:v>
                </c:pt>
                <c:pt idx="50">
                  <c:v>301.16254465599701</c:v>
                </c:pt>
                <c:pt idx="51">
                  <c:v>311.0873119229808</c:v>
                </c:pt>
                <c:pt idx="52">
                  <c:v>321.00505366693477</c:v>
                </c:pt>
                <c:pt idx="53">
                  <c:v>330.91601767951238</c:v>
                </c:pt>
                <c:pt idx="54">
                  <c:v>340.82043568930743</c:v>
                </c:pt>
                <c:pt idx="55">
                  <c:v>350.71852484978649</c:v>
                </c:pt>
                <c:pt idx="56">
                  <c:v>302.99133096886698</c:v>
                </c:pt>
                <c:pt idx="57">
                  <c:v>312.65373165757165</c:v>
                </c:pt>
                <c:pt idx="58">
                  <c:v>322.30950996229848</c:v>
                </c:pt>
                <c:pt idx="59">
                  <c:v>331.9588923743853</c:v>
                </c:pt>
                <c:pt idx="60">
                  <c:v>341.60209113493147</c:v>
                </c:pt>
                <c:pt idx="61">
                  <c:v>350.71852484978655</c:v>
                </c:pt>
                <c:pt idx="62">
                  <c:v>359.82976265837516</c:v>
                </c:pt>
                <c:pt idx="63">
                  <c:v>368.93595475683082</c:v>
                </c:pt>
                <c:pt idx="64">
                  <c:v>378.03724331757007</c:v>
                </c:pt>
                <c:pt idx="65">
                  <c:v>387.13376310498347</c:v>
                </c:pt>
                <c:pt idx="66">
                  <c:v>338.99641943004821</c:v>
                </c:pt>
                <c:pt idx="67">
                  <c:v>348.11436647695365</c:v>
                </c:pt>
                <c:pt idx="68">
                  <c:v>357.22707313668008</c:v>
                </c:pt>
                <c:pt idx="69">
                  <c:v>366.33469202042033</c:v>
                </c:pt>
                <c:pt idx="70">
                  <c:v>375.43736752739045</c:v>
                </c:pt>
                <c:pt idx="71">
                  <c:v>383.4957191090628</c:v>
                </c:pt>
                <c:pt idx="72">
                  <c:v>391.55039055498497</c:v>
                </c:pt>
                <c:pt idx="73">
                  <c:v>399.60146829628525</c:v>
                </c:pt>
                <c:pt idx="74">
                  <c:v>407.64903499495517</c:v>
                </c:pt>
                <c:pt idx="75">
                  <c:v>415.69316978100886</c:v>
                </c:pt>
                <c:pt idx="76">
                  <c:v>369.19605896391857</c:v>
                </c:pt>
                <c:pt idx="77">
                  <c:v>377.25732159062267</c:v>
                </c:pt>
                <c:pt idx="78">
                  <c:v>385.31483441513461</c:v>
                </c:pt>
                <c:pt idx="79">
                  <c:v>393.36868696306874</c:v>
                </c:pt>
                <c:pt idx="80">
                  <c:v>401.4189647926537</c:v>
                </c:pt>
                <c:pt idx="81">
                  <c:v>408.94670619291861</c:v>
                </c:pt>
                <c:pt idx="82">
                  <c:v>416.47145514591904</c:v>
                </c:pt>
                <c:pt idx="83">
                  <c:v>423.99327337945806</c:v>
                </c:pt>
                <c:pt idx="84">
                  <c:v>431.51222025114242</c:v>
                </c:pt>
                <c:pt idx="85">
                  <c:v>439.02835288001387</c:v>
                </c:pt>
                <c:pt idx="86">
                  <c:v>394.66735847110516</c:v>
                </c:pt>
                <c:pt idx="87">
                  <c:v>402.19783729377247</c:v>
                </c:pt>
                <c:pt idx="88">
                  <c:v>409.72526619555168</c:v>
                </c:pt>
                <c:pt idx="89">
                  <c:v>417.24970914969072</c:v>
                </c:pt>
                <c:pt idx="90">
                  <c:v>424.77122763239805</c:v>
                </c:pt>
                <c:pt idx="91">
                  <c:v>431.77144376505402</c:v>
                </c:pt>
                <c:pt idx="92">
                  <c:v>438.76922213542207</c:v>
                </c:pt>
                <c:pt idx="93">
                  <c:v>445.76460713152147</c:v>
                </c:pt>
                <c:pt idx="94">
                  <c:v>452.75764163369013</c:v>
                </c:pt>
                <c:pt idx="95">
                  <c:v>459.74836708880383</c:v>
                </c:pt>
                <c:pt idx="96">
                  <c:v>418.28733248623251</c:v>
                </c:pt>
                <c:pt idx="97">
                  <c:v>424.77122763239805</c:v>
                </c:pt>
                <c:pt idx="98">
                  <c:v>431.25299339113445</c:v>
                </c:pt>
                <c:pt idx="99">
                  <c:v>437.73266630566582</c:v>
                </c:pt>
                <c:pt idx="100">
                  <c:v>444.21028174829524</c:v>
                </c:pt>
                <c:pt idx="101">
                  <c:v>450.55638174143263</c:v>
                </c:pt>
                <c:pt idx="102">
                  <c:v>456.90056988936232</c:v>
                </c:pt>
                <c:pt idx="103">
                  <c:v>463.24287650108772</c:v>
                </c:pt>
                <c:pt idx="104">
                  <c:v>469.58333098744248</c:v>
                </c:pt>
                <c:pt idx="105">
                  <c:v>475.92196189974402</c:v>
                </c:pt>
                <c:pt idx="106">
                  <c:v>482.25879696627709</c:v>
                </c:pt>
                <c:pt idx="107">
                  <c:v>488.59386312676185</c:v>
                </c:pt>
                <c:pt idx="108">
                  <c:v>494.92718656493781</c:v>
                </c:pt>
                <c:pt idx="109">
                  <c:v>501.2587927393958</c:v>
                </c:pt>
                <c:pt idx="110">
                  <c:v>507.58870641276621</c:v>
                </c:pt>
                <c:pt idx="111">
                  <c:v>446.02365006516703</c:v>
                </c:pt>
                <c:pt idx="112">
                  <c:v>451.72178320878896</c:v>
                </c:pt>
                <c:pt idx="113">
                  <c:v>457.41837932963085</c:v>
                </c:pt>
                <c:pt idx="114">
                  <c:v>463.11346028434014</c:v>
                </c:pt>
                <c:pt idx="115">
                  <c:v>468.80704734775713</c:v>
                </c:pt>
                <c:pt idx="116">
                  <c:v>474.49916123543841</c:v>
                </c:pt>
                <c:pt idx="117">
                  <c:v>480.18982212504085</c:v>
                </c:pt>
                <c:pt idx="118">
                  <c:v>485.87904967663923</c:v>
                </c:pt>
                <c:pt idx="119">
                  <c:v>491.56686305204283</c:v>
                </c:pt>
                <c:pt idx="120">
                  <c:v>497.25328093316995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841424"/>
        <c:axId val="-1400839248"/>
      </c:scatterChart>
      <c:valAx>
        <c:axId val="-14008414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39248"/>
        <c:crosses val="autoZero"/>
        <c:crossBetween val="midCat"/>
      </c:valAx>
      <c:valAx>
        <c:axId val="-140083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41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3.3043568983948219</c:v>
                </c:pt>
                <c:pt idx="2">
                  <c:v>4.1131513120146055</c:v>
                </c:pt>
                <c:pt idx="3">
                  <c:v>5.1206664109263427</c:v>
                </c:pt>
                <c:pt idx="4">
                  <c:v>6.375902542534404</c:v>
                </c:pt>
                <c:pt idx="5">
                  <c:v>7.9399827670654304</c:v>
                </c:pt>
                <c:pt idx="6">
                  <c:v>9.8891612665776254</c:v>
                </c:pt>
                <c:pt idx="7">
                  <c:v>12.318580445108942</c:v>
                </c:pt>
                <c:pt idx="8">
                  <c:v>15.346963526425172</c:v>
                </c:pt>
                <c:pt idx="9">
                  <c:v>19.122476175830567</c:v>
                </c:pt>
                <c:pt idx="10">
                  <c:v>23.830049102016243</c:v>
                </c:pt>
                <c:pt idx="11">
                  <c:v>29.700526674358532</c:v>
                </c:pt>
                <c:pt idx="12">
                  <c:v>37.022098000505643</c:v>
                </c:pt>
                <c:pt idx="13">
                  <c:v>46.154581254564704</c:v>
                </c:pt>
                <c:pt idx="14">
                  <c:v>57.547275093132022</c:v>
                </c:pt>
                <c:pt idx="15">
                  <c:v>71.761269961795847</c:v>
                </c:pt>
                <c:pt idx="16">
                  <c:v>85.095907314816401</c:v>
                </c:pt>
                <c:pt idx="17">
                  <c:v>98.377811836935564</c:v>
                </c:pt>
                <c:pt idx="18">
                  <c:v>111.61512570313762</c:v>
                </c:pt>
                <c:pt idx="19">
                  <c:v>124.81389250757191</c:v>
                </c:pt>
                <c:pt idx="20">
                  <c:v>137.97876857105169</c:v>
                </c:pt>
                <c:pt idx="21">
                  <c:v>152.8626230482474</c:v>
                </c:pt>
                <c:pt idx="22">
                  <c:v>167.71198305973977</c:v>
                </c:pt>
                <c:pt idx="23">
                  <c:v>182.53033488053475</c:v>
                </c:pt>
                <c:pt idx="24">
                  <c:v>197.32055161106871</c:v>
                </c:pt>
                <c:pt idx="25">
                  <c:v>212.08503993201154</c:v>
                </c:pt>
                <c:pt idx="26">
                  <c:v>185.43251337813976</c:v>
                </c:pt>
                <c:pt idx="27">
                  <c:v>200.79678251340351</c:v>
                </c:pt>
                <c:pt idx="28">
                  <c:v>216.13381450662925</c:v>
                </c:pt>
                <c:pt idx="29">
                  <c:v>231.4458147571938</c:v>
                </c:pt>
                <c:pt idx="30">
                  <c:v>246.73467280489569</c:v>
                </c:pt>
                <c:pt idx="31">
                  <c:v>262.0020247597638</c:v>
                </c:pt>
                <c:pt idx="32">
                  <c:v>277.24930039663974</c:v>
                </c:pt>
                <c:pt idx="33">
                  <c:v>292.47775933510462</c:v>
                </c:pt>
                <c:pt idx="34">
                  <c:v>307.68851928258727</c:v>
                </c:pt>
                <c:pt idx="35">
                  <c:v>322.88257839605899</c:v>
                </c:pt>
                <c:pt idx="36">
                  <c:v>291.61625358144909</c:v>
                </c:pt>
                <c:pt idx="37">
                  <c:v>306.25427013592997</c:v>
                </c:pt>
                <c:pt idx="38">
                  <c:v>320.8767401618216</c:v>
                </c:pt>
                <c:pt idx="39">
                  <c:v>335.48447191107618</c:v>
                </c:pt>
                <c:pt idx="40">
                  <c:v>350.07819749697501</c:v>
                </c:pt>
                <c:pt idx="41">
                  <c:v>364.08704683441897</c:v>
                </c:pt>
                <c:pt idx="42">
                  <c:v>378.08412274155666</c:v>
                </c:pt>
                <c:pt idx="43">
                  <c:v>392.06992246811427</c:v>
                </c:pt>
                <c:pt idx="44">
                  <c:v>406.04490489416935</c:v>
                </c:pt>
                <c:pt idx="45">
                  <c:v>420.00949473730435</c:v>
                </c:pt>
                <c:pt idx="46">
                  <c:v>380.65377439846361</c:v>
                </c:pt>
                <c:pt idx="47">
                  <c:v>394.06700055477955</c:v>
                </c:pt>
                <c:pt idx="48">
                  <c:v>407.47033230325138</c:v>
                </c:pt>
                <c:pt idx="49">
                  <c:v>420.86414095510577</c:v>
                </c:pt>
                <c:pt idx="50">
                  <c:v>434.24877226057561</c:v>
                </c:pt>
                <c:pt idx="51">
                  <c:v>446.77103457638958</c:v>
                </c:pt>
                <c:pt idx="52">
                  <c:v>459.28578488692114</c:v>
                </c:pt>
                <c:pt idx="53">
                  <c:v>471.7932567157938</c:v>
                </c:pt>
                <c:pt idx="54">
                  <c:v>484.2936701958518</c:v>
                </c:pt>
                <c:pt idx="55">
                  <c:v>496.78723317012327</c:v>
                </c:pt>
                <c:pt idx="56">
                  <c:v>454.45141574909866</c:v>
                </c:pt>
                <c:pt idx="57">
                  <c:v>466.10893018382029</c:v>
                </c:pt>
                <c:pt idx="58">
                  <c:v>477.76023057775615</c:v>
                </c:pt>
                <c:pt idx="59">
                  <c:v>489.40548983322697</c:v>
                </c:pt>
                <c:pt idx="60">
                  <c:v>501.04487195328284</c:v>
                </c:pt>
                <c:pt idx="61">
                  <c:v>512.11116752861255</c:v>
                </c:pt>
                <c:pt idx="62">
                  <c:v>523.17241398507338</c:v>
                </c:pt>
                <c:pt idx="63">
                  <c:v>534.22873311672129</c:v>
                </c:pt>
                <c:pt idx="64">
                  <c:v>545.28024126554419</c:v>
                </c:pt>
                <c:pt idx="65">
                  <c:v>556.32704967342067</c:v>
                </c:pt>
                <c:pt idx="66">
                  <c:v>514.66420648531459</c:v>
                </c:pt>
                <c:pt idx="67">
                  <c:v>525.44077469768263</c:v>
                </c:pt>
                <c:pt idx="68">
                  <c:v>536.21268811802292</c:v>
                </c:pt>
                <c:pt idx="69">
                  <c:v>546.98005343275963</c:v>
                </c:pt>
                <c:pt idx="70">
                  <c:v>557.7429727857874</c:v>
                </c:pt>
                <c:pt idx="71">
                  <c:v>567.65233904266006</c:v>
                </c:pt>
                <c:pt idx="72">
                  <c:v>577.5580901665852</c:v>
                </c:pt>
                <c:pt idx="73">
                  <c:v>587.46029689849797</c:v>
                </c:pt>
                <c:pt idx="74">
                  <c:v>597.35902740022755</c:v>
                </c:pt>
                <c:pt idx="75">
                  <c:v>607.25434739061825</c:v>
                </c:pt>
                <c:pt idx="76">
                  <c:v>565.95384929166414</c:v>
                </c:pt>
                <c:pt idx="77">
                  <c:v>575.57722571883653</c:v>
                </c:pt>
                <c:pt idx="78">
                  <c:v>585.19724425655897</c:v>
                </c:pt>
                <c:pt idx="79">
                  <c:v>594.81396788448865</c:v>
                </c:pt>
                <c:pt idx="80">
                  <c:v>604.42745737988719</c:v>
                </c:pt>
                <c:pt idx="81">
                  <c:v>613.189928807667</c:v>
                </c:pt>
                <c:pt idx="82">
                  <c:v>621.94980350275443</c:v>
                </c:pt>
                <c:pt idx="83">
                  <c:v>630.7071231936402</c:v>
                </c:pt>
                <c:pt idx="84">
                  <c:v>639.46192835560794</c:v>
                </c:pt>
                <c:pt idx="85">
                  <c:v>648.21425826538086</c:v>
                </c:pt>
                <c:pt idx="86">
                  <c:v>608.66768984795272</c:v>
                </c:pt>
                <c:pt idx="87">
                  <c:v>617.14632027231744</c:v>
                </c:pt>
                <c:pt idx="88">
                  <c:v>625.62253659702685</c:v>
                </c:pt>
                <c:pt idx="89">
                  <c:v>634.0963761398915</c:v>
                </c:pt>
                <c:pt idx="90">
                  <c:v>642.56787514003383</c:v>
                </c:pt>
                <c:pt idx="91">
                  <c:v>650.19025219432649</c:v>
                </c:pt>
                <c:pt idx="92">
                  <c:v>657.8107869158938</c:v>
                </c:pt>
                <c:pt idx="93">
                  <c:v>665.42950365638319</c:v>
                </c:pt>
                <c:pt idx="94">
                  <c:v>673.0464261643765</c:v>
                </c:pt>
                <c:pt idx="95">
                  <c:v>680.66157760712861</c:v>
                </c:pt>
                <c:pt idx="96">
                  <c:v>688.27498059128141</c:v>
                </c:pt>
                <c:pt idx="97">
                  <c:v>695.88665718261416</c:v>
                </c:pt>
                <c:pt idx="98">
                  <c:v>703.4966289248855</c:v>
                </c:pt>
                <c:pt idx="99">
                  <c:v>711.10491685781756</c:v>
                </c:pt>
                <c:pt idx="100">
                  <c:v>718.71154153427051</c:v>
                </c:pt>
                <c:pt idx="101">
                  <c:v>658.09299388120962</c:v>
                </c:pt>
                <c:pt idx="102">
                  <c:v>665.14736110281672</c:v>
                </c:pt>
                <c:pt idx="103">
                  <c:v>672.20018932008873</c:v>
                </c:pt>
                <c:pt idx="104">
                  <c:v>679.25149695725497</c:v>
                </c:pt>
                <c:pt idx="105">
                  <c:v>686.30130202483861</c:v>
                </c:pt>
                <c:pt idx="106">
                  <c:v>693.34962213319204</c:v>
                </c:pt>
                <c:pt idx="107">
                  <c:v>700.39647450545351</c:v>
                </c:pt>
                <c:pt idx="108">
                  <c:v>707.44187598995484</c:v>
                </c:pt>
                <c:pt idx="109">
                  <c:v>714.48584307211024</c:v>
                </c:pt>
                <c:pt idx="110">
                  <c:v>721.52839188581265</c:v>
                </c:pt>
                <c:pt idx="111">
                  <c:v>685.59638862873953</c:v>
                </c:pt>
                <c:pt idx="112">
                  <c:v>691.94007607607489</c:v>
                </c:pt>
                <c:pt idx="113">
                  <c:v>698.28257189646683</c:v>
                </c:pt>
                <c:pt idx="114">
                  <c:v>704.62388843962435</c:v>
                </c:pt>
                <c:pt idx="115">
                  <c:v>710.96403781484867</c:v>
                </c:pt>
                <c:pt idx="116">
                  <c:v>717.30303189786616</c:v>
                </c:pt>
                <c:pt idx="117">
                  <c:v>723.64088233740028</c:v>
                </c:pt>
                <c:pt idx="118">
                  <c:v>729.97760056150412</c:v>
                </c:pt>
                <c:pt idx="119">
                  <c:v>736.31319778366208</c:v>
                </c:pt>
                <c:pt idx="120">
                  <c:v>742.64768500866955</c:v>
                </c:pt>
                <c:pt idx="121">
                  <c:v>708.99167125142458</c:v>
                </c:pt>
                <c:pt idx="122">
                  <c:v>714.76757214919553</c:v>
                </c:pt>
                <c:pt idx="123">
                  <c:v>720.54251983862753</c:v>
                </c:pt>
                <c:pt idx="124">
                  <c:v>726.31652303665248</c:v>
                </c:pt>
                <c:pt idx="125">
                  <c:v>732.08959031030997</c:v>
                </c:pt>
                <c:pt idx="126">
                  <c:v>737.86173008051219</c:v>
                </c:pt>
                <c:pt idx="127">
                  <c:v>743.63295062568523</c:v>
                </c:pt>
                <c:pt idx="128">
                  <c:v>749.40326008529053</c:v>
                </c:pt>
                <c:pt idx="129">
                  <c:v>755.17266646323208</c:v>
                </c:pt>
                <c:pt idx="130">
                  <c:v>760.94117763115719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840880"/>
        <c:axId val="-1400831632"/>
      </c:scatterChart>
      <c:valAx>
        <c:axId val="-1400840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31632"/>
        <c:crosses val="autoZero"/>
        <c:crossBetween val="midCat"/>
      </c:valAx>
      <c:valAx>
        <c:axId val="-140083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40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832720"/>
        <c:axId val="-1400831088"/>
      </c:scatterChart>
      <c:valAx>
        <c:axId val="-1400832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31088"/>
        <c:crosses val="autoZero"/>
        <c:crossBetween val="midCat"/>
      </c:valAx>
      <c:valAx>
        <c:axId val="-140083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32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843056"/>
        <c:axId val="-1400844144"/>
      </c:scatterChart>
      <c:valAx>
        <c:axId val="-140084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44144"/>
        <c:crosses val="autoZero"/>
        <c:crossBetween val="midCat"/>
      </c:valAx>
      <c:valAx>
        <c:axId val="-140084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2.3489971199630455</c:v>
                </c:pt>
                <c:pt idx="2">
                  <c:v>2.7030195086302471</c:v>
                </c:pt>
                <c:pt idx="3">
                  <c:v>3.1105901397954212</c:v>
                </c:pt>
                <c:pt idx="4">
                  <c:v>3.5798361204955143</c:v>
                </c:pt>
                <c:pt idx="5">
                  <c:v>4.1201219539347553</c:v>
                </c:pt>
                <c:pt idx="6">
                  <c:v>4.7422384982995958</c:v>
                </c:pt>
                <c:pt idx="7">
                  <c:v>5.4586208599678123</c:v>
                </c:pt>
                <c:pt idx="8">
                  <c:v>6.283599662870814</c:v>
                </c:pt>
                <c:pt idx="9">
                  <c:v>7.2336908192014988</c:v>
                </c:pt>
                <c:pt idx="10">
                  <c:v>8.327929715470864</c:v>
                </c:pt>
                <c:pt idx="11">
                  <c:v>9.5882566383841734</c:v>
                </c:pt>
                <c:pt idx="12">
                  <c:v>11.039961315929778</c:v>
                </c:pt>
                <c:pt idx="13">
                  <c:v>12.71219566215864</c:v>
                </c:pt>
                <c:pt idx="14">
                  <c:v>14.638565214448152</c:v>
                </c:pt>
                <c:pt idx="15">
                  <c:v>16.857811368540641</c:v>
                </c:pt>
                <c:pt idx="16">
                  <c:v>34.201573744884413</c:v>
                </c:pt>
                <c:pt idx="17">
                  <c:v>51.29324055563827</c:v>
                </c:pt>
                <c:pt idx="18">
                  <c:v>68.232044534382865</c:v>
                </c:pt>
                <c:pt idx="19">
                  <c:v>85.061887920963684</c:v>
                </c:pt>
                <c:pt idx="20">
                  <c:v>101.80753581019711</c:v>
                </c:pt>
                <c:pt idx="21">
                  <c:v>82.743551344396181</c:v>
                </c:pt>
                <c:pt idx="22">
                  <c:v>100.47896340066586</c:v>
                </c:pt>
                <c:pt idx="23">
                  <c:v>118.13656954475522</c:v>
                </c:pt>
                <c:pt idx="24">
                  <c:v>135.72967211257577</c:v>
                </c:pt>
                <c:pt idx="25">
                  <c:v>153.26782421878798</c:v>
                </c:pt>
                <c:pt idx="26">
                  <c:v>169.92961467790846</c:v>
                </c:pt>
                <c:pt idx="27">
                  <c:v>186.55291978238509</c:v>
                </c:pt>
                <c:pt idx="28">
                  <c:v>203.14165308330175</c:v>
                </c:pt>
                <c:pt idx="29">
                  <c:v>219.69903591771822</c:v>
                </c:pt>
                <c:pt idx="30">
                  <c:v>236.22776394593248</c:v>
                </c:pt>
                <c:pt idx="31">
                  <c:v>179.03899388273797</c:v>
                </c:pt>
                <c:pt idx="32">
                  <c:v>194.05978296157102</c:v>
                </c:pt>
                <c:pt idx="33">
                  <c:v>209.05354456548733</c:v>
                </c:pt>
                <c:pt idx="34">
                  <c:v>224.02249073346513</c:v>
                </c:pt>
                <c:pt idx="35">
                  <c:v>238.96851350398165</c:v>
                </c:pt>
                <c:pt idx="36">
                  <c:v>251.94323642485165</c:v>
                </c:pt>
                <c:pt idx="37">
                  <c:v>264.90282237161256</c:v>
                </c:pt>
                <c:pt idx="38">
                  <c:v>277.84811644886344</c:v>
                </c:pt>
                <c:pt idx="39">
                  <c:v>290.77987854518057</c:v>
                </c:pt>
                <c:pt idx="40">
                  <c:v>303.6987954144393</c:v>
                </c:pt>
                <c:pt idx="41">
                  <c:v>243.11253952882612</c:v>
                </c:pt>
                <c:pt idx="42">
                  <c:v>254.26952779268677</c:v>
                </c:pt>
                <c:pt idx="43">
                  <c:v>265.41543546795691</c:v>
                </c:pt>
                <c:pt idx="44">
                  <c:v>276.55079372304601</c:v>
                </c:pt>
                <c:pt idx="45">
                  <c:v>287.67608743112504</c:v>
                </c:pt>
                <c:pt idx="46">
                  <c:v>297.18977201090235</c:v>
                </c:pt>
                <c:pt idx="47">
                  <c:v>306.69666840383542</c:v>
                </c:pt>
                <c:pt idx="48">
                  <c:v>316.19701684347319</c:v>
                </c:pt>
                <c:pt idx="49">
                  <c:v>325.69104193900074</c:v>
                </c:pt>
                <c:pt idx="50">
                  <c:v>335.17895412715546</c:v>
                </c:pt>
                <c:pt idx="51">
                  <c:v>290.33652534704896</c:v>
                </c:pt>
                <c:pt idx="52">
                  <c:v>298.45092825352356</c:v>
                </c:pt>
                <c:pt idx="53">
                  <c:v>306.56041563439737</c:v>
                </c:pt>
                <c:pt idx="54">
                  <c:v>314.66513597972749</c:v>
                </c:pt>
                <c:pt idx="55">
                  <c:v>322.765229499106</c:v>
                </c:pt>
                <c:pt idx="56">
                  <c:v>329.67057640057925</c:v>
                </c:pt>
                <c:pt idx="57">
                  <c:v>336.57273203877321</c:v>
                </c:pt>
                <c:pt idx="58">
                  <c:v>343.4717711558153</c:v>
                </c:pt>
                <c:pt idx="59">
                  <c:v>350.36776524327252</c:v>
                </c:pt>
                <c:pt idx="60">
                  <c:v>357.26078274613786</c:v>
                </c:pt>
                <c:pt idx="61">
                  <c:v>328.61627365817066</c:v>
                </c:pt>
                <c:pt idx="62">
                  <c:v>334.46501845465792</c:v>
                </c:pt>
                <c:pt idx="63">
                  <c:v>340.31150981871093</c:v>
                </c:pt>
                <c:pt idx="64">
                  <c:v>346.15579197169717</c:v>
                </c:pt>
                <c:pt idx="65">
                  <c:v>351.9979075182053</c:v>
                </c:pt>
                <c:pt idx="66">
                  <c:v>356.95524312728179</c:v>
                </c:pt>
                <c:pt idx="67">
                  <c:v>361.9110715587247</c:v>
                </c:pt>
                <c:pt idx="68">
                  <c:v>366.86541638891998</c:v>
                </c:pt>
                <c:pt idx="69">
                  <c:v>371.81830050474764</c:v>
                </c:pt>
                <c:pt idx="70">
                  <c:v>376.76974613287115</c:v>
                </c:pt>
                <c:pt idx="71">
                  <c:v>354.17117321490878</c:v>
                </c:pt>
                <c:pt idx="72">
                  <c:v>358.55077590418801</c:v>
                </c:pt>
                <c:pt idx="73">
                  <c:v>362.92920796369299</c:v>
                </c:pt>
                <c:pt idx="74">
                  <c:v>367.30648552791968</c:v>
                </c:pt>
                <c:pt idx="75">
                  <c:v>371.68262431492673</c:v>
                </c:pt>
                <c:pt idx="76">
                  <c:v>362.42014757837563</c:v>
                </c:pt>
                <c:pt idx="77">
                  <c:v>364.35449408104051</c:v>
                </c:pt>
                <c:pt idx="78">
                  <c:v>366.28861619257736</c:v>
                </c:pt>
                <c:pt idx="79">
                  <c:v>368.22251526719651</c:v>
                </c:pt>
                <c:pt idx="80">
                  <c:v>370.1561926436982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830544"/>
        <c:axId val="-1400843600"/>
      </c:scatterChart>
      <c:valAx>
        <c:axId val="-1400830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43600"/>
        <c:crosses val="autoZero"/>
        <c:crossBetween val="midCat"/>
      </c:valAx>
      <c:valAx>
        <c:axId val="-1400843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3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835440"/>
        <c:axId val="-1400837072"/>
      </c:scatterChart>
      <c:valAx>
        <c:axId val="-14008354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37072"/>
        <c:crosses val="autoZero"/>
        <c:crossBetween val="midCat"/>
      </c:valAx>
      <c:valAx>
        <c:axId val="-140083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35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2.0801803047891831</c:v>
                </c:pt>
                <c:pt idx="2">
                  <c:v>2.7905066044127733</c:v>
                </c:pt>
                <c:pt idx="3">
                  <c:v>3.74440534699754</c:v>
                </c:pt>
                <c:pt idx="4">
                  <c:v>5.0257259450507812</c:v>
                </c:pt>
                <c:pt idx="5">
                  <c:v>6.7472883259063394</c:v>
                </c:pt>
                <c:pt idx="6">
                  <c:v>9.0609262398723924</c:v>
                </c:pt>
                <c:pt idx="7">
                  <c:v>12.171023111680329</c:v>
                </c:pt>
                <c:pt idx="8">
                  <c:v>16.352758396569048</c:v>
                </c:pt>
                <c:pt idx="9">
                  <c:v>21.976708234197869</c:v>
                </c:pt>
                <c:pt idx="10">
                  <c:v>29.542019252430688</c:v>
                </c:pt>
                <c:pt idx="11">
                  <c:v>39.721151062240295</c:v>
                </c:pt>
                <c:pt idx="12">
                  <c:v>53.420232144414797</c:v>
                </c:pt>
                <c:pt idx="13">
                  <c:v>73.201093404762517</c:v>
                </c:pt>
                <c:pt idx="14">
                  <c:v>95.193802230849045</c:v>
                </c:pt>
                <c:pt idx="15">
                  <c:v>119.40669706000294</c:v>
                </c:pt>
                <c:pt idx="16">
                  <c:v>105.44872764883114</c:v>
                </c:pt>
                <c:pt idx="17">
                  <c:v>118.72814390822663</c:v>
                </c:pt>
                <c:pt idx="18">
                  <c:v>134.68918035095743</c:v>
                </c:pt>
                <c:pt idx="19">
                  <c:v>151.78802852533406</c:v>
                </c:pt>
                <c:pt idx="20">
                  <c:v>173.25204101823155</c:v>
                </c:pt>
                <c:pt idx="21">
                  <c:v>148.07114991460617</c:v>
                </c:pt>
                <c:pt idx="22">
                  <c:v>168.92923244181199</c:v>
                </c:pt>
                <c:pt idx="23">
                  <c:v>190.77159636850772</c:v>
                </c:pt>
                <c:pt idx="24">
                  <c:v>213.97096754156919</c:v>
                </c:pt>
                <c:pt idx="25">
                  <c:v>237.91131665522707</c:v>
                </c:pt>
                <c:pt idx="26">
                  <c:v>262.4191790375051</c:v>
                </c:pt>
                <c:pt idx="27">
                  <c:v>286.87538518437105</c:v>
                </c:pt>
                <c:pt idx="28">
                  <c:v>237.05767815907811</c:v>
                </c:pt>
                <c:pt idx="29">
                  <c:v>257.30780573118091</c:v>
                </c:pt>
                <c:pt idx="30">
                  <c:v>277.52190192244632</c:v>
                </c:pt>
                <c:pt idx="31">
                  <c:v>298.22015123846171</c:v>
                </c:pt>
                <c:pt idx="32">
                  <c:v>318.8863942330795</c:v>
                </c:pt>
                <c:pt idx="33">
                  <c:v>255.0484613536668</c:v>
                </c:pt>
                <c:pt idx="34">
                  <c:v>271.66857581099384</c:v>
                </c:pt>
                <c:pt idx="35">
                  <c:v>288.26582722652319</c:v>
                </c:pt>
                <c:pt idx="36">
                  <c:v>304.84171714529225</c:v>
                </c:pt>
                <c:pt idx="37">
                  <c:v>321.3975704655806</c:v>
                </c:pt>
                <c:pt idx="38">
                  <c:v>338.26681317270908</c:v>
                </c:pt>
                <c:pt idx="39">
                  <c:v>355.11754651191865</c:v>
                </c:pt>
                <c:pt idx="40">
                  <c:v>371.95077218720718</c:v>
                </c:pt>
                <c:pt idx="41">
                  <c:v>388.76739385150091</c:v>
                </c:pt>
                <c:pt idx="42">
                  <c:v>405.56823061861064</c:v>
                </c:pt>
                <c:pt idx="43">
                  <c:v>422.39941053572528</c:v>
                </c:pt>
                <c:pt idx="44">
                  <c:v>439.21615689856299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840336"/>
        <c:axId val="-1400833264"/>
      </c:scatterChart>
      <c:valAx>
        <c:axId val="-14008403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33264"/>
        <c:crosses val="autoZero"/>
        <c:crossBetween val="midCat"/>
      </c:valAx>
      <c:valAx>
        <c:axId val="-14008332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840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B1" zoomScale="80" zoomScaleNormal="80" workbookViewId="0">
      <selection activeCell="B18" sqref="B18:M31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8" t="s">
        <v>291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</row>
    <row r="13" spans="2:13" ht="15" customHeight="1" x14ac:dyDescent="0.3"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</row>
    <row r="14" spans="2:13" ht="15" customHeight="1" x14ac:dyDescent="0.3"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</row>
    <row r="15" spans="2:13" ht="18.75" customHeight="1" x14ac:dyDescent="0.3"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</row>
    <row r="16" spans="2:13" ht="18.75" customHeight="1" x14ac:dyDescent="0.3"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</row>
    <row r="18" spans="2:13" ht="12" customHeight="1" x14ac:dyDescent="0.3">
      <c r="B18" s="288" t="s">
        <v>292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</row>
    <row r="19" spans="2:13" ht="12" customHeight="1" x14ac:dyDescent="0.3"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</row>
    <row r="20" spans="2:13" ht="12" customHeight="1" x14ac:dyDescent="0.3"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</row>
    <row r="21" spans="2:13" ht="12" customHeight="1" x14ac:dyDescent="0.3"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</row>
    <row r="22" spans="2:13" ht="12" customHeight="1" x14ac:dyDescent="0.3"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</row>
    <row r="23" spans="2:13" ht="12" customHeight="1" x14ac:dyDescent="0.3"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</row>
    <row r="24" spans="2:13" ht="12" customHeight="1" x14ac:dyDescent="0.3"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</row>
    <row r="25" spans="2:13" ht="12" customHeight="1" x14ac:dyDescent="0.3"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</row>
    <row r="26" spans="2:13" ht="12" customHeight="1" x14ac:dyDescent="0.3"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</row>
    <row r="27" spans="2:13" ht="12" customHeight="1" x14ac:dyDescent="0.3"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</row>
    <row r="28" spans="2:13" ht="12" customHeight="1" x14ac:dyDescent="0.3"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</row>
    <row r="29" spans="2:13" ht="12" customHeight="1" x14ac:dyDescent="0.3"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</row>
    <row r="30" spans="2:13" ht="12" customHeight="1" x14ac:dyDescent="0.3"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</row>
    <row r="31" spans="2:13" ht="12" customHeight="1" x14ac:dyDescent="0.3"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94" zoomScale="70" zoomScaleNormal="70" workbookViewId="0">
      <selection activeCell="F104" sqref="F10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4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4" t="s">
        <v>192</v>
      </c>
      <c r="C3" s="295"/>
      <c r="D3" s="295"/>
      <c r="E3" s="295"/>
      <c r="F3" s="296"/>
      <c r="G3" s="91"/>
      <c r="I3" s="224" t="s">
        <v>304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3"/>
      <c r="B4" s="93"/>
      <c r="C4" s="93"/>
      <c r="D4" s="93"/>
      <c r="E4" s="93"/>
      <c r="F4" s="93"/>
      <c r="G4" s="234"/>
      <c r="I4" s="224" t="s">
        <v>305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0" t="s">
        <v>231</v>
      </c>
      <c r="B5" s="300"/>
      <c r="C5" s="26">
        <v>11.15</v>
      </c>
      <c r="D5" s="301" t="s">
        <v>229</v>
      </c>
      <c r="E5" s="302"/>
      <c r="F5" s="93"/>
      <c r="G5" s="234"/>
      <c r="H5" s="235"/>
      <c r="I5" s="235"/>
      <c r="J5" s="24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4"/>
      <c r="B6" s="94"/>
      <c r="C6" s="95"/>
      <c r="D6" s="89"/>
      <c r="E6" s="89"/>
      <c r="F6" s="29"/>
      <c r="G6" s="236"/>
      <c r="H6" s="237"/>
      <c r="I6" s="237"/>
      <c r="J6" s="244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5.8" x14ac:dyDescent="0.3">
      <c r="A7" s="298" t="s">
        <v>226</v>
      </c>
      <c r="B7" s="298"/>
      <c r="C7" s="93"/>
      <c r="D7" s="93"/>
      <c r="E7" s="5"/>
      <c r="F7" s="93"/>
      <c r="G7" s="234"/>
      <c r="H7" s="235"/>
      <c r="I7" s="235"/>
      <c r="J7" s="24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9"/>
      <c r="J8" s="24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</v>
      </c>
      <c r="C9" s="35">
        <v>8.0000000000000002E-3</v>
      </c>
      <c r="D9" s="36">
        <f t="shared" ref="D9:D18" si="0">C9*$C$5</f>
        <v>8.9200000000000002E-2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4" t="s">
        <v>306</v>
      </c>
      <c r="I9" s="250"/>
      <c r="J9" s="24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164</v>
      </c>
      <c r="C10" s="35">
        <v>0.14799999999999999</v>
      </c>
      <c r="D10" s="36">
        <f t="shared" si="0"/>
        <v>1.6501999999999999</v>
      </c>
      <c r="E10" s="37">
        <v>109</v>
      </c>
      <c r="F10" s="38" t="str">
        <f t="array" ref="F10">IF(E10="","",IF(INDEX(A:A,MAX(IF(ISNUMBER($A$62:$A$81),ROW($A$62:$A$81),"")))&lt;&gt;E10,"Corrigez : révolution incorrecte","OK"))</f>
        <v>OK</v>
      </c>
      <c r="I10" s="250"/>
      <c r="J10" s="24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6</v>
      </c>
      <c r="C11" s="35">
        <v>5.8999999999999997E-2</v>
      </c>
      <c r="D11" s="36">
        <f t="shared" si="0"/>
        <v>0.65784999999999993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27"/>
      <c r="I11" s="250"/>
      <c r="J11" s="24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9</v>
      </c>
      <c r="C12" s="35">
        <v>1.0999999999999999E-2</v>
      </c>
      <c r="D12" s="36">
        <f t="shared" si="0"/>
        <v>0.12265</v>
      </c>
      <c r="E12" s="37">
        <v>130</v>
      </c>
      <c r="F12" s="38" t="str">
        <f t="array" ref="F12">IF(E12="","",IF(INDEX(A:A,MAX(IF(ISNUMBER($A$114:$A$133),ROW($A$114:$A$133),"")))&lt;&gt;E12,"Corrigez : révolution incorrecte","OK"))</f>
        <v>OK</v>
      </c>
      <c r="H12" s="227"/>
      <c r="I12" s="250"/>
      <c r="J12" s="24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14</v>
      </c>
      <c r="C13" s="35">
        <v>0.438</v>
      </c>
      <c r="D13" s="36">
        <f t="shared" si="0"/>
        <v>4.8837000000000002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7"/>
      <c r="I13" s="250"/>
      <c r="J13" s="24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52</v>
      </c>
      <c r="C14" s="35">
        <v>1.7000000000000001E-2</v>
      </c>
      <c r="D14" s="36">
        <f t="shared" si="0"/>
        <v>0.18955000000000002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7"/>
      <c r="I14" s="250"/>
      <c r="J14" s="24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22</v>
      </c>
      <c r="C15" s="35">
        <v>3.1E-2</v>
      </c>
      <c r="D15" s="36">
        <f t="shared" si="0"/>
        <v>0.34565000000000001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27"/>
      <c r="I15" s="250"/>
      <c r="J15" s="24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29</v>
      </c>
      <c r="C16" s="35">
        <v>1.9E-2</v>
      </c>
      <c r="D16" s="36">
        <f t="shared" si="0"/>
        <v>0.21185000000000001</v>
      </c>
      <c r="E16" s="37">
        <v>69</v>
      </c>
      <c r="F16" s="38" t="str">
        <f t="array" ref="F16">IF(E16="","",IF(INDEX(A:A,MAX(IF(ISNUMBER($A$218:$A$237),ROW($A$218:$A$237),"")))&lt;&gt;E16,"Corrigez : révolution incorrecte","OK"))</f>
        <v>OK</v>
      </c>
      <c r="H16" s="227"/>
      <c r="I16" s="250"/>
      <c r="J16" s="24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36</v>
      </c>
      <c r="C17" s="35">
        <v>0.222</v>
      </c>
      <c r="D17" s="36">
        <f t="shared" si="0"/>
        <v>2.4753000000000003</v>
      </c>
      <c r="E17" s="37">
        <v>44</v>
      </c>
      <c r="F17" s="38" t="str">
        <f t="array" ref="F17">IF(E17="","",IF(INDEX(A:A,MAX(IF(ISNUMBER($A$244:$A$263),ROW($A$244:$A$263),"")))&lt;&gt;E17,"Corrigez : révolution incorrecte","OK"))</f>
        <v>OK</v>
      </c>
      <c r="H17" s="227"/>
      <c r="I17" s="250"/>
      <c r="J17" s="2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7"/>
      <c r="I18" s="250"/>
      <c r="J18" s="24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6"/>
      <c r="B19" s="39" t="s">
        <v>175</v>
      </c>
      <c r="C19" s="40">
        <f>SUM(C9:C18)</f>
        <v>0.95300000000000007</v>
      </c>
      <c r="D19" s="41">
        <f>SUM(D9:D18)</f>
        <v>10.62595</v>
      </c>
      <c r="E19" s="5"/>
      <c r="F19" s="97"/>
      <c r="G19" s="238"/>
      <c r="H19" s="239"/>
      <c r="I19" s="238"/>
      <c r="J19" s="24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6"/>
      <c r="B20" s="42" t="s">
        <v>230</v>
      </c>
      <c r="C20" s="43" t="str">
        <f>IF(C19&gt;100%,"Erreur : corrigez","OK")</f>
        <v>OK</v>
      </c>
      <c r="D20" s="245"/>
      <c r="F20" s="237"/>
      <c r="G20" s="237"/>
      <c r="H20" s="239"/>
      <c r="I20" s="238"/>
      <c r="J20" s="24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0"/>
      <c r="I21" s="251"/>
      <c r="J21" s="243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7" t="s">
        <v>232</v>
      </c>
      <c r="B22" s="297"/>
      <c r="C22" s="95"/>
      <c r="H22" s="226"/>
      <c r="I22" s="244"/>
      <c r="J22" s="244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 x14ac:dyDescent="0.3">
      <c r="A23" s="5"/>
      <c r="B23" s="5"/>
      <c r="C23" s="5"/>
      <c r="H23" s="217"/>
      <c r="I23" s="243"/>
      <c r="J23" s="2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1"/>
      <c r="H24" s="227"/>
      <c r="I24" s="241"/>
      <c r="J24" s="24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99"/>
      <c r="E25" s="5"/>
      <c r="F25" s="99"/>
      <c r="G25" s="242"/>
      <c r="H25" s="227"/>
      <c r="I25" s="242"/>
      <c r="J25" s="24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98"/>
      <c r="F26" s="98"/>
      <c r="G26" s="241"/>
      <c r="I26" s="241"/>
      <c r="J26" s="24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1"/>
      <c r="I27" s="241"/>
      <c r="J27" s="241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3"/>
      <c r="I28" s="243"/>
      <c r="J28" s="24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3"/>
      <c r="I29" s="243"/>
      <c r="J29" s="24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9" t="s">
        <v>227</v>
      </c>
      <c r="B30" s="299"/>
      <c r="D30" s="246"/>
      <c r="H30" s="244"/>
      <c r="I30" s="244"/>
      <c r="J30" s="244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 x14ac:dyDescent="0.3">
      <c r="A31" s="5"/>
      <c r="B31" s="5"/>
      <c r="H31" s="243"/>
      <c r="I31" s="243"/>
      <c r="J31" s="243"/>
      <c r="K31" s="246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Alisier torminal</v>
      </c>
      <c r="D32" s="255" t="s">
        <v>307</v>
      </c>
      <c r="K32" s="24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8" t="s">
        <v>185</v>
      </c>
      <c r="C34" s="289" t="s">
        <v>186</v>
      </c>
      <c r="D34" s="289"/>
      <c r="E34" s="290" t="s">
        <v>187</v>
      </c>
      <c r="F34" s="291"/>
      <c r="G34" s="291"/>
      <c r="H34" s="292"/>
      <c r="I34" s="100"/>
      <c r="J34" s="247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1">
        <v>70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1">
        <v>105</v>
      </c>
      <c r="C38" s="61">
        <v>1</v>
      </c>
      <c r="D38" s="61"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1">
        <v>116</v>
      </c>
      <c r="C39" s="61"/>
      <c r="D39" s="61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1">
        <v>158</v>
      </c>
      <c r="C40" s="61">
        <v>2</v>
      </c>
      <c r="D40" s="61"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1">
        <v>158</v>
      </c>
      <c r="C41" s="61"/>
      <c r="D41" s="61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1">
        <v>199</v>
      </c>
      <c r="C42" s="61">
        <v>3</v>
      </c>
      <c r="D42" s="61"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53">
        <v>197</v>
      </c>
      <c r="C43" s="53"/>
      <c r="D43" s="53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Cèdre de l'Atlas</v>
      </c>
      <c r="D58" s="255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8" t="s">
        <v>185</v>
      </c>
      <c r="C60" s="289" t="s">
        <v>186</v>
      </c>
      <c r="D60" s="289"/>
      <c r="E60" s="290" t="s">
        <v>187</v>
      </c>
      <c r="F60" s="291"/>
      <c r="G60" s="291"/>
      <c r="H60" s="292"/>
      <c r="I60" s="100"/>
      <c r="J60" s="24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30</v>
      </c>
      <c r="B62" s="61">
        <f>134.26/1.3</f>
        <v>103.27692307692307</v>
      </c>
      <c r="C62" s="61"/>
      <c r="D62" s="61"/>
      <c r="E62" s="54"/>
      <c r="F62" s="54"/>
      <c r="G62" s="54"/>
      <c r="H62" s="54"/>
      <c r="I62" s="56">
        <f>IFERROR(B62/A62,"")</f>
        <v>3.4425641025641025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35</v>
      </c>
      <c r="B63" s="61">
        <f>192.26/1.3</f>
        <v>147.89230769230767</v>
      </c>
      <c r="C63" s="61"/>
      <c r="D63" s="61"/>
      <c r="E63" s="54"/>
      <c r="F63" s="54"/>
      <c r="G63" s="54"/>
      <c r="H63" s="54"/>
      <c r="I63" s="52">
        <f>IF(A63&lt;&gt;0,(B63-(B62-D62))/(A63-A62),"")</f>
        <v>8.9230769230769198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40</v>
      </c>
      <c r="B64" s="61">
        <f>257.14/1.3</f>
        <v>197.79999999999998</v>
      </c>
      <c r="C64" s="61"/>
      <c r="D64" s="61"/>
      <c r="E64" s="54"/>
      <c r="F64" s="54"/>
      <c r="G64" s="54"/>
      <c r="H64" s="54"/>
      <c r="I64" s="52">
        <f>IF(A64&lt;&gt;0,(B64-(B63-D63))/(A64-A63),"")</f>
        <v>9.981538461538463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45</v>
      </c>
      <c r="B65" s="61">
        <f>327.79/1.3</f>
        <v>252.14615384615385</v>
      </c>
      <c r="C65" s="61"/>
      <c r="D65" s="61"/>
      <c r="E65" s="54"/>
      <c r="F65" s="54"/>
      <c r="G65" s="54"/>
      <c r="H65" s="54"/>
      <c r="I65" s="52">
        <f>IF(A65&lt;&gt;0,(B65-(B64-D64))/(A65-A64),"")</f>
        <v>10.869230769230773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50</v>
      </c>
      <c r="B66" s="61">
        <f>402.88/1.3</f>
        <v>309.90769230769229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11.552307692307688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51</v>
      </c>
      <c r="B67" s="61">
        <f>418.39/1.3</f>
        <v>321.8384615384615</v>
      </c>
      <c r="C67" s="61">
        <v>1</v>
      </c>
      <c r="D67" s="61">
        <f>130.4/1.3</f>
        <v>100.30769230769231</v>
      </c>
      <c r="E67" s="54"/>
      <c r="F67" s="54"/>
      <c r="G67" s="54"/>
      <c r="H67" s="54"/>
      <c r="I67" s="52">
        <f t="shared" si="2"/>
        <v>11.930769230769215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55</v>
      </c>
      <c r="B68" s="61">
        <f>342.52/1.3</f>
        <v>263.47692307692307</v>
      </c>
      <c r="C68" s="61"/>
      <c r="D68" s="61"/>
      <c r="E68" s="54"/>
      <c r="F68" s="54"/>
      <c r="G68" s="54"/>
      <c r="H68" s="54"/>
      <c r="I68" s="52">
        <f t="shared" si="2"/>
        <v>10.486538461538473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79">
        <v>60</v>
      </c>
      <c r="B69" s="61">
        <f>412.62/1.3</f>
        <v>317.39999999999998</v>
      </c>
      <c r="C69" s="61"/>
      <c r="D69" s="61"/>
      <c r="E69" s="54"/>
      <c r="F69" s="54"/>
      <c r="G69" s="54"/>
      <c r="H69" s="54"/>
      <c r="I69" s="52">
        <f t="shared" si="2"/>
        <v>10.784615384615382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279">
        <v>63</v>
      </c>
      <c r="B70" s="61">
        <f>455.9/1.3</f>
        <v>350.69230769230768</v>
      </c>
      <c r="C70" s="61">
        <v>2</v>
      </c>
      <c r="D70" s="61">
        <f>140.52/1.3</f>
        <v>108.0923076923077</v>
      </c>
      <c r="E70" s="54"/>
      <c r="F70" s="54"/>
      <c r="G70" s="54"/>
      <c r="H70" s="54"/>
      <c r="I70" s="52">
        <f t="shared" si="2"/>
        <v>11.097435897435901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279">
        <v>65</v>
      </c>
      <c r="B71" s="61">
        <f>340.48/1.3</f>
        <v>261.90769230769229</v>
      </c>
      <c r="C71" s="61"/>
      <c r="D71" s="61"/>
      <c r="E71" s="54"/>
      <c r="F71" s="54"/>
      <c r="G71" s="54"/>
      <c r="H71" s="54"/>
      <c r="I71" s="52">
        <f t="shared" si="2"/>
        <v>9.6538461538461604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279">
        <v>70</v>
      </c>
      <c r="B72" s="61">
        <f>403.79/1.3</f>
        <v>310.60769230769233</v>
      </c>
      <c r="C72" s="61"/>
      <c r="D72" s="61"/>
      <c r="E72" s="54"/>
      <c r="F72" s="54"/>
      <c r="G72" s="54"/>
      <c r="H72" s="54"/>
      <c r="I72" s="52">
        <f t="shared" si="2"/>
        <v>9.7400000000000091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79">
        <v>75</v>
      </c>
      <c r="B73" s="61">
        <f>468.62/1.3</f>
        <v>360.47692307692307</v>
      </c>
      <c r="C73" s="61">
        <v>3</v>
      </c>
      <c r="D73" s="61">
        <f>110.97/1.3</f>
        <v>85.361538461538458</v>
      </c>
      <c r="E73" s="54"/>
      <c r="F73" s="54"/>
      <c r="G73" s="54"/>
      <c r="H73" s="54"/>
      <c r="I73" s="52">
        <f t="shared" si="2"/>
        <v>9.9738461538461483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279">
        <v>80</v>
      </c>
      <c r="B74" s="61">
        <f>415.62/1.3</f>
        <v>319.7076923076923</v>
      </c>
      <c r="C74" s="61"/>
      <c r="D74" s="61"/>
      <c r="E74" s="54"/>
      <c r="F74" s="54"/>
      <c r="G74" s="54"/>
      <c r="H74" s="54"/>
      <c r="I74" s="52">
        <f t="shared" si="2"/>
        <v>8.918461538461532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279">
        <v>85</v>
      </c>
      <c r="B75" s="61">
        <f>474.42/1.3</f>
        <v>364.93846153846152</v>
      </c>
      <c r="C75" s="61"/>
      <c r="D75" s="61"/>
      <c r="E75" s="54"/>
      <c r="F75" s="54"/>
      <c r="G75" s="54"/>
      <c r="H75" s="54"/>
      <c r="I75" s="52">
        <f t="shared" si="2"/>
        <v>9.046153846153846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279">
        <v>87</v>
      </c>
      <c r="B76" s="53">
        <v>383.13846153846151</v>
      </c>
      <c r="C76" s="53">
        <v>4</v>
      </c>
      <c r="D76" s="53">
        <v>82.938461538461524</v>
      </c>
      <c r="E76" s="54"/>
      <c r="F76" s="54"/>
      <c r="G76" s="54"/>
      <c r="H76" s="54"/>
      <c r="I76" s="52">
        <f t="shared" si="2"/>
        <v>9.0999999999999943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279">
        <v>90</v>
      </c>
      <c r="B77" s="53">
        <v>324.61538461538458</v>
      </c>
      <c r="C77" s="53"/>
      <c r="D77" s="53"/>
      <c r="E77" s="54"/>
      <c r="F77" s="54"/>
      <c r="G77" s="54"/>
      <c r="H77" s="54"/>
      <c r="I77" s="52">
        <f t="shared" si="2"/>
        <v>8.1384615384615326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279">
        <v>95</v>
      </c>
      <c r="B78" s="53">
        <v>364.78461538461539</v>
      </c>
      <c r="C78" s="53"/>
      <c r="D78" s="53"/>
      <c r="E78" s="54"/>
      <c r="F78" s="54"/>
      <c r="G78" s="54"/>
      <c r="H78" s="54"/>
      <c r="I78" s="52">
        <f t="shared" si="2"/>
        <v>8.0338461538461612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279">
        <v>99</v>
      </c>
      <c r="B79" s="53">
        <v>397.8692307692308</v>
      </c>
      <c r="C79" s="53">
        <v>5</v>
      </c>
      <c r="D79" s="53">
        <v>198.32307692307691</v>
      </c>
      <c r="E79" s="54"/>
      <c r="F79" s="54"/>
      <c r="G79" s="54"/>
      <c r="H79" s="54"/>
      <c r="I79" s="52">
        <f t="shared" si="2"/>
        <v>8.271153846153851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279">
        <v>100</v>
      </c>
      <c r="B80" s="53">
        <v>207.28461538461539</v>
      </c>
      <c r="C80" s="53"/>
      <c r="D80" s="53"/>
      <c r="E80" s="54"/>
      <c r="F80" s="54"/>
      <c r="G80" s="54"/>
      <c r="H80" s="54"/>
      <c r="I80" s="52">
        <f t="shared" si="2"/>
        <v>7.7384615384615074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279">
        <v>109</v>
      </c>
      <c r="B81" s="53">
        <v>256.09230769230771</v>
      </c>
      <c r="C81" s="53">
        <v>6</v>
      </c>
      <c r="D81" s="53">
        <v>256.09230769230771</v>
      </c>
      <c r="E81" s="54"/>
      <c r="F81" s="54"/>
      <c r="G81" s="54"/>
      <c r="H81" s="54"/>
      <c r="I81" s="52">
        <f t="shared" si="2"/>
        <v>5.4230769230769242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Charme</v>
      </c>
      <c r="D84" s="255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8" t="s">
        <v>185</v>
      </c>
      <c r="C86" s="289" t="s">
        <v>186</v>
      </c>
      <c r="D86" s="289"/>
      <c r="E86" s="290" t="s">
        <v>187</v>
      </c>
      <c r="F86" s="291"/>
      <c r="G86" s="291"/>
      <c r="H86" s="292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1">
        <f>43/1.56</f>
        <v>27.564102564102562</v>
      </c>
      <c r="C88" s="53"/>
      <c r="D88" s="61"/>
      <c r="E88" s="54"/>
      <c r="F88" s="54"/>
      <c r="G88" s="54"/>
      <c r="H88" s="64"/>
      <c r="I88" s="56">
        <f>IFERROR(B88/A88,"")</f>
        <v>1.8376068376068375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1">
        <f>(75+10)/1.56</f>
        <v>54.487179487179482</v>
      </c>
      <c r="C89" s="53"/>
      <c r="D89" s="61"/>
      <c r="E89" s="64"/>
      <c r="F89" s="64"/>
      <c r="G89" s="64"/>
      <c r="H89" s="64"/>
      <c r="I89" s="56">
        <f t="shared" ref="I89:I107" si="3">IF(A89&lt;&gt;0,(B89-(B88-D88))/(A89-A88),"")</f>
        <v>5.3846153846153841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1">
        <f>(105+10+14)/1.56</f>
        <v>82.692307692307693</v>
      </c>
      <c r="C90" s="53">
        <v>1</v>
      </c>
      <c r="D90" s="61">
        <f>(10+14+18)/1.56</f>
        <v>26.923076923076923</v>
      </c>
      <c r="E90" s="64"/>
      <c r="F90" s="64"/>
      <c r="G90" s="64"/>
      <c r="H90" s="64">
        <v>1</v>
      </c>
      <c r="I90" s="56">
        <f t="shared" si="3"/>
        <v>5.6410256410256423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1">
        <f>(134)/1.56</f>
        <v>85.897435897435898</v>
      </c>
      <c r="C91" s="53"/>
      <c r="D91" s="61"/>
      <c r="E91" s="64"/>
      <c r="F91" s="64"/>
      <c r="G91" s="64"/>
      <c r="H91" s="64"/>
      <c r="I91" s="56">
        <f t="shared" si="3"/>
        <v>6.0256410256410247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1">
        <f>(161+20)/1.56</f>
        <v>116.02564102564102</v>
      </c>
      <c r="C92" s="53">
        <v>2</v>
      </c>
      <c r="D92" s="61">
        <f>(20+21)/1.56</f>
        <v>26.282051282051281</v>
      </c>
      <c r="E92" s="64"/>
      <c r="F92" s="64"/>
      <c r="G92" s="64"/>
      <c r="H92" s="64"/>
      <c r="I92" s="56">
        <f t="shared" si="3"/>
        <v>6.0256410256410247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1">
        <f>(184)/1.56</f>
        <v>117.94871794871794</v>
      </c>
      <c r="C93" s="53"/>
      <c r="D93" s="61"/>
      <c r="E93" s="64"/>
      <c r="F93" s="64"/>
      <c r="G93" s="64"/>
      <c r="H93" s="64"/>
      <c r="I93" s="56">
        <f t="shared" si="3"/>
        <v>5.6410256410256405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1">
        <v>45</v>
      </c>
      <c r="B94" s="61">
        <f>(206+22)/1.56</f>
        <v>146.15384615384616</v>
      </c>
      <c r="C94" s="61">
        <v>3</v>
      </c>
      <c r="D94" s="61">
        <f>(22+22)/1.56</f>
        <v>28.205128205128204</v>
      </c>
      <c r="E94" s="64"/>
      <c r="F94" s="64"/>
      <c r="G94" s="64"/>
      <c r="H94" s="64"/>
      <c r="I94" s="56">
        <f t="shared" si="3"/>
        <v>5.6410256410256441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8">
        <v>50</v>
      </c>
      <c r="B95" s="58">
        <f>(225)/1.56</f>
        <v>144.23076923076923</v>
      </c>
      <c r="C95" s="58"/>
      <c r="D95" s="58"/>
      <c r="E95" s="64"/>
      <c r="F95" s="64"/>
      <c r="G95" s="64"/>
      <c r="H95" s="64"/>
      <c r="I95" s="56">
        <f t="shared" si="3"/>
        <v>5.2564102564102537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8">
        <v>55</v>
      </c>
      <c r="B96" s="58">
        <f>(241+22)/1.56</f>
        <v>168.58974358974359</v>
      </c>
      <c r="C96" s="58">
        <v>4</v>
      </c>
      <c r="D96" s="58">
        <f>(22+22)/1.56</f>
        <v>28.205128205128204</v>
      </c>
      <c r="E96" s="64"/>
      <c r="F96" s="64"/>
      <c r="G96" s="64"/>
      <c r="H96" s="64"/>
      <c r="I96" s="56">
        <f t="shared" si="3"/>
        <v>4.8717948717948731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8">
        <v>60</v>
      </c>
      <c r="B97" s="58">
        <f>(256)/1.56</f>
        <v>164.10256410256409</v>
      </c>
      <c r="C97" s="58"/>
      <c r="D97" s="58"/>
      <c r="E97" s="64"/>
      <c r="F97" s="64"/>
      <c r="G97" s="64"/>
      <c r="H97" s="64"/>
      <c r="I97" s="56">
        <f t="shared" si="3"/>
        <v>4.7435897435897401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8">
        <v>65</v>
      </c>
      <c r="B98" s="58">
        <f>(269+22)/1.56</f>
        <v>186.53846153846152</v>
      </c>
      <c r="C98" s="58">
        <v>5</v>
      </c>
      <c r="D98" s="58">
        <f>(22+22)/1.56</f>
        <v>28.205128205128204</v>
      </c>
      <c r="E98" s="64"/>
      <c r="F98" s="64"/>
      <c r="G98" s="64"/>
      <c r="H98" s="64"/>
      <c r="I98" s="56">
        <f t="shared" si="3"/>
        <v>4.4871794871794863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8">
        <v>70</v>
      </c>
      <c r="B99" s="58">
        <f>(282)/1.56</f>
        <v>180.76923076923077</v>
      </c>
      <c r="C99" s="58"/>
      <c r="D99" s="58"/>
      <c r="E99" s="64"/>
      <c r="F99" s="64"/>
      <c r="G99" s="64"/>
      <c r="H99" s="64"/>
      <c r="I99" s="56">
        <f t="shared" si="3"/>
        <v>4.4871794871794917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8">
        <v>75</v>
      </c>
      <c r="B100" s="58">
        <f>(292+21)/1.56</f>
        <v>200.64102564102564</v>
      </c>
      <c r="C100" s="58">
        <v>6</v>
      </c>
      <c r="D100" s="58">
        <f>(21+21)/1.56</f>
        <v>26.923076923076923</v>
      </c>
      <c r="E100" s="65"/>
      <c r="F100" s="65"/>
      <c r="G100" s="65"/>
      <c r="H100" s="65"/>
      <c r="I100" s="56">
        <f t="shared" si="3"/>
        <v>3.9743589743589722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90">
        <v>80</v>
      </c>
      <c r="B101" s="61">
        <f>(302)/1.56</f>
        <v>193.58974358974359</v>
      </c>
      <c r="C101" s="90"/>
      <c r="D101" s="61"/>
      <c r="E101" s="57"/>
      <c r="F101" s="57"/>
      <c r="G101" s="57"/>
      <c r="H101" s="57"/>
      <c r="I101" s="56">
        <f t="shared" si="3"/>
        <v>3.974358974358978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85</v>
      </c>
      <c r="B102" s="53">
        <f>(311+20)/1.56</f>
        <v>212.17948717948718</v>
      </c>
      <c r="C102" s="53">
        <v>7</v>
      </c>
      <c r="D102" s="53">
        <v>25.641025641025639</v>
      </c>
      <c r="E102" s="57"/>
      <c r="F102" s="57"/>
      <c r="G102" s="57"/>
      <c r="H102" s="57"/>
      <c r="I102" s="56">
        <f t="shared" si="3"/>
        <v>3.7179487179487181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90</v>
      </c>
      <c r="B103" s="53">
        <f>320/1.56</f>
        <v>205.12820512820511</v>
      </c>
      <c r="C103" s="53"/>
      <c r="D103" s="53"/>
      <c r="E103" s="57"/>
      <c r="F103" s="57"/>
      <c r="G103" s="57"/>
      <c r="H103" s="57"/>
      <c r="I103" s="56">
        <f t="shared" si="3"/>
        <v>3.7179487179487127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95</v>
      </c>
      <c r="B104" s="53">
        <f>(328+19)/1.56</f>
        <v>222.43589743589743</v>
      </c>
      <c r="C104" s="53">
        <v>8</v>
      </c>
      <c r="D104" s="53">
        <v>23.717948717948715</v>
      </c>
      <c r="E104" s="57"/>
      <c r="F104" s="57"/>
      <c r="G104" s="57"/>
      <c r="H104" s="57"/>
      <c r="I104" s="56">
        <f t="shared" si="3"/>
        <v>3.4615384615384643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100</v>
      </c>
      <c r="B105" s="53">
        <f>335/1.56</f>
        <v>214.74358974358972</v>
      </c>
      <c r="C105" s="53"/>
      <c r="D105" s="53"/>
      <c r="E105" s="57"/>
      <c r="F105" s="57"/>
      <c r="G105" s="57"/>
      <c r="H105" s="57"/>
      <c r="I105" s="56">
        <f t="shared" si="3"/>
        <v>3.2051282051281986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110</v>
      </c>
      <c r="B106" s="53">
        <f>(349+17+18)/1.56</f>
        <v>246.15384615384613</v>
      </c>
      <c r="C106" s="53">
        <v>9</v>
      </c>
      <c r="D106" s="53">
        <f>(17+18+17)/1.56</f>
        <v>33.333333333333336</v>
      </c>
      <c r="E106" s="57"/>
      <c r="F106" s="57"/>
      <c r="G106" s="57"/>
      <c r="H106" s="57"/>
      <c r="I106" s="56">
        <f t="shared" si="3"/>
        <v>3.141025641025641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120</v>
      </c>
      <c r="B107" s="53">
        <f>(360+16)/1.56</f>
        <v>241.02564102564102</v>
      </c>
      <c r="C107" s="53">
        <v>10</v>
      </c>
      <c r="D107" s="53">
        <f>(360+16)/1.56</f>
        <v>241.02564102564102</v>
      </c>
      <c r="E107" s="57"/>
      <c r="F107" s="57"/>
      <c r="G107" s="57"/>
      <c r="H107" s="57"/>
      <c r="I107" s="56">
        <f t="shared" si="3"/>
        <v>2.8205128205128234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chevelu</v>
      </c>
      <c r="D110" s="255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8" t="s">
        <v>185</v>
      </c>
      <c r="C112" s="289" t="s">
        <v>186</v>
      </c>
      <c r="D112" s="289"/>
      <c r="E112" s="290" t="s">
        <v>187</v>
      </c>
      <c r="F112" s="291"/>
      <c r="G112" s="291"/>
      <c r="H112" s="292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1">
        <f>(47)/1.56</f>
        <v>30.128205128205128</v>
      </c>
      <c r="C114" s="61"/>
      <c r="D114" s="61"/>
      <c r="E114" s="54"/>
      <c r="F114" s="54"/>
      <c r="G114" s="54"/>
      <c r="H114" s="54"/>
      <c r="I114" s="56">
        <f>IFERROR(B114/A114,"")</f>
        <v>2.0085470085470085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1">
        <f>(86+6)/1.56</f>
        <v>58.974358974358971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5.7692307692307683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1">
        <f>(127+10+6)/1.56</f>
        <v>91.666666666666657</v>
      </c>
      <c r="C116" s="53">
        <v>1</v>
      </c>
      <c r="D116" s="61">
        <f>(13+6+10)/1.56</f>
        <v>18.589743589743588</v>
      </c>
      <c r="E116" s="54"/>
      <c r="F116" s="54"/>
      <c r="G116" s="54"/>
      <c r="H116" s="54">
        <v>1</v>
      </c>
      <c r="I116" s="56">
        <f t="shared" si="4"/>
        <v>6.5384615384615374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1">
        <f>(167/1.56)</f>
        <v>107.05128205128204</v>
      </c>
      <c r="C117" s="53"/>
      <c r="D117" s="61"/>
      <c r="E117" s="54"/>
      <c r="F117" s="54"/>
      <c r="G117" s="54"/>
      <c r="H117" s="54"/>
      <c r="I117" s="56">
        <f t="shared" si="4"/>
        <v>6.7948717948717956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1">
        <f>(205+15)/1.56</f>
        <v>141.02564102564102</v>
      </c>
      <c r="C118" s="53">
        <v>2</v>
      </c>
      <c r="D118" s="61">
        <f>(17+15)/1.56</f>
        <v>20.512820512820511</v>
      </c>
      <c r="E118" s="54"/>
      <c r="F118" s="54"/>
      <c r="G118" s="54"/>
      <c r="H118" s="54"/>
      <c r="I118" s="56">
        <f t="shared" si="4"/>
        <v>6.7948717948717956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1">
        <f>(239/1.56)</f>
        <v>153.2051282051282</v>
      </c>
      <c r="C119" s="53"/>
      <c r="D119" s="61"/>
      <c r="E119" s="54"/>
      <c r="F119" s="54"/>
      <c r="G119" s="54"/>
      <c r="H119" s="54"/>
      <c r="I119" s="56">
        <f t="shared" si="4"/>
        <v>6.5384615384615383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45</v>
      </c>
      <c r="B120" s="61">
        <f>(270+18)/1.56</f>
        <v>184.61538461538461</v>
      </c>
      <c r="C120" s="61">
        <v>3</v>
      </c>
      <c r="D120" s="61">
        <f>(19+18)/1.56</f>
        <v>23.717948717948715</v>
      </c>
      <c r="E120" s="54"/>
      <c r="F120" s="54"/>
      <c r="G120" s="54"/>
      <c r="H120" s="54"/>
      <c r="I120" s="56">
        <f t="shared" si="4"/>
        <v>6.2820512820512819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50</v>
      </c>
      <c r="B121" s="53">
        <f>(298/1.56)</f>
        <v>191.02564102564102</v>
      </c>
      <c r="C121" s="61"/>
      <c r="D121" s="53"/>
      <c r="E121" s="54"/>
      <c r="F121" s="54"/>
      <c r="G121" s="54"/>
      <c r="H121" s="54"/>
      <c r="I121" s="56">
        <f t="shared" si="4"/>
        <v>6.025641025641022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55</v>
      </c>
      <c r="B122" s="61">
        <f>(323+19)/1.56</f>
        <v>219.23076923076923</v>
      </c>
      <c r="C122" s="61">
        <v>4</v>
      </c>
      <c r="D122" s="61">
        <f>(19+19)/1.56</f>
        <v>24.358974358974358</v>
      </c>
      <c r="E122" s="54"/>
      <c r="F122" s="54"/>
      <c r="G122" s="54"/>
      <c r="H122" s="54"/>
      <c r="I122" s="56">
        <f t="shared" si="4"/>
        <v>5.6410256410256405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60</v>
      </c>
      <c r="B123" s="61">
        <f>345/1.56</f>
        <v>221.15384615384616</v>
      </c>
      <c r="C123" s="61"/>
      <c r="D123" s="61"/>
      <c r="E123" s="54"/>
      <c r="F123" s="54"/>
      <c r="G123" s="54"/>
      <c r="H123" s="54"/>
      <c r="I123" s="56">
        <f t="shared" si="4"/>
        <v>5.2564102564102599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65</v>
      </c>
      <c r="B124" s="61">
        <f>(365+19)/1.56</f>
        <v>246.15384615384613</v>
      </c>
      <c r="C124" s="61">
        <v>5</v>
      </c>
      <c r="D124" s="61">
        <f>(19+18)/1.56</f>
        <v>23.717948717948715</v>
      </c>
      <c r="E124" s="54"/>
      <c r="F124" s="54"/>
      <c r="G124" s="54"/>
      <c r="H124" s="54"/>
      <c r="I124" s="56">
        <f t="shared" si="4"/>
        <v>4.9999999999999947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70</v>
      </c>
      <c r="B125" s="61">
        <f>385/1.56</f>
        <v>246.7948717948718</v>
      </c>
      <c r="C125" s="61"/>
      <c r="D125" s="61"/>
      <c r="E125" s="54"/>
      <c r="F125" s="54"/>
      <c r="G125" s="54"/>
      <c r="H125" s="54"/>
      <c r="I125" s="56">
        <f t="shared" si="4"/>
        <v>4.8717948717948785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75</v>
      </c>
      <c r="B126" s="61">
        <f>(402+18)/1.56</f>
        <v>269.23076923076923</v>
      </c>
      <c r="C126" s="61">
        <v>6</v>
      </c>
      <c r="D126" s="61">
        <f>(18+18)/1.56</f>
        <v>23.076923076923077</v>
      </c>
      <c r="E126" s="54"/>
      <c r="F126" s="54"/>
      <c r="G126" s="54"/>
      <c r="H126" s="54"/>
      <c r="I126" s="56">
        <f t="shared" si="4"/>
        <v>4.4871794871794863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80</v>
      </c>
      <c r="B127" s="61">
        <f>418/1.56</f>
        <v>267.94871794871796</v>
      </c>
      <c r="C127" s="61"/>
      <c r="D127" s="61"/>
      <c r="E127" s="54"/>
      <c r="F127" s="54"/>
      <c r="G127" s="54"/>
      <c r="H127" s="54"/>
      <c r="I127" s="56">
        <f t="shared" si="4"/>
        <v>4.3589743589743595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85</v>
      </c>
      <c r="B128" s="61">
        <f>(432+17)/1.56</f>
        <v>287.82051282051282</v>
      </c>
      <c r="C128" s="53">
        <v>7</v>
      </c>
      <c r="D128" s="61">
        <f>(17+17)/1.56</f>
        <v>21.794871794871796</v>
      </c>
      <c r="E128" s="54"/>
      <c r="F128" s="54"/>
      <c r="G128" s="54"/>
      <c r="H128" s="54"/>
      <c r="I128" s="56">
        <f t="shared" si="4"/>
        <v>3.9743589743589722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90</v>
      </c>
      <c r="B129" s="53">
        <f>445/1.56</f>
        <v>285.25641025641022</v>
      </c>
      <c r="C129" s="53"/>
      <c r="D129" s="53"/>
      <c r="E129" s="54"/>
      <c r="F129" s="54"/>
      <c r="G129" s="54"/>
      <c r="H129" s="54"/>
      <c r="I129" s="56">
        <f t="shared" si="4"/>
        <v>3.8461538461538454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100</v>
      </c>
      <c r="B130" s="53">
        <f>(467+16+16)/1.56</f>
        <v>319.87179487179486</v>
      </c>
      <c r="C130" s="53">
        <v>8</v>
      </c>
      <c r="D130" s="53">
        <f>(16+16+16)/1.56</f>
        <v>30.769230769230766</v>
      </c>
      <c r="E130" s="54"/>
      <c r="F130" s="54"/>
      <c r="G130" s="54"/>
      <c r="H130" s="54"/>
      <c r="I130" s="56">
        <f t="shared" si="4"/>
        <v>3.4615384615384643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110</v>
      </c>
      <c r="B131" s="53">
        <f>(486+15)/1.56</f>
        <v>321.15384615384613</v>
      </c>
      <c r="C131" s="53">
        <v>9</v>
      </c>
      <c r="D131" s="53">
        <f>(15+15)/1.56</f>
        <v>19.23076923076923</v>
      </c>
      <c r="E131" s="54"/>
      <c r="F131" s="54"/>
      <c r="G131" s="54"/>
      <c r="H131" s="54"/>
      <c r="I131" s="56">
        <f t="shared" si="4"/>
        <v>3.2051282051282044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120</v>
      </c>
      <c r="B132" s="53">
        <f>(502+14)/1.56</f>
        <v>330.76923076923077</v>
      </c>
      <c r="C132" s="53">
        <v>10</v>
      </c>
      <c r="D132" s="53">
        <f>(14+14)/1.56</f>
        <v>17.948717948717949</v>
      </c>
      <c r="E132" s="54"/>
      <c r="F132" s="54"/>
      <c r="G132" s="54"/>
      <c r="H132" s="54"/>
      <c r="I132" s="56">
        <f t="shared" si="4"/>
        <v>2.8846153846153868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130</v>
      </c>
      <c r="B133" s="53">
        <f>(516+13)/1.56</f>
        <v>339.10256410256409</v>
      </c>
      <c r="C133" s="53">
        <v>11</v>
      </c>
      <c r="D133" s="53">
        <f>(516+13)/1.56</f>
        <v>339.10256410256409</v>
      </c>
      <c r="E133" s="54"/>
      <c r="F133" s="54"/>
      <c r="G133" s="54"/>
      <c r="H133" s="54"/>
      <c r="I133" s="56">
        <f t="shared" si="4"/>
        <v>2.6282051282051269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Chêne sessile</v>
      </c>
      <c r="D136" s="255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8" t="s">
        <v>185</v>
      </c>
      <c r="C138" s="289" t="s">
        <v>186</v>
      </c>
      <c r="D138" s="289"/>
      <c r="E138" s="290" t="s">
        <v>187</v>
      </c>
      <c r="F138" s="291"/>
      <c r="G138" s="291"/>
      <c r="H138" s="292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1">
        <f>62+8</f>
        <v>70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1">
        <f>76+8+21</f>
        <v>105</v>
      </c>
      <c r="C142" s="61">
        <v>1</v>
      </c>
      <c r="D142" s="61">
        <f>8+21</f>
        <v>29</v>
      </c>
      <c r="E142" s="54"/>
      <c r="F142" s="54"/>
      <c r="G142" s="54"/>
      <c r="H142" s="54">
        <v>1</v>
      </c>
      <c r="I142" s="59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1">
        <f>95+21</f>
        <v>116</v>
      </c>
      <c r="C143" s="61"/>
      <c r="D143" s="61"/>
      <c r="E143" s="54"/>
      <c r="F143" s="54"/>
      <c r="G143" s="54"/>
      <c r="H143" s="54"/>
      <c r="I143" s="59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1">
        <f>116+21+21</f>
        <v>158</v>
      </c>
      <c r="C144" s="61">
        <v>2</v>
      </c>
      <c r="D144" s="61">
        <f>21+21</f>
        <v>42</v>
      </c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1">
        <f>137+21</f>
        <v>158</v>
      </c>
      <c r="C145" s="61"/>
      <c r="D145" s="61"/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1">
        <f>157+21+21</f>
        <v>199</v>
      </c>
      <c r="C146" s="61">
        <v>3</v>
      </c>
      <c r="D146" s="61">
        <f>21+21</f>
        <v>42</v>
      </c>
      <c r="E146" s="54"/>
      <c r="F146" s="54"/>
      <c r="G146" s="54"/>
      <c r="H146" s="54"/>
      <c r="I146" s="59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61">
        <f>176+21</f>
        <v>197</v>
      </c>
      <c r="C147" s="61"/>
      <c r="D147" s="61"/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53">
        <v>235</v>
      </c>
      <c r="C148" s="53">
        <v>4</v>
      </c>
      <c r="D148" s="53">
        <v>42</v>
      </c>
      <c r="E148" s="54"/>
      <c r="F148" s="54"/>
      <c r="G148" s="54"/>
      <c r="H148" s="54"/>
      <c r="I148" s="59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53">
        <v>229</v>
      </c>
      <c r="C149" s="53"/>
      <c r="D149" s="53"/>
      <c r="E149" s="54"/>
      <c r="F149" s="54"/>
      <c r="G149" s="54"/>
      <c r="H149" s="54"/>
      <c r="I149" s="59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53">
        <v>263</v>
      </c>
      <c r="C150" s="53">
        <v>5</v>
      </c>
      <c r="D150" s="53">
        <v>42</v>
      </c>
      <c r="E150" s="54"/>
      <c r="F150" s="54"/>
      <c r="G150" s="54"/>
      <c r="H150" s="54"/>
      <c r="I150" s="59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53">
        <v>252</v>
      </c>
      <c r="C151" s="53"/>
      <c r="D151" s="53"/>
      <c r="E151" s="54"/>
      <c r="F151" s="54"/>
      <c r="G151" s="54"/>
      <c r="H151" s="54"/>
      <c r="I151" s="59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80</v>
      </c>
      <c r="B152" s="53">
        <v>282</v>
      </c>
      <c r="C152" s="53">
        <v>6</v>
      </c>
      <c r="D152" s="53">
        <v>42</v>
      </c>
      <c r="E152" s="54"/>
      <c r="F152" s="54"/>
      <c r="G152" s="54"/>
      <c r="H152" s="54"/>
      <c r="I152" s="59">
        <f t="shared" si="5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90</v>
      </c>
      <c r="B153" s="53">
        <v>296</v>
      </c>
      <c r="C153" s="53">
        <v>7</v>
      </c>
      <c r="D153" s="53">
        <v>42</v>
      </c>
      <c r="E153" s="54"/>
      <c r="F153" s="54"/>
      <c r="G153" s="54"/>
      <c r="H153" s="54"/>
      <c r="I153" s="59">
        <f t="shared" si="5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100</v>
      </c>
      <c r="B154" s="53">
        <v>303</v>
      </c>
      <c r="C154" s="53">
        <v>8</v>
      </c>
      <c r="D154" s="53">
        <v>42</v>
      </c>
      <c r="E154" s="54"/>
      <c r="F154" s="54"/>
      <c r="G154" s="54"/>
      <c r="H154" s="54"/>
      <c r="I154" s="59">
        <f t="shared" si="5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110</v>
      </c>
      <c r="B155" s="53">
        <v>305</v>
      </c>
      <c r="C155" s="53">
        <v>9</v>
      </c>
      <c r="D155" s="53">
        <v>39</v>
      </c>
      <c r="E155" s="54"/>
      <c r="F155" s="54"/>
      <c r="G155" s="54"/>
      <c r="H155" s="54"/>
      <c r="I155" s="59">
        <f t="shared" si="5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120</v>
      </c>
      <c r="B156" s="53">
        <v>303</v>
      </c>
      <c r="C156" s="53">
        <v>10</v>
      </c>
      <c r="D156" s="53">
        <v>35</v>
      </c>
      <c r="E156" s="54"/>
      <c r="F156" s="54"/>
      <c r="G156" s="54"/>
      <c r="H156" s="54"/>
      <c r="I156" s="59">
        <f t="shared" si="5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130</v>
      </c>
      <c r="B157" s="53">
        <v>300</v>
      </c>
      <c r="C157" s="53">
        <v>11</v>
      </c>
      <c r="D157" s="53">
        <v>31</v>
      </c>
      <c r="E157" s="54"/>
      <c r="F157" s="54"/>
      <c r="G157" s="54"/>
      <c r="H157" s="54"/>
      <c r="I157" s="59">
        <f t="shared" si="5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140</v>
      </c>
      <c r="B158" s="53">
        <v>296</v>
      </c>
      <c r="C158" s="53">
        <v>12</v>
      </c>
      <c r="D158" s="53">
        <v>27</v>
      </c>
      <c r="E158" s="54"/>
      <c r="F158" s="54"/>
      <c r="G158" s="54"/>
      <c r="H158" s="54"/>
      <c r="I158" s="59">
        <f t="shared" si="5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150</v>
      </c>
      <c r="B159" s="53">
        <v>293</v>
      </c>
      <c r="C159" s="53">
        <v>13</v>
      </c>
      <c r="D159" s="53">
        <v>293</v>
      </c>
      <c r="E159" s="54"/>
      <c r="F159" s="54"/>
      <c r="G159" s="54"/>
      <c r="H159" s="54"/>
      <c r="I159" s="59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Cormier</v>
      </c>
      <c r="D162" s="255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8" t="s">
        <v>185</v>
      </c>
      <c r="C164" s="289" t="s">
        <v>186</v>
      </c>
      <c r="D164" s="289"/>
      <c r="E164" s="290" t="s">
        <v>187</v>
      </c>
      <c r="F164" s="291"/>
      <c r="G164" s="291"/>
      <c r="H164" s="292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1">
        <v>42</v>
      </c>
      <c r="C166" s="61"/>
      <c r="D166" s="61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1">
        <f>62+8</f>
        <v>70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1">
        <f>76+8+21</f>
        <v>105</v>
      </c>
      <c r="C168" s="61">
        <v>1</v>
      </c>
      <c r="D168" s="61">
        <f>8+21</f>
        <v>29</v>
      </c>
      <c r="E168" s="54"/>
      <c r="F168" s="54"/>
      <c r="G168" s="54"/>
      <c r="H168" s="54">
        <v>1</v>
      </c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1">
        <f>95+21</f>
        <v>116</v>
      </c>
      <c r="C169" s="61"/>
      <c r="D169" s="61"/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1">
        <f>116+21+21</f>
        <v>158</v>
      </c>
      <c r="C170" s="61">
        <v>2</v>
      </c>
      <c r="D170" s="61">
        <f>21+21</f>
        <v>42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1">
        <f>137+21</f>
        <v>158</v>
      </c>
      <c r="C171" s="61"/>
      <c r="D171" s="61"/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1">
        <f>157+21+21</f>
        <v>199</v>
      </c>
      <c r="C172" s="61">
        <v>3</v>
      </c>
      <c r="D172" s="61">
        <f>21+21</f>
        <v>42</v>
      </c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61">
        <f>176+21</f>
        <v>197</v>
      </c>
      <c r="C173" s="61"/>
      <c r="D173" s="61"/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53">
        <v>235</v>
      </c>
      <c r="C174" s="53">
        <v>4</v>
      </c>
      <c r="D174" s="53">
        <v>42</v>
      </c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53">
        <v>229</v>
      </c>
      <c r="C175" s="53"/>
      <c r="D175" s="53"/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53">
        <v>263</v>
      </c>
      <c r="C176" s="53">
        <v>5</v>
      </c>
      <c r="D176" s="53">
        <v>42</v>
      </c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53">
        <v>252</v>
      </c>
      <c r="C177" s="53"/>
      <c r="D177" s="53"/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80</v>
      </c>
      <c r="B178" s="53">
        <v>282</v>
      </c>
      <c r="C178" s="53">
        <v>6</v>
      </c>
      <c r="D178" s="53">
        <v>42</v>
      </c>
      <c r="E178" s="54"/>
      <c r="F178" s="54"/>
      <c r="G178" s="54"/>
      <c r="H178" s="54"/>
      <c r="I178" s="52">
        <f t="shared" si="6"/>
        <v>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90</v>
      </c>
      <c r="B179" s="53">
        <v>296</v>
      </c>
      <c r="C179" s="53">
        <v>7</v>
      </c>
      <c r="D179" s="53">
        <v>42</v>
      </c>
      <c r="E179" s="54"/>
      <c r="F179" s="54"/>
      <c r="G179" s="54"/>
      <c r="H179" s="54"/>
      <c r="I179" s="52">
        <f t="shared" si="6"/>
        <v>5.6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100</v>
      </c>
      <c r="B180" s="53">
        <v>303</v>
      </c>
      <c r="C180" s="53">
        <v>8</v>
      </c>
      <c r="D180" s="53">
        <v>42</v>
      </c>
      <c r="E180" s="54"/>
      <c r="F180" s="54"/>
      <c r="G180" s="54"/>
      <c r="H180" s="54"/>
      <c r="I180" s="52">
        <f t="shared" si="6"/>
        <v>4.9000000000000004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110</v>
      </c>
      <c r="B181" s="53">
        <v>305</v>
      </c>
      <c r="C181" s="53">
        <v>9</v>
      </c>
      <c r="D181" s="53">
        <v>39</v>
      </c>
      <c r="E181" s="54"/>
      <c r="F181" s="54"/>
      <c r="G181" s="54"/>
      <c r="H181" s="54"/>
      <c r="I181" s="52">
        <f t="shared" si="6"/>
        <v>4.4000000000000004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120</v>
      </c>
      <c r="B182" s="53">
        <v>303</v>
      </c>
      <c r="C182" s="53">
        <v>10</v>
      </c>
      <c r="D182" s="53">
        <v>35</v>
      </c>
      <c r="E182" s="54"/>
      <c r="F182" s="54"/>
      <c r="G182" s="54"/>
      <c r="H182" s="54"/>
      <c r="I182" s="52">
        <f t="shared" si="6"/>
        <v>3.7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130</v>
      </c>
      <c r="B183" s="53">
        <v>300</v>
      </c>
      <c r="C183" s="53">
        <v>11</v>
      </c>
      <c r="D183" s="53">
        <v>31</v>
      </c>
      <c r="E183" s="54"/>
      <c r="F183" s="54"/>
      <c r="G183" s="54"/>
      <c r="H183" s="54"/>
      <c r="I183" s="52">
        <f t="shared" si="6"/>
        <v>3.2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140</v>
      </c>
      <c r="B184" s="53">
        <v>296</v>
      </c>
      <c r="C184" s="53">
        <v>12</v>
      </c>
      <c r="D184" s="53">
        <v>27</v>
      </c>
      <c r="E184" s="54"/>
      <c r="F184" s="54"/>
      <c r="G184" s="54"/>
      <c r="H184" s="54"/>
      <c r="I184" s="52">
        <f t="shared" si="6"/>
        <v>2.7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150</v>
      </c>
      <c r="B185" s="53">
        <v>293</v>
      </c>
      <c r="C185" s="53">
        <v>13</v>
      </c>
      <c r="D185" s="53">
        <v>293</v>
      </c>
      <c r="E185" s="54"/>
      <c r="F185" s="54"/>
      <c r="G185" s="54"/>
      <c r="H185" s="54"/>
      <c r="I185" s="52">
        <f t="shared" si="6"/>
        <v>2.4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Erable plane</v>
      </c>
      <c r="D188" s="255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8" t="s">
        <v>185</v>
      </c>
      <c r="C190" s="289" t="s">
        <v>186</v>
      </c>
      <c r="D190" s="289"/>
      <c r="E190" s="290" t="s">
        <v>187</v>
      </c>
      <c r="F190" s="291"/>
      <c r="G190" s="291"/>
      <c r="H190" s="292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15</v>
      </c>
      <c r="B192" s="61">
        <f>8.9+0</f>
        <v>8.9</v>
      </c>
      <c r="C192" s="61"/>
      <c r="D192" s="61"/>
      <c r="E192" s="54"/>
      <c r="F192" s="54"/>
      <c r="G192" s="54"/>
      <c r="H192" s="54"/>
      <c r="I192" s="52">
        <f>IFERROR(B192/A192,"")</f>
        <v>0.59333333333333338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20</v>
      </c>
      <c r="B193" s="61">
        <f>35.7+21+0</f>
        <v>56.7</v>
      </c>
      <c r="C193" s="61">
        <v>1</v>
      </c>
      <c r="D193" s="61">
        <f>21</f>
        <v>21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9.56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25</v>
      </c>
      <c r="B194" s="61">
        <f>65.3+21</f>
        <v>86.3</v>
      </c>
      <c r="C194" s="61"/>
      <c r="D194" s="61"/>
      <c r="E194" s="54"/>
      <c r="F194" s="54"/>
      <c r="G194" s="54"/>
      <c r="H194" s="54"/>
      <c r="I194" s="52">
        <f t="shared" si="7"/>
        <v>10.119999999999999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30</v>
      </c>
      <c r="B195" s="61">
        <f>92.5+21+21</f>
        <v>134.5</v>
      </c>
      <c r="C195" s="61">
        <v>2</v>
      </c>
      <c r="D195" s="61">
        <f>21+21</f>
        <v>42</v>
      </c>
      <c r="E195" s="54"/>
      <c r="F195" s="54"/>
      <c r="G195" s="54"/>
      <c r="H195" s="54">
        <v>1</v>
      </c>
      <c r="I195" s="52">
        <f t="shared" si="7"/>
        <v>9.64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35</v>
      </c>
      <c r="B196" s="61">
        <f>115.1+21</f>
        <v>136.1</v>
      </c>
      <c r="C196" s="61"/>
      <c r="D196" s="61"/>
      <c r="E196" s="54"/>
      <c r="F196" s="54"/>
      <c r="G196" s="54"/>
      <c r="H196" s="54"/>
      <c r="I196" s="52">
        <f t="shared" si="7"/>
        <v>8.7199999999999989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40</v>
      </c>
      <c r="B197" s="61">
        <f>132+21+21</f>
        <v>174</v>
      </c>
      <c r="C197" s="61">
        <v>3</v>
      </c>
      <c r="D197" s="61">
        <f>21+21</f>
        <v>42</v>
      </c>
      <c r="E197" s="54"/>
      <c r="F197" s="54"/>
      <c r="G197" s="54"/>
      <c r="H197" s="54"/>
      <c r="I197" s="52">
        <f t="shared" si="7"/>
        <v>7.580000000000001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45</v>
      </c>
      <c r="B198" s="61">
        <f>146.3+18.3</f>
        <v>164.60000000000002</v>
      </c>
      <c r="C198" s="53"/>
      <c r="D198" s="61"/>
      <c r="E198" s="54"/>
      <c r="F198" s="54"/>
      <c r="G198" s="54"/>
      <c r="H198" s="54"/>
      <c r="I198" s="52">
        <f t="shared" si="7"/>
        <v>6.5200000000000049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50</v>
      </c>
      <c r="B199" s="61">
        <f>161.4+12.8+18.3</f>
        <v>192.50000000000003</v>
      </c>
      <c r="C199" s="53">
        <v>4</v>
      </c>
      <c r="D199" s="61">
        <f>12.8+18.3</f>
        <v>31.1</v>
      </c>
      <c r="E199" s="54"/>
      <c r="F199" s="54"/>
      <c r="G199" s="54"/>
      <c r="H199" s="54"/>
      <c r="I199" s="52">
        <f t="shared" si="7"/>
        <v>5.580000000000001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55</v>
      </c>
      <c r="B200" s="61">
        <f>174.2+11</f>
        <v>185.2</v>
      </c>
      <c r="C200" s="53"/>
      <c r="D200" s="61"/>
      <c r="E200" s="54"/>
      <c r="F200" s="54"/>
      <c r="G200" s="54"/>
      <c r="H200" s="54"/>
      <c r="I200" s="52">
        <f t="shared" si="7"/>
        <v>4.7599999999999909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60</v>
      </c>
      <c r="B201" s="61">
        <f>185.2+9.3+11</f>
        <v>205.5</v>
      </c>
      <c r="C201" s="53">
        <v>5</v>
      </c>
      <c r="D201" s="61">
        <f>9.3+11</f>
        <v>20.3</v>
      </c>
      <c r="E201" s="54"/>
      <c r="F201" s="54"/>
      <c r="G201" s="54"/>
      <c r="H201" s="54"/>
      <c r="I201" s="52">
        <f t="shared" si="7"/>
        <v>4.0600000000000023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65</v>
      </c>
      <c r="B202" s="61">
        <f>194+8.4</f>
        <v>202.4</v>
      </c>
      <c r="C202" s="53"/>
      <c r="D202" s="61"/>
      <c r="E202" s="54"/>
      <c r="F202" s="54"/>
      <c r="G202" s="54"/>
      <c r="H202" s="54"/>
      <c r="I202" s="52">
        <f t="shared" si="7"/>
        <v>3.4400000000000035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70</v>
      </c>
      <c r="B203" s="61">
        <f>201.1+7.5+8.4</f>
        <v>217</v>
      </c>
      <c r="C203" s="53">
        <v>6</v>
      </c>
      <c r="D203" s="61">
        <f>7.5+8.4</f>
        <v>15.9</v>
      </c>
      <c r="E203" s="54"/>
      <c r="F203" s="54"/>
      <c r="G203" s="54"/>
      <c r="H203" s="54"/>
      <c r="I203" s="52">
        <f t="shared" si="7"/>
        <v>2.919999999999999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75</v>
      </c>
      <c r="B204" s="61">
        <f>207.4+6.6</f>
        <v>214</v>
      </c>
      <c r="C204" s="53">
        <v>7</v>
      </c>
      <c r="D204" s="61">
        <f>6.6</f>
        <v>6.6</v>
      </c>
      <c r="E204" s="54"/>
      <c r="F204" s="54"/>
      <c r="G204" s="54"/>
      <c r="H204" s="54"/>
      <c r="I204" s="52">
        <f t="shared" si="7"/>
        <v>2.580000000000001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80</v>
      </c>
      <c r="B205" s="61">
        <f>213.1</f>
        <v>213.1</v>
      </c>
      <c r="C205" s="53">
        <v>8</v>
      </c>
      <c r="D205" s="61">
        <f>213.1</f>
        <v>213.1</v>
      </c>
      <c r="E205" s="54"/>
      <c r="F205" s="54"/>
      <c r="G205" s="54"/>
      <c r="H205" s="54"/>
      <c r="I205" s="52">
        <f t="shared" si="7"/>
        <v>1.1399999999999977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Merisier</v>
      </c>
      <c r="D214" s="255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8" t="s">
        <v>185</v>
      </c>
      <c r="C216" s="289" t="s">
        <v>186</v>
      </c>
      <c r="D216" s="289"/>
      <c r="E216" s="290" t="s">
        <v>187</v>
      </c>
      <c r="F216" s="291"/>
      <c r="G216" s="291"/>
      <c r="H216" s="292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15</v>
      </c>
      <c r="B218" s="61">
        <v>40</v>
      </c>
      <c r="C218" s="53"/>
      <c r="D218" s="61"/>
      <c r="E218" s="54"/>
      <c r="F218" s="54"/>
      <c r="G218" s="54"/>
      <c r="H218" s="54"/>
      <c r="I218" s="56">
        <f>IFERROR(B218/A218,"")</f>
        <v>2.6666666666666665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20</v>
      </c>
      <c r="B219" s="61">
        <v>88</v>
      </c>
      <c r="C219" s="53">
        <v>1</v>
      </c>
      <c r="D219" s="61">
        <v>28</v>
      </c>
      <c r="E219" s="54"/>
      <c r="F219" s="54"/>
      <c r="G219" s="54"/>
      <c r="H219" s="54">
        <v>1</v>
      </c>
      <c r="I219" s="56">
        <f t="shared" ref="I219:I237" si="8">IF(A219&lt;&gt;0,(B219-(B218-D218))/(A219-A218),"")</f>
        <v>9.6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25</v>
      </c>
      <c r="B220" s="61">
        <v>113</v>
      </c>
      <c r="C220" s="53">
        <v>2</v>
      </c>
      <c r="D220" s="61">
        <v>27</v>
      </c>
      <c r="E220" s="54"/>
      <c r="F220" s="54"/>
      <c r="G220" s="54"/>
      <c r="H220" s="54">
        <v>1</v>
      </c>
      <c r="I220" s="56">
        <f t="shared" si="8"/>
        <v>10.6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31</v>
      </c>
      <c r="B221" s="61">
        <v>155</v>
      </c>
      <c r="C221" s="53">
        <v>3</v>
      </c>
      <c r="D221" s="61">
        <v>36</v>
      </c>
      <c r="E221" s="54"/>
      <c r="F221" s="54"/>
      <c r="G221" s="54"/>
      <c r="H221" s="54">
        <v>1</v>
      </c>
      <c r="I221" s="56">
        <f t="shared" si="8"/>
        <v>11.5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37</v>
      </c>
      <c r="B222" s="61">
        <v>188</v>
      </c>
      <c r="C222" s="53">
        <v>4</v>
      </c>
      <c r="D222" s="61">
        <v>36</v>
      </c>
      <c r="E222" s="54"/>
      <c r="F222" s="54"/>
      <c r="G222" s="54"/>
      <c r="H222" s="54"/>
      <c r="I222" s="56">
        <f t="shared" si="8"/>
        <v>11.5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44</v>
      </c>
      <c r="B223" s="61">
        <v>230</v>
      </c>
      <c r="C223" s="53">
        <v>5</v>
      </c>
      <c r="D223" s="61">
        <v>43</v>
      </c>
      <c r="E223" s="64"/>
      <c r="F223" s="64"/>
      <c r="G223" s="64"/>
      <c r="H223" s="64"/>
      <c r="I223" s="56">
        <f t="shared" si="8"/>
        <v>11.142857142857142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52</v>
      </c>
      <c r="B224" s="61">
        <v>270</v>
      </c>
      <c r="C224" s="53">
        <v>6</v>
      </c>
      <c r="D224" s="61">
        <v>48</v>
      </c>
      <c r="E224" s="64"/>
      <c r="F224" s="64"/>
      <c r="G224" s="64"/>
      <c r="H224" s="64"/>
      <c r="I224" s="56">
        <f t="shared" si="8"/>
        <v>10.375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>
        <v>60</v>
      </c>
      <c r="B225" s="58">
        <v>297</v>
      </c>
      <c r="C225" s="58">
        <v>7</v>
      </c>
      <c r="D225" s="58">
        <v>47</v>
      </c>
      <c r="E225" s="64"/>
      <c r="F225" s="64"/>
      <c r="G225" s="64"/>
      <c r="H225" s="64"/>
      <c r="I225" s="56">
        <f t="shared" si="8"/>
        <v>9.375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>
        <v>69</v>
      </c>
      <c r="B226" s="58">
        <v>328</v>
      </c>
      <c r="C226" s="58">
        <v>8</v>
      </c>
      <c r="D226" s="58">
        <v>328</v>
      </c>
      <c r="E226" s="64"/>
      <c r="F226" s="64"/>
      <c r="G226" s="64"/>
      <c r="H226" s="64"/>
      <c r="I226" s="56">
        <f t="shared" si="8"/>
        <v>8.6666666666666661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0"/>
      <c r="B231" s="61"/>
      <c r="C231" s="90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Pin maritime</v>
      </c>
      <c r="D240" s="255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8" t="s">
        <v>185</v>
      </c>
      <c r="C242" s="289" t="s">
        <v>186</v>
      </c>
      <c r="D242" s="289"/>
      <c r="E242" s="290" t="s">
        <v>187</v>
      </c>
      <c r="F242" s="291"/>
      <c r="G242" s="291"/>
      <c r="H242" s="292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12</v>
      </c>
      <c r="B244" s="61">
        <v>38.8705</v>
      </c>
      <c r="C244" s="61"/>
      <c r="D244" s="61"/>
      <c r="E244" s="54"/>
      <c r="F244" s="54"/>
      <c r="G244" s="54"/>
      <c r="H244" s="54"/>
      <c r="I244" s="56">
        <f>IFERROR(B244/A244,"")</f>
        <v>3.2392083333333335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13</v>
      </c>
      <c r="B245" s="61">
        <v>53.7455</v>
      </c>
      <c r="C245" s="61"/>
      <c r="D245" s="61"/>
      <c r="E245" s="54"/>
      <c r="F245" s="54"/>
      <c r="G245" s="54"/>
      <c r="H245" s="54"/>
      <c r="I245" s="56">
        <f>IF(A245&lt;&gt;0,(B245-(B244-D244))/(A245-A244),"")</f>
        <v>14.875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14</v>
      </c>
      <c r="B246" s="61">
        <v>70.405500000000004</v>
      </c>
      <c r="C246" s="61"/>
      <c r="D246" s="61"/>
      <c r="E246" s="54"/>
      <c r="F246" s="54"/>
      <c r="G246" s="54"/>
      <c r="H246" s="54"/>
      <c r="I246" s="56">
        <f>IF(A246&lt;&gt;0,(B246-(B245-D245))/(A246-A245),"")</f>
        <v>16.660000000000004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15</v>
      </c>
      <c r="B247" s="61">
        <v>88.859000000000009</v>
      </c>
      <c r="C247" s="61">
        <v>1</v>
      </c>
      <c r="D247" s="61">
        <v>23.3155</v>
      </c>
      <c r="E247" s="54"/>
      <c r="F247" s="54">
        <v>0.5</v>
      </c>
      <c r="G247" s="54">
        <v>0.5</v>
      </c>
      <c r="H247" s="54"/>
      <c r="I247" s="56">
        <f t="shared" ref="I247:I263" si="9">IF(A247&lt;&gt;0,(B247-(B246-D246))/(A247-A246),"")</f>
        <v>18.453500000000005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16</v>
      </c>
      <c r="B248" s="61">
        <v>78.208500000000001</v>
      </c>
      <c r="C248" s="61"/>
      <c r="D248" s="61"/>
      <c r="E248" s="54"/>
      <c r="F248" s="54"/>
      <c r="G248" s="54"/>
      <c r="H248" s="54"/>
      <c r="I248" s="56">
        <f t="shared" si="9"/>
        <v>12.664999999999992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17</v>
      </c>
      <c r="B249" s="61">
        <v>88.340500000000006</v>
      </c>
      <c r="C249" s="61"/>
      <c r="D249" s="61"/>
      <c r="E249" s="54"/>
      <c r="F249" s="54"/>
      <c r="G249" s="54"/>
      <c r="H249" s="54"/>
      <c r="I249" s="56">
        <f t="shared" si="9"/>
        <v>10.132000000000005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>
        <v>18</v>
      </c>
      <c r="B250" s="61">
        <v>100.55499999999999</v>
      </c>
      <c r="C250" s="61"/>
      <c r="D250" s="61"/>
      <c r="E250" s="54"/>
      <c r="F250" s="54"/>
      <c r="G250" s="54"/>
      <c r="H250" s="54"/>
      <c r="I250" s="56">
        <f t="shared" si="9"/>
        <v>12.214499999999987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279">
        <v>19</v>
      </c>
      <c r="B251" s="61">
        <v>113.679</v>
      </c>
      <c r="C251" s="61"/>
      <c r="D251" s="61"/>
      <c r="E251" s="54"/>
      <c r="F251" s="54"/>
      <c r="G251" s="54"/>
      <c r="H251" s="54"/>
      <c r="I251" s="56">
        <f t="shared" si="9"/>
        <v>13.124000000000009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279">
        <v>20</v>
      </c>
      <c r="B252" s="61">
        <v>130.203</v>
      </c>
      <c r="C252" s="61">
        <v>2</v>
      </c>
      <c r="D252" s="61">
        <v>34.110500000000002</v>
      </c>
      <c r="E252" s="54">
        <v>0.25</v>
      </c>
      <c r="F252" s="54">
        <v>0.375</v>
      </c>
      <c r="G252" s="54">
        <v>0.375</v>
      </c>
      <c r="H252" s="54"/>
      <c r="I252" s="56">
        <f t="shared" si="9"/>
        <v>16.524000000000001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279">
        <v>21</v>
      </c>
      <c r="B253" s="61">
        <v>110.82299999999999</v>
      </c>
      <c r="C253" s="61"/>
      <c r="D253" s="61"/>
      <c r="E253" s="54"/>
      <c r="F253" s="54"/>
      <c r="G253" s="54"/>
      <c r="H253" s="54"/>
      <c r="I253" s="56">
        <f t="shared" si="9"/>
        <v>14.730499999999992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279">
        <v>22</v>
      </c>
      <c r="B254" s="61">
        <v>126.871</v>
      </c>
      <c r="C254" s="61"/>
      <c r="D254" s="61"/>
      <c r="E254" s="54"/>
      <c r="F254" s="54"/>
      <c r="G254" s="54"/>
      <c r="H254" s="54"/>
      <c r="I254" s="56">
        <f t="shared" si="9"/>
        <v>16.048000000000002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279">
        <v>23</v>
      </c>
      <c r="B255" s="61">
        <v>143.72650000000002</v>
      </c>
      <c r="C255" s="61"/>
      <c r="D255" s="61"/>
      <c r="E255" s="54"/>
      <c r="F255" s="54"/>
      <c r="G255" s="54"/>
      <c r="H255" s="54"/>
      <c r="I255" s="56">
        <f t="shared" si="9"/>
        <v>16.855500000000021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279">
        <v>24</v>
      </c>
      <c r="B256" s="61">
        <v>161.67850000000001</v>
      </c>
      <c r="C256" s="61"/>
      <c r="D256" s="61"/>
      <c r="E256" s="54"/>
      <c r="F256" s="54"/>
      <c r="G256" s="54"/>
      <c r="H256" s="54"/>
      <c r="I256" s="56">
        <f t="shared" si="9"/>
        <v>17.951999999999998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279">
        <v>25</v>
      </c>
      <c r="B257" s="61">
        <v>180.251</v>
      </c>
      <c r="C257" s="61"/>
      <c r="D257" s="61"/>
      <c r="E257" s="54"/>
      <c r="F257" s="54"/>
      <c r="G257" s="54"/>
      <c r="H257" s="54"/>
      <c r="I257" s="56">
        <f t="shared" si="9"/>
        <v>18.572499999999991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279">
        <v>27</v>
      </c>
      <c r="B258" s="61">
        <v>218.36499999999998</v>
      </c>
      <c r="C258" s="61">
        <v>3</v>
      </c>
      <c r="D258" s="61">
        <v>54.518999999999998</v>
      </c>
      <c r="E258" s="54">
        <v>0.6</v>
      </c>
      <c r="F258" s="54">
        <v>0.2</v>
      </c>
      <c r="G258" s="54">
        <v>0.2</v>
      </c>
      <c r="H258" s="54"/>
      <c r="I258" s="56">
        <f t="shared" si="9"/>
        <v>19.056999999999988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279">
        <v>30</v>
      </c>
      <c r="B259" s="53">
        <v>211.072</v>
      </c>
      <c r="C259" s="53"/>
      <c r="D259" s="53"/>
      <c r="E259" s="54"/>
      <c r="F259" s="54"/>
      <c r="G259" s="54"/>
      <c r="H259" s="54"/>
      <c r="I259" s="56">
        <f t="shared" si="9"/>
        <v>15.74200000000001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279">
        <v>32</v>
      </c>
      <c r="B260" s="53">
        <v>243.36350000000002</v>
      </c>
      <c r="C260" s="53">
        <v>4</v>
      </c>
      <c r="D260" s="53">
        <v>62.73</v>
      </c>
      <c r="E260" s="54"/>
      <c r="F260" s="54"/>
      <c r="G260" s="54"/>
      <c r="H260" s="54"/>
      <c r="I260" s="56">
        <f t="shared" si="9"/>
        <v>16.145750000000007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279">
        <v>37</v>
      </c>
      <c r="B261" s="53">
        <v>245.327</v>
      </c>
      <c r="C261" s="53"/>
      <c r="D261" s="53"/>
      <c r="E261" s="54"/>
      <c r="F261" s="54"/>
      <c r="G261" s="54"/>
      <c r="H261" s="54"/>
      <c r="I261" s="56">
        <f t="shared" si="9"/>
        <v>12.938699999999994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279">
        <v>42</v>
      </c>
      <c r="B262" s="53">
        <v>311.32100000000003</v>
      </c>
      <c r="C262" s="53"/>
      <c r="D262" s="53"/>
      <c r="E262" s="54"/>
      <c r="F262" s="54"/>
      <c r="G262" s="54"/>
      <c r="H262" s="54"/>
      <c r="I262" s="56">
        <f t="shared" si="9"/>
        <v>13.198800000000006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279">
        <v>44</v>
      </c>
      <c r="B263" s="53">
        <v>337.78999999999996</v>
      </c>
      <c r="C263" s="53">
        <v>5</v>
      </c>
      <c r="D263" s="53">
        <v>337.78999999999996</v>
      </c>
      <c r="E263" s="54"/>
      <c r="F263" s="54"/>
      <c r="G263" s="54"/>
      <c r="H263" s="54"/>
      <c r="I263" s="56">
        <f t="shared" si="9"/>
        <v>13.234499999999969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5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8" t="s">
        <v>185</v>
      </c>
      <c r="C268" s="289" t="s">
        <v>186</v>
      </c>
      <c r="D268" s="289"/>
      <c r="E268" s="290" t="s">
        <v>187</v>
      </c>
      <c r="F268" s="291"/>
      <c r="G268" s="291"/>
      <c r="H268" s="292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0"/>
      <c r="B283" s="61"/>
      <c r="C283" s="90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8" bestFit="1" customWidth="1"/>
    <col min="2" max="4" width="11.44140625" style="68"/>
    <col min="5" max="5" width="9.5546875" style="68" customWidth="1"/>
    <col min="6" max="7" width="11.44140625" style="68"/>
    <col min="8" max="8" width="10.6640625" style="68" customWidth="1"/>
    <col min="9" max="9" width="9.44140625" style="68" customWidth="1"/>
    <col min="10" max="11" width="10.5546875" style="68" bestFit="1" customWidth="1"/>
    <col min="12" max="12" width="14" style="68" bestFit="1" customWidth="1"/>
    <col min="13" max="13" width="14" style="68" customWidth="1"/>
    <col min="14" max="23" width="11.44140625" style="68"/>
    <col min="24" max="24" width="11.6640625" style="68" bestFit="1" customWidth="1"/>
    <col min="25" max="25" width="14.5546875" style="68" bestFit="1" customWidth="1"/>
    <col min="26" max="26" width="12.44140625" style="68" bestFit="1" customWidth="1"/>
    <col min="27" max="27" width="9.6640625" style="68" bestFit="1" customWidth="1"/>
    <col min="28" max="28" width="11" style="68" bestFit="1" customWidth="1"/>
    <col min="29" max="29" width="9.44140625" style="68" bestFit="1" customWidth="1"/>
    <col min="30" max="31" width="9.44140625" style="68" customWidth="1"/>
    <col min="32" max="32" width="11.44140625" style="68"/>
    <col min="33" max="34" width="14" style="68" bestFit="1" customWidth="1"/>
    <col min="35" max="35" width="10.5546875" style="68" bestFit="1" customWidth="1"/>
    <col min="36" max="36" width="9.44140625" style="68" bestFit="1" customWidth="1"/>
    <col min="37" max="38" width="10.5546875" style="68" bestFit="1" customWidth="1"/>
    <col min="39" max="41" width="10.5546875" style="68" customWidth="1"/>
    <col min="42" max="42" width="9" style="68" bestFit="1" customWidth="1"/>
    <col min="43" max="43" width="10.5546875" style="68" bestFit="1" customWidth="1"/>
    <col min="44" max="44" width="9.33203125" style="68" bestFit="1" customWidth="1"/>
    <col min="45" max="45" width="11.6640625" style="68" bestFit="1" customWidth="1"/>
    <col min="46" max="46" width="8.44140625" style="68" bestFit="1" customWidth="1"/>
    <col min="47" max="47" width="9.44140625" style="68" bestFit="1" customWidth="1"/>
    <col min="48" max="48" width="9.6640625" style="68" bestFit="1" customWidth="1"/>
    <col min="49" max="49" width="11" style="68" bestFit="1" customWidth="1"/>
    <col min="50" max="50" width="9.44140625" style="68" bestFit="1" customWidth="1"/>
    <col min="51" max="52" width="9.44140625" style="68" customWidth="1"/>
    <col min="53" max="53" width="10.5546875" style="68" bestFit="1" customWidth="1"/>
    <col min="54" max="54" width="14.33203125" style="68" customWidth="1"/>
    <col min="55" max="55" width="14" style="68" customWidth="1"/>
    <col min="56" max="56" width="10.5546875" style="68" bestFit="1" customWidth="1"/>
    <col min="57" max="57" width="9.44140625" style="68" bestFit="1" customWidth="1"/>
    <col min="58" max="59" width="10.5546875" style="68" bestFit="1" customWidth="1"/>
    <col min="60" max="62" width="10.5546875" style="68" customWidth="1"/>
    <col min="63" max="63" width="9" style="68" bestFit="1" customWidth="1"/>
    <col min="64" max="64" width="10.5546875" style="68" bestFit="1" customWidth="1"/>
    <col min="65" max="65" width="9.33203125" style="68" bestFit="1" customWidth="1"/>
    <col min="66" max="66" width="11.6640625" style="68" bestFit="1" customWidth="1"/>
    <col min="67" max="67" width="8.44140625" style="68" bestFit="1" customWidth="1"/>
    <col min="68" max="68" width="9.44140625" style="68" bestFit="1" customWidth="1"/>
    <col min="69" max="69" width="9.6640625" style="68" bestFit="1" customWidth="1"/>
    <col min="70" max="70" width="11" style="68" bestFit="1" customWidth="1"/>
    <col min="71" max="71" width="9.44140625" style="68" bestFit="1" customWidth="1"/>
    <col min="72" max="73" width="9.44140625" style="68" customWidth="1"/>
    <col min="74" max="74" width="10.5546875" style="68" bestFit="1" customWidth="1"/>
    <col min="75" max="75" width="14" style="68" bestFit="1" customWidth="1"/>
    <col min="76" max="76" width="13.88671875" style="68" customWidth="1"/>
    <col min="77" max="77" width="10.5546875" style="68" bestFit="1" customWidth="1"/>
    <col min="78" max="78" width="9.44140625" style="68" bestFit="1" customWidth="1"/>
    <col min="79" max="80" width="10.5546875" style="68" bestFit="1" customWidth="1"/>
    <col min="81" max="83" width="10.5546875" style="68" customWidth="1"/>
    <col min="84" max="84" width="11.44140625" style="68"/>
    <col min="85" max="85" width="10.5546875" style="68" bestFit="1" customWidth="1"/>
    <col min="86" max="86" width="9.33203125" style="68" bestFit="1" customWidth="1"/>
    <col min="87" max="87" width="11.6640625" style="68" bestFit="1" customWidth="1"/>
    <col min="88" max="88" width="8.44140625" style="68" bestFit="1" customWidth="1"/>
    <col min="89" max="89" width="9.44140625" style="68" bestFit="1" customWidth="1"/>
    <col min="90" max="90" width="9.6640625" style="68" bestFit="1" customWidth="1"/>
    <col min="91" max="91" width="11" style="68" bestFit="1" customWidth="1"/>
    <col min="92" max="92" width="9.44140625" style="68" bestFit="1" customWidth="1"/>
    <col min="93" max="94" width="9.44140625" style="68" customWidth="1"/>
    <col min="95" max="95" width="11.44140625" style="68"/>
    <col min="96" max="97" width="14" style="68" customWidth="1"/>
    <col min="98" max="98" width="10.5546875" style="68" bestFit="1" customWidth="1"/>
    <col min="99" max="99" width="9.44140625" style="68" bestFit="1" customWidth="1"/>
    <col min="100" max="101" width="10.5546875" style="68" bestFit="1" customWidth="1"/>
    <col min="102" max="104" width="10.5546875" style="68" customWidth="1"/>
    <col min="105" max="105" width="9" style="68" bestFit="1" customWidth="1"/>
    <col min="106" max="106" width="10.5546875" style="68" bestFit="1" customWidth="1"/>
    <col min="107" max="107" width="9.33203125" style="68" bestFit="1" customWidth="1"/>
    <col min="108" max="108" width="11.6640625" style="68" bestFit="1" customWidth="1"/>
    <col min="109" max="109" width="8.44140625" style="68" bestFit="1" customWidth="1"/>
    <col min="110" max="110" width="9.44140625" style="68" bestFit="1" customWidth="1"/>
    <col min="111" max="111" width="9.6640625" style="68" bestFit="1" customWidth="1"/>
    <col min="112" max="112" width="11" style="68" bestFit="1" customWidth="1"/>
    <col min="113" max="113" width="9.44140625" style="68" bestFit="1" customWidth="1"/>
    <col min="114" max="115" width="9.44140625" style="68" customWidth="1"/>
    <col min="116" max="116" width="10.5546875" style="68" bestFit="1" customWidth="1"/>
    <col min="117" max="117" width="14.33203125" style="68" customWidth="1"/>
    <col min="118" max="118" width="14" style="68" bestFit="1" customWidth="1"/>
    <col min="119" max="119" width="10.5546875" style="68" bestFit="1" customWidth="1"/>
    <col min="120" max="120" width="9.44140625" style="68" bestFit="1" customWidth="1"/>
    <col min="121" max="122" width="10.5546875" style="68" bestFit="1" customWidth="1"/>
    <col min="123" max="125" width="10.5546875" style="68" customWidth="1"/>
    <col min="126" max="126" width="9" style="68" bestFit="1" customWidth="1"/>
    <col min="127" max="127" width="10.5546875" style="68" bestFit="1" customWidth="1"/>
    <col min="128" max="128" width="9.33203125" style="68" bestFit="1" customWidth="1"/>
    <col min="129" max="129" width="11.6640625" style="68" bestFit="1" customWidth="1"/>
    <col min="130" max="130" width="8.44140625" style="68" bestFit="1" customWidth="1"/>
    <col min="131" max="131" width="9.44140625" style="68" bestFit="1" customWidth="1"/>
    <col min="132" max="132" width="9.6640625" style="68" bestFit="1" customWidth="1"/>
    <col min="133" max="133" width="11" style="68" bestFit="1" customWidth="1"/>
    <col min="134" max="134" width="9.44140625" style="68" bestFit="1" customWidth="1"/>
    <col min="135" max="136" width="9.44140625" style="68" customWidth="1"/>
    <col min="137" max="137" width="10.5546875" style="68" bestFit="1" customWidth="1"/>
    <col min="138" max="139" width="14" style="68" customWidth="1"/>
    <col min="140" max="140" width="10.5546875" style="68" bestFit="1" customWidth="1"/>
    <col min="141" max="141" width="9.44140625" style="68" bestFit="1" customWidth="1"/>
    <col min="142" max="143" width="10.5546875" style="68" bestFit="1" customWidth="1"/>
    <col min="144" max="146" width="10.5546875" style="68" customWidth="1"/>
    <col min="147" max="147" width="9" style="68" bestFit="1" customWidth="1"/>
    <col min="148" max="148" width="10.5546875" style="68" bestFit="1" customWidth="1"/>
    <col min="149" max="149" width="9.33203125" style="68" bestFit="1" customWidth="1"/>
    <col min="150" max="150" width="11.6640625" style="68" bestFit="1" customWidth="1"/>
    <col min="151" max="151" width="8.44140625" style="68" bestFit="1" customWidth="1"/>
    <col min="152" max="152" width="9.44140625" style="68" bestFit="1" customWidth="1"/>
    <col min="153" max="153" width="9.6640625" style="68" bestFit="1" customWidth="1"/>
    <col min="154" max="154" width="11" style="68" bestFit="1" customWidth="1"/>
    <col min="155" max="155" width="9.44140625" style="68" bestFit="1" customWidth="1"/>
    <col min="156" max="157" width="9.44140625" style="68" customWidth="1"/>
    <col min="158" max="158" width="11.44140625" style="68"/>
    <col min="159" max="160" width="14" style="68" bestFit="1" customWidth="1"/>
    <col min="161" max="161" width="10.5546875" style="68" bestFit="1" customWidth="1"/>
    <col min="162" max="162" width="9.44140625" style="68" bestFit="1" customWidth="1"/>
    <col min="163" max="164" width="10.5546875" style="68" bestFit="1" customWidth="1"/>
    <col min="165" max="167" width="10.5546875" style="68" customWidth="1"/>
    <col min="168" max="168" width="9" style="68" bestFit="1" customWidth="1"/>
    <col min="169" max="169" width="10.5546875" style="68" bestFit="1" customWidth="1"/>
    <col min="170" max="170" width="9.33203125" style="68" bestFit="1" customWidth="1"/>
    <col min="171" max="171" width="11.6640625" style="68" bestFit="1" customWidth="1"/>
    <col min="172" max="172" width="8.109375" style="68" bestFit="1" customWidth="1"/>
    <col min="173" max="173" width="9.44140625" style="68" bestFit="1" customWidth="1"/>
    <col min="174" max="174" width="9.6640625" style="68" bestFit="1" customWidth="1"/>
    <col min="175" max="175" width="11" style="68" bestFit="1" customWidth="1"/>
    <col min="176" max="176" width="9.44140625" style="68" bestFit="1" customWidth="1"/>
    <col min="177" max="178" width="9.44140625" style="68" customWidth="1"/>
    <col min="179" max="179" width="10.5546875" style="68" bestFit="1" customWidth="1"/>
    <col min="180" max="181" width="14" style="68" bestFit="1" customWidth="1"/>
    <col min="182" max="182" width="10.5546875" style="68" bestFit="1" customWidth="1"/>
    <col min="183" max="183" width="9.44140625" style="68" bestFit="1" customWidth="1"/>
    <col min="184" max="185" width="10.5546875" style="68" bestFit="1" customWidth="1"/>
    <col min="186" max="188" width="10.5546875" style="68" customWidth="1"/>
    <col min="189" max="189" width="9" style="68" bestFit="1" customWidth="1"/>
    <col min="190" max="190" width="10.5546875" style="68" bestFit="1" customWidth="1"/>
    <col min="191" max="191" width="9.33203125" style="68" bestFit="1" customWidth="1"/>
    <col min="192" max="192" width="11.44140625" style="68"/>
    <col min="193" max="193" width="8.44140625" style="68" bestFit="1" customWidth="1"/>
    <col min="194" max="194" width="9.44140625" style="68" bestFit="1" customWidth="1"/>
    <col min="195" max="195" width="9.6640625" style="68" bestFit="1" customWidth="1"/>
    <col min="196" max="196" width="11" style="68" bestFit="1" customWidth="1"/>
    <col min="197" max="197" width="9.44140625" style="68" bestFit="1" customWidth="1"/>
    <col min="198" max="199" width="9.44140625" style="68" customWidth="1"/>
    <col min="200" max="200" width="10.5546875" style="68" bestFit="1" customWidth="1"/>
    <col min="201" max="201" width="14" style="68" customWidth="1"/>
    <col min="202" max="202" width="14.33203125" style="68" customWidth="1"/>
    <col min="203" max="203" width="10.5546875" style="68" bestFit="1" customWidth="1"/>
    <col min="204" max="204" width="9.44140625" style="68" bestFit="1" customWidth="1"/>
    <col min="205" max="206" width="10.5546875" style="68" bestFit="1" customWidth="1"/>
    <col min="207" max="209" width="10.5546875" style="68" customWidth="1"/>
    <col min="210" max="210" width="9" style="68" bestFit="1" customWidth="1"/>
    <col min="211" max="211" width="10.5546875" style="68" bestFit="1" customWidth="1"/>
    <col min="212" max="212" width="9.33203125" style="68" bestFit="1" customWidth="1"/>
    <col min="213" max="213" width="11.6640625" style="68" bestFit="1" customWidth="1"/>
    <col min="214" max="214" width="8.44140625" style="68" bestFit="1" customWidth="1"/>
    <col min="215" max="215" width="9.44140625" style="68" bestFit="1" customWidth="1"/>
    <col min="216" max="216" width="9.6640625" style="68" bestFit="1" customWidth="1"/>
    <col min="217" max="217" width="11" style="68" bestFit="1" customWidth="1"/>
    <col min="218" max="218" width="9.44140625" style="68" bestFit="1" customWidth="1"/>
    <col min="219" max="16384" width="11.44140625" style="68"/>
  </cols>
  <sheetData>
    <row r="1" spans="1:218" s="5" customFormat="1" ht="26.4" thickBot="1" x14ac:dyDescent="0.55000000000000004">
      <c r="B1" s="306" t="s">
        <v>176</v>
      </c>
      <c r="C1" s="307"/>
      <c r="D1" s="307"/>
      <c r="E1" s="307"/>
      <c r="F1" s="307"/>
      <c r="G1" s="307"/>
      <c r="H1" s="308"/>
      <c r="I1" s="303" t="str">
        <f>IF('Données projet'!$B$9="","",'Données projet'!$B$9)</f>
        <v>Alisier torminal</v>
      </c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5"/>
      <c r="AD1" s="304" t="str">
        <f>IF('Données projet'!$B$10="","",'Données projet'!$B$10)</f>
        <v>Cèdre de l'Atlas</v>
      </c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  <c r="AV1" s="304"/>
      <c r="AW1" s="304"/>
      <c r="AX1" s="305"/>
      <c r="AY1" s="303" t="str">
        <f>IF('Données projet'!$B$11="","",'Données projet'!$B$11)</f>
        <v>Charme</v>
      </c>
      <c r="AZ1" s="304"/>
      <c r="BA1" s="304"/>
      <c r="BB1" s="304"/>
      <c r="BC1" s="304"/>
      <c r="BD1" s="304"/>
      <c r="BE1" s="304"/>
      <c r="BF1" s="304"/>
      <c r="BG1" s="304"/>
      <c r="BH1" s="304"/>
      <c r="BI1" s="304"/>
      <c r="BJ1" s="304"/>
      <c r="BK1" s="304"/>
      <c r="BL1" s="304"/>
      <c r="BM1" s="304"/>
      <c r="BN1" s="304"/>
      <c r="BO1" s="304"/>
      <c r="BP1" s="304"/>
      <c r="BQ1" s="304"/>
      <c r="BR1" s="304"/>
      <c r="BS1" s="305"/>
      <c r="BT1" s="303" t="str">
        <f>IF('Données projet'!$B$12="","",'Données projet'!$B$12)</f>
        <v>Chêne chevelu</v>
      </c>
      <c r="BU1" s="304"/>
      <c r="BV1" s="304"/>
      <c r="BW1" s="304"/>
      <c r="BX1" s="304"/>
      <c r="BY1" s="304"/>
      <c r="BZ1" s="304"/>
      <c r="CA1" s="304"/>
      <c r="CB1" s="304"/>
      <c r="CC1" s="304"/>
      <c r="CD1" s="304"/>
      <c r="CE1" s="304"/>
      <c r="CF1" s="304"/>
      <c r="CG1" s="304"/>
      <c r="CH1" s="304"/>
      <c r="CI1" s="304"/>
      <c r="CJ1" s="304"/>
      <c r="CK1" s="304"/>
      <c r="CL1" s="304"/>
      <c r="CM1" s="304"/>
      <c r="CN1" s="305"/>
      <c r="CO1" s="303" t="str">
        <f>IF('Données projet'!$B$13="","",'Données projet'!$B$13)</f>
        <v>Chêne sessile</v>
      </c>
      <c r="CP1" s="304"/>
      <c r="CQ1" s="304"/>
      <c r="CR1" s="304"/>
      <c r="CS1" s="304"/>
      <c r="CT1" s="304"/>
      <c r="CU1" s="304"/>
      <c r="CV1" s="304"/>
      <c r="CW1" s="304"/>
      <c r="CX1" s="304"/>
      <c r="CY1" s="304"/>
      <c r="CZ1" s="304"/>
      <c r="DA1" s="304"/>
      <c r="DB1" s="304"/>
      <c r="DC1" s="304"/>
      <c r="DD1" s="304"/>
      <c r="DE1" s="304"/>
      <c r="DF1" s="304"/>
      <c r="DG1" s="304"/>
      <c r="DH1" s="304"/>
      <c r="DI1" s="305"/>
      <c r="DJ1" s="303" t="str">
        <f>IF('Données projet'!$B$14="","",'Données projet'!$B$14)</f>
        <v>Cormier</v>
      </c>
      <c r="DK1" s="304"/>
      <c r="DL1" s="304"/>
      <c r="DM1" s="304"/>
      <c r="DN1" s="304"/>
      <c r="DO1" s="304"/>
      <c r="DP1" s="304"/>
      <c r="DQ1" s="304"/>
      <c r="DR1" s="304"/>
      <c r="DS1" s="304"/>
      <c r="DT1" s="304"/>
      <c r="DU1" s="304"/>
      <c r="DV1" s="304"/>
      <c r="DW1" s="304"/>
      <c r="DX1" s="304"/>
      <c r="DY1" s="304"/>
      <c r="DZ1" s="304"/>
      <c r="EA1" s="304"/>
      <c r="EB1" s="304"/>
      <c r="EC1" s="304"/>
      <c r="ED1" s="305"/>
      <c r="EE1" s="303" t="str">
        <f>IF('Données projet'!$B$15="","",'Données projet'!$B$15)</f>
        <v>Erable plane</v>
      </c>
      <c r="EF1" s="304"/>
      <c r="EG1" s="304"/>
      <c r="EH1" s="304"/>
      <c r="EI1" s="304"/>
      <c r="EJ1" s="304"/>
      <c r="EK1" s="304"/>
      <c r="EL1" s="304"/>
      <c r="EM1" s="304"/>
      <c r="EN1" s="304"/>
      <c r="EO1" s="304"/>
      <c r="EP1" s="304"/>
      <c r="EQ1" s="304"/>
      <c r="ER1" s="304"/>
      <c r="ES1" s="304"/>
      <c r="ET1" s="304"/>
      <c r="EU1" s="304"/>
      <c r="EV1" s="304"/>
      <c r="EW1" s="304"/>
      <c r="EX1" s="304"/>
      <c r="EY1" s="305"/>
      <c r="EZ1" s="303" t="str">
        <f>IF('Données projet'!$B$16="","",'Données projet'!$B$16)</f>
        <v>Merisier</v>
      </c>
      <c r="FA1" s="304"/>
      <c r="FB1" s="304"/>
      <c r="FC1" s="304"/>
      <c r="FD1" s="304"/>
      <c r="FE1" s="304"/>
      <c r="FF1" s="304"/>
      <c r="FG1" s="304"/>
      <c r="FH1" s="304"/>
      <c r="FI1" s="304"/>
      <c r="FJ1" s="304"/>
      <c r="FK1" s="304"/>
      <c r="FL1" s="304"/>
      <c r="FM1" s="304"/>
      <c r="FN1" s="304"/>
      <c r="FO1" s="304"/>
      <c r="FP1" s="304"/>
      <c r="FQ1" s="304"/>
      <c r="FR1" s="304"/>
      <c r="FS1" s="304"/>
      <c r="FT1" s="305"/>
      <c r="FU1" s="303" t="str">
        <f>IF('Données projet'!$B$17="","",'Données projet'!$B$17)</f>
        <v>Pin maritime</v>
      </c>
      <c r="FV1" s="304"/>
      <c r="FW1" s="304"/>
      <c r="FX1" s="304"/>
      <c r="FY1" s="304"/>
      <c r="FZ1" s="304"/>
      <c r="GA1" s="304"/>
      <c r="GB1" s="304"/>
      <c r="GC1" s="304"/>
      <c r="GD1" s="304"/>
      <c r="GE1" s="304"/>
      <c r="GF1" s="304"/>
      <c r="GG1" s="304"/>
      <c r="GH1" s="304"/>
      <c r="GI1" s="304"/>
      <c r="GJ1" s="304"/>
      <c r="GK1" s="304"/>
      <c r="GL1" s="304"/>
      <c r="GM1" s="304"/>
      <c r="GN1" s="304"/>
      <c r="GO1" s="305"/>
      <c r="GP1" s="303" t="str">
        <f>IF('Données projet'!$B$18="","",'Données projet'!$B$18)</f>
        <v/>
      </c>
      <c r="GQ1" s="304"/>
      <c r="GR1" s="304"/>
      <c r="GS1" s="304"/>
      <c r="GT1" s="304"/>
      <c r="GU1" s="304"/>
      <c r="GV1" s="304"/>
      <c r="GW1" s="304"/>
      <c r="GX1" s="304"/>
      <c r="GY1" s="304"/>
      <c r="GZ1" s="304"/>
      <c r="HA1" s="304"/>
      <c r="HB1" s="304"/>
      <c r="HC1" s="304"/>
      <c r="HD1" s="304"/>
      <c r="HE1" s="304"/>
      <c r="HF1" s="304"/>
      <c r="HG1" s="304"/>
      <c r="HH1" s="304"/>
      <c r="HI1" s="304"/>
      <c r="HJ1" s="305"/>
    </row>
    <row r="2" spans="1:218" s="5" customFormat="1" ht="58.2" thickBot="1" x14ac:dyDescent="0.35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4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165</v>
      </c>
      <c r="S3" s="60">
        <f ca="1">AVERAGE(OFFSET($R$3,0,0,'Données projet'!$E$9+1,1))-AVERAGE(OFFSET($H$3,0,0,'Données projet'!$E$9+1,1))</f>
        <v>496.33873798282525</v>
      </c>
      <c r="T3" s="60">
        <f>IF('Données projet'!E9&gt;30,$R$33-$H$33,LOOKUP('Données projet'!$E$9,$A$3:$A$203,R3:R203)-LOOKUP('Données projet'!$E$9,$A$3:$A$203,$H$3:$H$203))</f>
        <v>280.25465074992246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165</v>
      </c>
      <c r="AN3" s="60">
        <f ca="1">AVERAGE(OFFSET($AM$3,0,0,'Données projet'!$E$10+1,1))-AVERAGE(OFFSET($H$3,0,0,'Données projet'!$E$10+1,1))</f>
        <v>277.7918215389401</v>
      </c>
      <c r="AO3" s="60">
        <f>IF('Données projet'!E10&gt;30,$AM$33-$H$33,LOOKUP('Données projet'!$E$10,$A$3:$A$203,AM3:AM203)-LOOKUP('Données projet'!$E$10,$A$3:$A$203,$H$3:$H$203))</f>
        <v>164.65640238394164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165</v>
      </c>
      <c r="BI3" s="60">
        <f ca="1">AVERAGE(OFFSET($BH$3,0,0,'Données projet'!$E$11+1,1))-AVERAGE(OFFSET($H$3,0,0,'Données projet'!$E$11+1,1))</f>
        <v>366.21371543563254</v>
      </c>
      <c r="BJ3" s="60">
        <f>IF('Données projet'!E11&gt;30,$BH$33-$H$33,LOOKUP('Données projet'!$E$11,$A$3:$A$203,BH3:BH203)-LOOKUP('Données projet'!$E$11,$A$3:$A$203,$H$3:$H$203))</f>
        <v>237.43356317334084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165</v>
      </c>
      <c r="CD3" s="60">
        <f ca="1">AVERAGE(OFFSET($CC$3,0,0,'Données projet'!$E$12+1,1))-AVERAGE(OFFSET($H$3,0,0,'Données projet'!$E$12+1,1))</f>
        <v>530.79860063513229</v>
      </c>
      <c r="CE3" s="60">
        <f>IF('Données projet'!E12&gt;30,$CC$33-$H$33,LOOKUP('Données projet'!$E$12,$A$3:$A$203,CC3:CC203)-LOOKUP('Données projet'!$E$12,$A$3:$A$203,$H$3:$H$203))</f>
        <v>302.50876440460434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165</v>
      </c>
      <c r="CY3" s="60">
        <f ca="1">AVERAGE(OFFSET($CX$3,0,0,'Données projet'!$E$13+1,1))-AVERAGE(OFFSET($H$3,0,0,'Données projet'!$E$13+1,1))</f>
        <v>469.67944008675863</v>
      </c>
      <c r="CZ3" s="60">
        <f>IF('Données projet'!E13&gt;30,$CX$33-$H$33,LOOKUP('Données projet'!$E$13,$A$3:$A$203,CX3:CX203)-LOOKUP('Données projet'!$E$13,$A$3:$A$203,$H$3:$H$203))</f>
        <v>266.11908070867173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165</v>
      </c>
      <c r="DT3" s="60">
        <f ca="1">AVERAGE(OFFSET($DS$3,0,0,'Données projet'!$E$14+1,1))-AVERAGE(OFFSET($H$3,0,0,'Données projet'!$E$14+1,1))</f>
        <v>542.90832990875208</v>
      </c>
      <c r="DU3" s="60">
        <f>IF('Données projet'!E14&gt;30,$DS$33-$H$33,LOOKUP('Données projet'!$E$14,$A$3:$A$203,DS3:DS203)-LOOKUP('Données projet'!$E$14,$A$3:$A$203,$H$3:$H$203))</f>
        <v>304.94365539329362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165</v>
      </c>
      <c r="EO3" s="60">
        <f ca="1">AVERAGE(OFFSET($EN$3,0,0,'Données projet'!$E$15+1,1))-AVERAGE(OFFSET($H$3,0,0,'Données projet'!$E$15+1,1))</f>
        <v>273.72403794510291</v>
      </c>
      <c r="EP3" s="60">
        <f>IF('Données projet'!E15&gt;30,$EN$33-$H$33,LOOKUP('Données projet'!$E$15,$A$3:$A$203,EN3:EN203)-LOOKUP('Données projet'!$E$15,$A$3:$A$203,$H$3:$H$203))</f>
        <v>292.00185554564109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165</v>
      </c>
      <c r="FJ3" s="60">
        <f ca="1">AVERAGE(OFFSET($FI$3,0,0,'Données projet'!$E$16+1,1))-AVERAGE(OFFSET($H$3,0,0,'Données projet'!$E$16+1,1))</f>
        <v>309.21625451786218</v>
      </c>
      <c r="FK3" s="60">
        <f>IF('Données projet'!E16&gt;30,$FI$33-$H$33,LOOKUP('Données projet'!$E$16,$A$3:$A$203,FI3:FI203)-LOOKUP('Données projet'!$E$16,$A$3:$A$203,$H$3:$H$203))</f>
        <v>302.59481222418219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165</v>
      </c>
      <c r="GE3" s="60">
        <f ca="1">AVERAGE(OFFSET($GD$3,0,0,'Données projet'!$E$17+1,1))-AVERAGE(OFFSET($H$3,0,0,'Données projet'!$E$17+1,1))</f>
        <v>216.36762889365235</v>
      </c>
      <c r="GF3" s="60">
        <f>IF('Données projet'!E17&gt;30,$GD$33-$H$33,LOOKUP('Données projet'!$E$17,$A$3:$A$203,GD3:GD203)-LOOKUP('Données projet'!$E$17,$A$3:$A$203,$H$3:$H$203))</f>
        <v>333.29599352215496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4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1.165946847124371</v>
      </c>
      <c r="P4" s="14">
        <f>EXP(-1.0587+0.8836*LN(O4)+0.284)</f>
        <v>0.52780002987456354</v>
      </c>
      <c r="Q4" s="22">
        <f t="shared" ref="Q4:Q34" si="2">(O4+P4)*0.475*44/12</f>
        <v>2.9499424774398109</v>
      </c>
      <c r="R4" s="60">
        <f t="shared" si="0"/>
        <v>170.76237643036364</v>
      </c>
      <c r="S4" s="60">
        <f ca="1">AVERAGE(OFFSET($R$3,0,0,'Données projet'!$E$9+1,1))-AVERAGE(OFFSET($H$3,0,0,'Données projet'!$E$9+1,1))</f>
        <v>496.33873798282525</v>
      </c>
      <c r="T4" s="60">
        <f>$T$3</f>
        <v>280.25465074992246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3.4425641025641025</v>
      </c>
      <c r="AI4" s="14">
        <f>IF('Données projet'!$A$62&gt;35,AI3+AH4-AQ3,IF(A4&lt;'Données projet'!$A$62,$AF$205^A4,IF(A4='Données projet'!$A$62,'Données projet'!$B$62,AI3+AH4-AQ3)))</f>
        <v>1.1671681906248585</v>
      </c>
      <c r="AJ4" s="14">
        <f>AI4*VLOOKUP('Données projet'!$B$10,Paramètres!$A$1:$I$89,3,0)*VLOOKUP('Données projet'!$B$10,Paramètres!$A$1:$I$89,5,0)</f>
        <v>0.54623471321243378</v>
      </c>
      <c r="AK4" s="14">
        <f>EXP(-1.0587+0.8836*LN(AJ4)+0.284)</f>
        <v>0.27008496636632595</v>
      </c>
      <c r="AL4" s="22">
        <f t="shared" ref="AL4:AL67" si="4">(AJ4+AK4)*0.475*44/12</f>
        <v>1.4217567752663396</v>
      </c>
      <c r="AM4" s="60">
        <f t="shared" ref="AM4:AM67" si="5">AL4+(AD4+AE4)*44/12</f>
        <v>169.23419072819019</v>
      </c>
      <c r="AN4" s="60">
        <f ca="1">AVERAGE(OFFSET($AM$3,0,0,'Données projet'!$E$10+1,1))-AVERAGE(OFFSET($H$3,0,0,'Données projet'!$E$10+1,1))</f>
        <v>277.7918215389401</v>
      </c>
      <c r="AO4" s="60">
        <f>$AO$3</f>
        <v>164.65640238394164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1.8376068376068375</v>
      </c>
      <c r="BD4" s="13">
        <f>IF('Données projet'!$A$88&gt;35,BD3+BC4-BL3,IF(A4&lt;'Données projet'!$A$88,$BA$205^A4,IF(A4='Données projet'!$A$88,'Données projet'!$B$88,BD3+BC4-BL3)))</f>
        <v>1.2474493579153909</v>
      </c>
      <c r="BE4" s="14">
        <f>BD4*VLOOKUP('Données projet'!$B$11,Paramètres!$A$1:$I$89,3,0)*VLOOKUP('Données projet'!$B$11,Paramètres!$A$1:$I$89,5,0)</f>
        <v>1.187072808992286</v>
      </c>
      <c r="BF4" s="14">
        <f>EXP(-1.0587+0.8836*LN(BE4)+0.284)</f>
        <v>0.53624129806747345</v>
      </c>
      <c r="BG4" s="22">
        <f t="shared" ref="BG4:BG67" si="7">(BE4+BF4)*0.475*44/12</f>
        <v>3.0014387364624144</v>
      </c>
      <c r="BH4" s="60">
        <f t="shared" ref="BH4:BH67" si="8">BG4+(AY4+AZ4)*44/12</f>
        <v>170.81387268938624</v>
      </c>
      <c r="BI4" s="60">
        <f ca="1">AVERAGE(OFFSET($BH$3,0,0,'Données projet'!$E$11+1,1))-AVERAGE(OFFSET($H$3,0,0,'Données projet'!$E$11+1,1))</f>
        <v>366.21371543563254</v>
      </c>
      <c r="BJ4" s="60">
        <f>$BJ$3</f>
        <v>237.43356317334084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2.0085470085470085</v>
      </c>
      <c r="BY4" s="13">
        <f>IF('Données projet'!$A$114&gt;35,BY3+BX4-CG3,IF(A4&lt;'Données projet'!$A$114,$BV$205^A4,IF(A4='Données projet'!$A$114,'Données projet'!$B$114,BY3+BX4-CG3)))</f>
        <v>1.2548684989282006</v>
      </c>
      <c r="BZ4" s="14">
        <f>BY4*VLOOKUP('Données projet'!$B$12,Paramètres!$A$1:$I$89,3,0)*VLOOKUP('Données projet'!$B$12,Paramètres!$A$1:$I$89,5,0)</f>
        <v>1.3115885550797555</v>
      </c>
      <c r="CA4" s="14">
        <f>EXP(-1.0587+0.8836*LN(BZ4)+0.284)</f>
        <v>0.5856498554818651</v>
      </c>
      <c r="CB4" s="22">
        <f t="shared" ref="CB4:CB67" si="10">(BZ4+CA4)*0.475*44/12</f>
        <v>3.3043568983948219</v>
      </c>
      <c r="CC4" s="60">
        <f t="shared" ref="CC4:CC67" si="11">CB4+(BT4+BU4)*44/12</f>
        <v>171.11679085131865</v>
      </c>
      <c r="CD4" s="60">
        <f ca="1">AVERAGE(OFFSET($CC$3,0,0,'Données projet'!$E$12+1,1))-AVERAGE(OFFSET($H$3,0,0,'Données projet'!$E$12+1,1))</f>
        <v>530.79860063513229</v>
      </c>
      <c r="CE4" s="60">
        <f>$CE$3</f>
        <v>302.50876440460434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1.0907244698905405</v>
      </c>
      <c r="CV4" s="14">
        <f>EXP(-1.0587+0.8836*LN(CU4)+0.284)</f>
        <v>0.49759623852608204</v>
      </c>
      <c r="CW4" s="22">
        <f t="shared" ref="CW4:CW67" si="13">(CU4+CV4)*0.475*44/12</f>
        <v>2.7663252338256172</v>
      </c>
      <c r="CX4" s="60">
        <f t="shared" ref="CX4:CX67" si="14">CW4+(CO4+CP4)*44/12</f>
        <v>170.57875918674947</v>
      </c>
      <c r="CY4" s="60">
        <f ca="1">AVERAGE(OFFSET($CX$3,0,0,'Données projet'!$E$13+1,1))-AVERAGE(OFFSET($H$3,0,0,'Données projet'!$E$13+1,1))</f>
        <v>469.67944008675863</v>
      </c>
      <c r="CZ4" s="60">
        <f>$CZ$3</f>
        <v>266.11908070867173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1.2975860072835741</v>
      </c>
      <c r="DQ4" s="14">
        <f>EXP(-1.0587+0.8836*LN(DP4)+0.284)</f>
        <v>0.58012177912374829</v>
      </c>
      <c r="DR4" s="22">
        <f t="shared" ref="DR4:DR67" si="16">(DP4+DQ4)*0.475*44/12</f>
        <v>3.2703410613260862</v>
      </c>
      <c r="DS4" s="60">
        <f t="shared" ref="DS4:DS67" si="17">DR4+(DJ4+DK4)*44/12</f>
        <v>171.08277501424993</v>
      </c>
      <c r="DT4" s="60">
        <f ca="1">AVERAGE(OFFSET($DS$3,0,0,'Données projet'!$E$14+1,1))-AVERAGE(OFFSET($H$3,0,0,'Données projet'!$E$14+1,1))</f>
        <v>542.90832990875208</v>
      </c>
      <c r="DU4" s="60">
        <f>$DU$3</f>
        <v>304.94365539329362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0.59333333333333338</v>
      </c>
      <c r="EJ4" s="13">
        <f>IF('Données projet'!$A$192&gt;35,EJ3+EI4-ER3,IF(A4&lt;'Données projet'!$A$192,$EG$205^A4,IF(A4='Données projet'!$A$192,'Données projet'!$B$192,EJ3+EI4-ER3)))</f>
        <v>1.156891598310152</v>
      </c>
      <c r="EK4" s="18">
        <f>EJ4*VLOOKUP('Données projet'!$B$15,Paramètres!$A$1:$I$89,3,0)*VLOOKUP('Données projet'!$B$15,Paramètres!$A$1:$I$89,5,0)</f>
        <v>0.92042295561555687</v>
      </c>
      <c r="EL4" s="14">
        <f>EXP(-1.0587+0.8836*LN(EK4)+0.284)</f>
        <v>0.42828352474600018</v>
      </c>
      <c r="EM4" s="22">
        <f t="shared" ref="EM4:EM67" si="19">(EK4+EL4)*0.475*44/12</f>
        <v>2.3489971199630455</v>
      </c>
      <c r="EN4" s="60">
        <f t="shared" ref="EN4:EN67" si="20">EM4+(EE4+EF4)*44/12</f>
        <v>170.1614310728869</v>
      </c>
      <c r="EO4" s="60">
        <f ca="1">AVERAGE(OFFSET($EN$3,0,0,'Données projet'!$E$15+1,1))-AVERAGE(OFFSET($H$3,0,0,'Données projet'!$E$15+1,1))</f>
        <v>273.72403794510291</v>
      </c>
      <c r="EP4" s="60">
        <f>$EP$3</f>
        <v>292.00185554564109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2.6666666666666665</v>
      </c>
      <c r="FE4" s="13">
        <f>IF('Données projet'!$A$218&gt;35,FE3+FD4-FM3,IF(A4&lt;'Données projet'!$A$218,$FB$205^A4,IF(A4='Données projet'!$A$218,'Données projet'!$B$218,FE3+FD4-FM3)))</f>
        <v>1.2788040393997409</v>
      </c>
      <c r="FF4" s="18">
        <f>FE4*VLOOKUP('Données projet'!$B$16,Paramètres!$A$1:$I$89,3,0)*VLOOKUP('Données projet'!$B$16,Paramètres!$A$1:$I$89,5,0)</f>
        <v>0.99746715073179792</v>
      </c>
      <c r="FG4" s="14">
        <f>EXP(-1.0587+0.8836*LN(FF4)+0.284)</f>
        <v>0.45981048445793882</v>
      </c>
      <c r="FH4" s="22">
        <f t="shared" ref="FH4:FH67" si="22">(FF4+FG4)*0.475*44/12</f>
        <v>2.5380918812887914</v>
      </c>
      <c r="FI4" s="60">
        <f t="shared" ref="FI4:FI67" si="23">FH4+(EZ4+FA4)*44/12</f>
        <v>170.35052583421262</v>
      </c>
      <c r="FJ4" s="60">
        <f ca="1">AVERAGE(OFFSET($FI$3,0,0,'Données projet'!$E$16+1,1))-AVERAGE(OFFSET($H$3,0,0,'Données projet'!$E$16+1,1))</f>
        <v>309.21625451786218</v>
      </c>
      <c r="FK4" s="60">
        <f>$FK$3</f>
        <v>302.59481222418219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3.2392083333333335</v>
      </c>
      <c r="FZ4" s="13">
        <f>IF('Données projet'!$A$244&gt;35,FZ3+FY4-GH3,IF(A4&lt;'Données projet'!$A$244,$FW$205^A4,IF(A4='Données projet'!$A$244,'Données projet'!$B$244,FZ3+FY4-GH3)))</f>
        <v>1.3566516392624868</v>
      </c>
      <c r="GA4" s="18">
        <f>FZ4*VLOOKUP('Données projet'!$B$17,Paramètres!$A$1:$I$89,3,0)*VLOOKUP('Données projet'!$B$17,Paramètres!$A$1:$I$89,5,0)</f>
        <v>0.81127768027896718</v>
      </c>
      <c r="GB4" s="14">
        <f>EXP(-1.0587+0.8836*LN(GA4)+0.284)</f>
        <v>0.38308421720764524</v>
      </c>
      <c r="GC4" s="22">
        <f t="shared" ref="GC4:GC67" si="25">(GA4+GB4)*0.475*44/12</f>
        <v>2.0801803047891831</v>
      </c>
      <c r="GD4" s="60">
        <f t="shared" ref="GD4:GD67" si="26">GC4+(FU4+FV4)*44/12</f>
        <v>169.89261425771303</v>
      </c>
      <c r="GE4" s="60">
        <f ca="1">AVERAGE(OFFSET($GD$3,0,0,'Données projet'!$E$17+1,1))-AVERAGE(OFFSET($H$3,0,0,'Données projet'!$E$17+1,1))</f>
        <v>216.36762889365235</v>
      </c>
      <c r="GF4" s="60">
        <f>$GF$3</f>
        <v>333.29599352215496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4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1.4055335507850097</v>
      </c>
      <c r="P5" s="14">
        <f t="shared" ref="P5:P68" si="33">EXP(-1.0587+0.8836*LN(O5)+0.284)</f>
        <v>0.62256480317525631</v>
      </c>
      <c r="Q5" s="22">
        <f t="shared" si="2"/>
        <v>3.5322712998141292</v>
      </c>
      <c r="R5" s="60">
        <f t="shared" si="0"/>
        <v>174.12955258731498</v>
      </c>
      <c r="S5" s="60">
        <f ca="1">AVERAGE(OFFSET($R$3,0,0,'Données projet'!$E$9+1,1))-AVERAGE(OFFSET($H$3,0,0,'Données projet'!$E$9+1,1))</f>
        <v>496.33873798282525</v>
      </c>
      <c r="T5" s="60">
        <f t="shared" ref="T5:T68" si="34">$T$3</f>
        <v>280.25465074992246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3.4425641025641025</v>
      </c>
      <c r="AI5" s="14">
        <f>IF('Données projet'!$A$62&gt;35,AI4+AH5-AQ4,IF(A5&lt;'Données projet'!$A$62,$AF$205^A5,IF(A5='Données projet'!$A$62,'Données projet'!$B$62,AI4+AH5-AQ4)))</f>
        <v>1.3622815852065062</v>
      </c>
      <c r="AJ5" s="14">
        <f>AI5*VLOOKUP('Données projet'!$B$10,Paramètres!$A$1:$I$89,3,0)*VLOOKUP('Données projet'!$B$10,Paramètres!$A$1:$I$89,5,0)</f>
        <v>0.63754778187664485</v>
      </c>
      <c r="AK5" s="14">
        <f t="shared" ref="AK5:AK68" si="35">EXP(-1.0587+0.8836*LN(AJ5)+0.284)</f>
        <v>0.30961323785545058</v>
      </c>
      <c r="AL5" s="22">
        <f t="shared" si="4"/>
        <v>1.6496387760333995</v>
      </c>
      <c r="AM5" s="60">
        <f t="shared" si="5"/>
        <v>172.24692006353425</v>
      </c>
      <c r="AN5" s="60">
        <f ca="1">AVERAGE(OFFSET($AM$3,0,0,'Données projet'!$E$10+1,1))-AVERAGE(OFFSET($H$3,0,0,'Données projet'!$E$10+1,1))</f>
        <v>277.7918215389401</v>
      </c>
      <c r="AO5" s="60">
        <f t="shared" ref="AO5:AO68" si="36">$AO$3</f>
        <v>164.65640238394164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1.8376068376068375</v>
      </c>
      <c r="BD5" s="13">
        <f>IF('Données projet'!$A$88&gt;35,BD4+BC5-BL4,IF(A5&lt;'Données projet'!$A$88,$BA$205^A5,IF(A5='Données projet'!$A$88,'Données projet'!$B$88,BD4+BC5-BL4)))</f>
        <v>1.556129900563521</v>
      </c>
      <c r="BE5" s="14">
        <f>BD5*VLOOKUP('Données projet'!$B$11,Paramètres!$A$1:$I$89,3,0)*VLOOKUP('Données projet'!$B$11,Paramètres!$A$1:$I$89,5,0)</f>
        <v>1.4808132133762466</v>
      </c>
      <c r="BF5" s="14">
        <f t="shared" ref="BF5:BF68" si="37">EXP(-1.0587+0.8836*LN(BE5)+0.284)</f>
        <v>0.65193772578667253</v>
      </c>
      <c r="BG5" s="22">
        <f t="shared" si="7"/>
        <v>3.7145412190420841</v>
      </c>
      <c r="BH5" s="60">
        <f t="shared" si="8"/>
        <v>174.31182250654291</v>
      </c>
      <c r="BI5" s="60">
        <f ca="1">AVERAGE(OFFSET($BH$3,0,0,'Données projet'!$E$11+1,1))-AVERAGE(OFFSET($H$3,0,0,'Données projet'!$E$11+1,1))</f>
        <v>366.21371543563254</v>
      </c>
      <c r="BJ5" s="60">
        <f t="shared" ref="BJ5:BJ68" si="38">$BJ$3</f>
        <v>237.43356317334084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2.0085470085470085</v>
      </c>
      <c r="BY5" s="13">
        <f>IF('Données projet'!$A$114&gt;35,BY4+BX5-CG4,IF(A5&lt;'Données projet'!$A$114,$BV$205^A5,IF(A5='Données projet'!$A$114,'Données projet'!$B$114,BY4+BX5-CG4)))</f>
        <v>1.5746949496023155</v>
      </c>
      <c r="BZ5" s="14">
        <f>BY5*VLOOKUP('Données projet'!$B$12,Paramètres!$A$1:$I$89,3,0)*VLOOKUP('Données projet'!$B$12,Paramètres!$A$1:$I$89,5,0)</f>
        <v>1.6458711613243404</v>
      </c>
      <c r="CA5" s="14">
        <f t="shared" ref="CA5:CA68" si="39">EXP(-1.0587+0.8836*LN(BZ5)+0.284)</f>
        <v>0.71574681686586372</v>
      </c>
      <c r="CB5" s="22">
        <f t="shared" si="10"/>
        <v>4.1131513120146055</v>
      </c>
      <c r="CC5" s="60">
        <f t="shared" si="11"/>
        <v>174.71043259951543</v>
      </c>
      <c r="CD5" s="60">
        <f ca="1">AVERAGE(OFFSET($CC$3,0,0,'Données projet'!$E$12+1,1))-AVERAGE(OFFSET($H$3,0,0,'Données projet'!$E$12+1,1))</f>
        <v>530.79860063513229</v>
      </c>
      <c r="CE5" s="60">
        <f t="shared" ref="CE5:CE68" si="40">$CE$3</f>
        <v>302.50876440460434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1.3148539668633961</v>
      </c>
      <c r="CV5" s="14">
        <f t="shared" ref="CV5:CV68" si="41">EXP(-1.0587+0.8836*LN(CU5)+0.284)</f>
        <v>0.58693801963664449</v>
      </c>
      <c r="CW5" s="22">
        <f t="shared" si="13"/>
        <v>3.3122877098209038</v>
      </c>
      <c r="CX5" s="60">
        <f t="shared" si="14"/>
        <v>173.90956899732174</v>
      </c>
      <c r="CY5" s="60">
        <f ca="1">AVERAGE(OFFSET($CX$3,0,0,'Données projet'!$E$13+1,1))-AVERAGE(OFFSET($H$3,0,0,'Données projet'!$E$13+1,1))</f>
        <v>469.67944008675863</v>
      </c>
      <c r="CZ5" s="60">
        <f t="shared" ref="CZ5:CZ68" si="42">$CZ$3</f>
        <v>266.11908070867173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1.5642228226478332</v>
      </c>
      <c r="DQ5" s="14">
        <f t="shared" ref="DQ5:DQ68" si="43">EXP(-1.0587+0.8836*LN(DP5)+0.284)</f>
        <v>0.68428075179095682</v>
      </c>
      <c r="DR5" s="22">
        <f t="shared" si="16"/>
        <v>3.9161437254808931</v>
      </c>
      <c r="DS5" s="60">
        <f t="shared" si="17"/>
        <v>174.51342501298171</v>
      </c>
      <c r="DT5" s="60">
        <f ca="1">AVERAGE(OFFSET($DS$3,0,0,'Données projet'!$E$14+1,1))-AVERAGE(OFFSET($H$3,0,0,'Données projet'!$E$14+1,1))</f>
        <v>542.90832990875208</v>
      </c>
      <c r="DU5" s="60">
        <f t="shared" ref="DU5:DU68" si="44">$DU$3</f>
        <v>304.94365539329362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0.59333333333333338</v>
      </c>
      <c r="EJ5" s="13">
        <f>IF('Données projet'!$A$192&gt;35,EJ4+EI5-ER4,IF(A5&lt;'Données projet'!$A$192,$EG$205^A5,IF(A5='Données projet'!$A$192,'Données projet'!$B$192,EJ4+EI5-ER4)))</f>
        <v>1.338398170240618</v>
      </c>
      <c r="EK5" s="18">
        <f>EJ5*VLOOKUP('Données projet'!$B$15,Paramètres!$A$1:$I$89,3,0)*VLOOKUP('Données projet'!$B$15,Paramètres!$A$1:$I$89,5,0)</f>
        <v>1.0648295842434357</v>
      </c>
      <c r="EL5" s="14">
        <f t="shared" ref="EL5:EL68" si="45">EXP(-1.0587+0.8836*LN(EK5)+0.284)</f>
        <v>0.48714333937201731</v>
      </c>
      <c r="EM5" s="22">
        <f t="shared" si="19"/>
        <v>2.7030195086302471</v>
      </c>
      <c r="EN5" s="60">
        <f t="shared" si="20"/>
        <v>173.30030079613107</v>
      </c>
      <c r="EO5" s="60">
        <f ca="1">AVERAGE(OFFSET($EN$3,0,0,'Données projet'!$E$15+1,1))-AVERAGE(OFFSET($H$3,0,0,'Données projet'!$E$15+1,1))</f>
        <v>273.72403794510291</v>
      </c>
      <c r="EP5" s="60">
        <f t="shared" ref="EP5:EP68" si="46">$EP$3</f>
        <v>292.00185554564109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2.6666666666666665</v>
      </c>
      <c r="FE5" s="13">
        <f>IF('Données projet'!$A$218&gt;35,FE4+FD5-FM4,IF(A5&lt;'Données projet'!$A$218,$FB$205^A5,IF(A5='Données projet'!$A$218,'Données projet'!$B$218,FE4+FD5-FM4)))</f>
        <v>1.6353397711850939</v>
      </c>
      <c r="FF5" s="18">
        <f>FE5*VLOOKUP('Données projet'!$B$16,Paramètres!$A$1:$I$89,3,0)*VLOOKUP('Données projet'!$B$16,Paramètres!$A$1:$I$89,5,0)</f>
        <v>1.2755650215243732</v>
      </c>
      <c r="FG5" s="14">
        <f t="shared" ref="FG5:FG68" si="47">EXP(-1.0587+0.8836*LN(FF5)+0.284)</f>
        <v>0.57141400910743001</v>
      </c>
      <c r="FH5" s="22">
        <f t="shared" si="22"/>
        <v>3.2168218116837237</v>
      </c>
      <c r="FI5" s="60">
        <f t="shared" si="23"/>
        <v>173.81410309918456</v>
      </c>
      <c r="FJ5" s="60">
        <f ca="1">AVERAGE(OFFSET($FI$3,0,0,'Données projet'!$E$16+1,1))-AVERAGE(OFFSET($H$3,0,0,'Données projet'!$E$16+1,1))</f>
        <v>309.21625451786218</v>
      </c>
      <c r="FK5" s="60">
        <f t="shared" ref="FK5:FK68" si="48">$FK$3</f>
        <v>302.59481222418219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3.2392083333333335</v>
      </c>
      <c r="FZ5" s="13">
        <f>IF('Données projet'!$A$244&gt;35,FZ4+FY5-GH4,IF(A5&lt;'Données projet'!$A$244,$FW$205^A5,IF(A5='Données projet'!$A$244,'Données projet'!$B$244,FZ4+FY5-GH4)))</f>
        <v>1.8405036703135926</v>
      </c>
      <c r="GA5" s="18">
        <f>FZ5*VLOOKUP('Données projet'!$B$17,Paramètres!$A$1:$I$89,3,0)*VLOOKUP('Données projet'!$B$17,Paramètres!$A$1:$I$89,5,0)</f>
        <v>1.1006211948475284</v>
      </c>
      <c r="GB5" s="14">
        <f t="shared" ref="GB5:GB68" si="49">EXP(-1.0587+0.8836*LN(GA5)+0.284)</f>
        <v>0.5015835540976048</v>
      </c>
      <c r="GC5" s="22">
        <f t="shared" si="25"/>
        <v>2.7905066044127733</v>
      </c>
      <c r="GD5" s="60">
        <f t="shared" si="26"/>
        <v>173.3877878919136</v>
      </c>
      <c r="GE5" s="60">
        <f ca="1">AVERAGE(OFFSET($GD$3,0,0,'Données projet'!$E$17+1,1))-AVERAGE(OFFSET($H$3,0,0,'Données projet'!$E$17+1,1))</f>
        <v>216.36762889365235</v>
      </c>
      <c r="GF5" s="60">
        <f t="shared" ref="GF5:GF68" si="50">$GF$3</f>
        <v>333.29599352215496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4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1.694352163012101</v>
      </c>
      <c r="P6" s="14">
        <f t="shared" si="33"/>
        <v>0.73434428233124405</v>
      </c>
      <c r="Q6" s="22">
        <f t="shared" si="2"/>
        <v>4.2299796423063247</v>
      </c>
      <c r="R6" s="60">
        <f t="shared" si="0"/>
        <v>177.5850002121912</v>
      </c>
      <c r="S6" s="60">
        <f ca="1">AVERAGE(OFFSET($R$3,0,0,'Données projet'!$E$9+1,1))-AVERAGE(OFFSET($H$3,0,0,'Données projet'!$E$9+1,1))</f>
        <v>496.33873798282525</v>
      </c>
      <c r="T6" s="60">
        <f t="shared" si="34"/>
        <v>280.25465074992246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3.4425641025641025</v>
      </c>
      <c r="AI6" s="14">
        <f>IF('Données projet'!$A$62&gt;35,AI5+AH6-AQ5,IF(A6&lt;'Données projet'!$A$62,$AF$205^A6,IF(A6='Données projet'!$A$62,'Données projet'!$B$62,AI5+AH6-AQ5)))</f>
        <v>1.590011732927042</v>
      </c>
      <c r="AJ6" s="14">
        <f>AI6*VLOOKUP('Données projet'!$B$10,Paramètres!$A$1:$I$89,3,0)*VLOOKUP('Données projet'!$B$10,Paramètres!$A$1:$I$89,5,0)</f>
        <v>0.7441254910098557</v>
      </c>
      <c r="AK6" s="14">
        <f t="shared" si="35"/>
        <v>0.35492666750402163</v>
      </c>
      <c r="AL6" s="22">
        <f t="shared" si="4"/>
        <v>1.9141825094116696</v>
      </c>
      <c r="AM6" s="60">
        <f t="shared" si="5"/>
        <v>175.26920307929655</v>
      </c>
      <c r="AN6" s="60">
        <f ca="1">AVERAGE(OFFSET($AM$3,0,0,'Données projet'!$E$10+1,1))-AVERAGE(OFFSET($H$3,0,0,'Données projet'!$E$10+1,1))</f>
        <v>277.7918215389401</v>
      </c>
      <c r="AO6" s="60">
        <f t="shared" si="36"/>
        <v>164.65640238394164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1.8376068376068375</v>
      </c>
      <c r="BD6" s="13">
        <f>IF('Données projet'!$A$88&gt;35,BD5+BC6-BL5,IF(A6&lt;'Données projet'!$A$88,$BA$205^A6,IF(A6='Données projet'!$A$88,'Données projet'!$B$88,BD5+BC6-BL5)))</f>
        <v>1.9411932452909053</v>
      </c>
      <c r="BE6" s="14">
        <f>BD6*VLOOKUP('Données projet'!$B$11,Paramètres!$A$1:$I$89,3,0)*VLOOKUP('Données projet'!$B$11,Paramètres!$A$1:$I$89,5,0)</f>
        <v>1.8472394922188253</v>
      </c>
      <c r="BF6" s="14">
        <f t="shared" si="37"/>
        <v>0.79259616861963411</v>
      </c>
      <c r="BG6" s="22">
        <f t="shared" si="7"/>
        <v>4.5977137759603162</v>
      </c>
      <c r="BH6" s="60">
        <f t="shared" si="8"/>
        <v>177.95273434584522</v>
      </c>
      <c r="BI6" s="60">
        <f ca="1">AVERAGE(OFFSET($BH$3,0,0,'Données projet'!$E$11+1,1))-AVERAGE(OFFSET($H$3,0,0,'Données projet'!$E$11+1,1))</f>
        <v>366.21371543563254</v>
      </c>
      <c r="BJ6" s="60">
        <f t="shared" si="38"/>
        <v>237.43356317334084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2.0085470085470085</v>
      </c>
      <c r="BY6" s="13">
        <f>IF('Données projet'!$A$114&gt;35,BY5+BX6-CG5,IF(A6&lt;'Données projet'!$A$114,$BV$205^A6,IF(A6='Données projet'!$A$114,'Données projet'!$B$114,BY5+BX6-CG5)))</f>
        <v>1.9760350876772761</v>
      </c>
      <c r="BZ6" s="14">
        <f>BY6*VLOOKUP('Données projet'!$B$12,Paramètres!$A$1:$I$89,3,0)*VLOOKUP('Données projet'!$B$12,Paramètres!$A$1:$I$89,5,0)</f>
        <v>2.0653518736402892</v>
      </c>
      <c r="CA6" s="14">
        <f t="shared" si="39"/>
        <v>0.87474367330306557</v>
      </c>
      <c r="CB6" s="22">
        <f t="shared" si="10"/>
        <v>5.1206664109263427</v>
      </c>
      <c r="CC6" s="60">
        <f t="shared" si="11"/>
        <v>178.47568698081122</v>
      </c>
      <c r="CD6" s="60">
        <f ca="1">AVERAGE(OFFSET($CC$3,0,0,'Données projet'!$E$12+1,1))-AVERAGE(OFFSET($H$3,0,0,'Données projet'!$E$12+1,1))</f>
        <v>530.79860063513229</v>
      </c>
      <c r="CE6" s="60">
        <f t="shared" si="40"/>
        <v>302.50876440460434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1.5850391202371266</v>
      </c>
      <c r="CV6" s="14">
        <f t="shared" si="41"/>
        <v>0.69232082604846479</v>
      </c>
      <c r="CW6" s="22">
        <f t="shared" si="13"/>
        <v>3.966401906447405</v>
      </c>
      <c r="CX6" s="60">
        <f t="shared" si="14"/>
        <v>177.32142247633229</v>
      </c>
      <c r="CY6" s="60">
        <f ca="1">AVERAGE(OFFSET($CX$3,0,0,'Données projet'!$E$13+1,1))-AVERAGE(OFFSET($H$3,0,0,'Données projet'!$E$13+1,1))</f>
        <v>469.67944008675863</v>
      </c>
      <c r="CZ6" s="60">
        <f t="shared" si="42"/>
        <v>266.11908070867173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1.885649987868306</v>
      </c>
      <c r="DQ6" s="14">
        <f t="shared" si="43"/>
        <v>0.8071411281590839</v>
      </c>
      <c r="DR6" s="22">
        <f t="shared" si="16"/>
        <v>4.6899445270810372</v>
      </c>
      <c r="DS6" s="60">
        <f t="shared" si="17"/>
        <v>178.04496509696591</v>
      </c>
      <c r="DT6" s="60">
        <f ca="1">AVERAGE(OFFSET($DS$3,0,0,'Données projet'!$E$14+1,1))-AVERAGE(OFFSET($H$3,0,0,'Données projet'!$E$14+1,1))</f>
        <v>542.90832990875208</v>
      </c>
      <c r="DU6" s="60">
        <f t="shared" si="44"/>
        <v>304.94365539329362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0.59333333333333338</v>
      </c>
      <c r="EJ6" s="13">
        <f>IF('Données projet'!$A$192&gt;35,EJ5+EI6-ER5,IF(A6&lt;'Données projet'!$A$192,$EG$205^A6,IF(A6='Données projet'!$A$192,'Données projet'!$B$192,EJ5+EI6-ER5)))</f>
        <v>1.5483815983450515</v>
      </c>
      <c r="EK6" s="18">
        <f>EJ6*VLOOKUP('Données projet'!$B$15,Paramètres!$A$1:$I$89,3,0)*VLOOKUP('Données projet'!$B$15,Paramètres!$A$1:$I$89,5,0)</f>
        <v>1.2318923996433231</v>
      </c>
      <c r="EL6" s="14">
        <f t="shared" si="45"/>
        <v>0.55409236961720576</v>
      </c>
      <c r="EM6" s="22">
        <f t="shared" si="19"/>
        <v>3.1105901397954212</v>
      </c>
      <c r="EN6" s="60">
        <f t="shared" si="20"/>
        <v>176.46561070968031</v>
      </c>
      <c r="EO6" s="60">
        <f ca="1">AVERAGE(OFFSET($EN$3,0,0,'Données projet'!$E$15+1,1))-AVERAGE(OFFSET($H$3,0,0,'Données projet'!$E$15+1,1))</f>
        <v>273.72403794510291</v>
      </c>
      <c r="EP6" s="60">
        <f t="shared" si="46"/>
        <v>292.00185554564109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2.6666666666666665</v>
      </c>
      <c r="FE6" s="13">
        <f>IF('Données projet'!$A$218&gt;35,FE5+FD6-FM5,IF(A6&lt;'Données projet'!$A$218,$FB$205^A6,IF(A6='Données projet'!$A$218,'Données projet'!$B$218,FE5+FD6-FM5)))</f>
        <v>2.0912791051825459</v>
      </c>
      <c r="FF6" s="18">
        <f>FE6*VLOOKUP('Données projet'!$B$16,Paramètres!$A$1:$I$89,3,0)*VLOOKUP('Données projet'!$B$16,Paramètres!$A$1:$I$89,5,0)</f>
        <v>1.6311977020423858</v>
      </c>
      <c r="FG6" s="14">
        <f t="shared" si="47"/>
        <v>0.71010553443370616</v>
      </c>
      <c r="FH6" s="22">
        <f t="shared" si="22"/>
        <v>4.0777698035291934</v>
      </c>
      <c r="FI6" s="60">
        <f t="shared" si="23"/>
        <v>177.43279037341409</v>
      </c>
      <c r="FJ6" s="60">
        <f ca="1">AVERAGE(OFFSET($FI$3,0,0,'Données projet'!$E$16+1,1))-AVERAGE(OFFSET($H$3,0,0,'Données projet'!$E$16+1,1))</f>
        <v>309.21625451786218</v>
      </c>
      <c r="FK6" s="60">
        <f t="shared" si="48"/>
        <v>302.59481222418219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3.2392083333333335</v>
      </c>
      <c r="FZ6" s="13">
        <f>IF('Données projet'!$A$244&gt;35,FZ5+FY6-GH5,IF(A6&lt;'Données projet'!$A$244,$FW$205^A6,IF(A6='Données projet'!$A$244,'Données projet'!$B$244,FZ5+FY6-GH5)))</f>
        <v>2.4969223213995591</v>
      </c>
      <c r="GA6" s="18">
        <f>FZ6*VLOOKUP('Données projet'!$B$17,Paramètres!$A$1:$I$89,3,0)*VLOOKUP('Données projet'!$B$17,Paramètres!$A$1:$I$89,5,0)</f>
        <v>1.4931595481969364</v>
      </c>
      <c r="GB6" s="14">
        <f t="shared" si="49"/>
        <v>0.6567382586916034</v>
      </c>
      <c r="GC6" s="22">
        <f t="shared" si="25"/>
        <v>3.74440534699754</v>
      </c>
      <c r="GD6" s="60">
        <f t="shared" si="26"/>
        <v>177.09942591688244</v>
      </c>
      <c r="GE6" s="60">
        <f ca="1">AVERAGE(OFFSET($GD$3,0,0,'Données projet'!$E$17+1,1))-AVERAGE(OFFSET($H$3,0,0,'Données projet'!$E$17+1,1))</f>
        <v>216.36762889365235</v>
      </c>
      <c r="GF6" s="60">
        <f t="shared" si="50"/>
        <v>333.29599352215496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4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2.042519191875845</v>
      </c>
      <c r="P7" s="14">
        <f t="shared" si="33"/>
        <v>0.86619340226463792</v>
      </c>
      <c r="Q7" s="22">
        <f t="shared" si="2"/>
        <v>5.0660077681280073</v>
      </c>
      <c r="R7" s="60">
        <f t="shared" si="0"/>
        <v>181.15212983230495</v>
      </c>
      <c r="S7" s="60">
        <f ca="1">AVERAGE(OFFSET($R$3,0,0,'Données projet'!$E$9+1,1))-AVERAGE(OFFSET($H$3,0,0,'Données projet'!$E$9+1,1))</f>
        <v>496.33873798282525</v>
      </c>
      <c r="T7" s="60">
        <f t="shared" si="34"/>
        <v>280.25465074992246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3.4425641025641025</v>
      </c>
      <c r="AI7" s="14">
        <f>IF('Données projet'!$A$62&gt;35,AI6+AH7-AQ6,IF(A7&lt;'Données projet'!$A$62,$AF$205^A7,IF(A7='Données projet'!$A$62,'Données projet'!$B$62,AI6+AH7-AQ6)))</f>
        <v>1.8558111173927514</v>
      </c>
      <c r="AJ7" s="14">
        <f>AI7*VLOOKUP('Données projet'!$B$10,Paramètres!$A$1:$I$89,3,0)*VLOOKUP('Données projet'!$B$10,Paramètres!$A$1:$I$89,5,0)</f>
        <v>0.86851960293980757</v>
      </c>
      <c r="AK7" s="14">
        <f t="shared" si="35"/>
        <v>0.40687194183965542</v>
      </c>
      <c r="AL7" s="22">
        <f t="shared" si="4"/>
        <v>2.2213069404908978</v>
      </c>
      <c r="AM7" s="60">
        <f t="shared" si="5"/>
        <v>178.30742900466785</v>
      </c>
      <c r="AN7" s="60">
        <f ca="1">AVERAGE(OFFSET($AM$3,0,0,'Données projet'!$E$10+1,1))-AVERAGE(OFFSET($H$3,0,0,'Données projet'!$E$10+1,1))</f>
        <v>277.7918215389401</v>
      </c>
      <c r="AO7" s="60">
        <f t="shared" si="36"/>
        <v>164.65640238394164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1.8376068376068375</v>
      </c>
      <c r="BD7" s="13">
        <f>IF('Données projet'!$A$88&gt;35,BD6+BC7-BL6,IF(A7&lt;'Données projet'!$A$88,$BA$205^A7,IF(A7='Données projet'!$A$88,'Données projet'!$B$88,BD6+BC7-BL6)))</f>
        <v>2.4215402674278335</v>
      </c>
      <c r="BE7" s="14">
        <f>BD7*VLOOKUP('Données projet'!$B$11,Paramètres!$A$1:$I$89,3,0)*VLOOKUP('Données projet'!$B$11,Paramètres!$A$1:$I$89,5,0)</f>
        <v>2.3043377184843261</v>
      </c>
      <c r="BF7" s="14">
        <f t="shared" si="37"/>
        <v>0.96360229154170185</v>
      </c>
      <c r="BG7" s="22">
        <f t="shared" si="7"/>
        <v>5.6916621841286643</v>
      </c>
      <c r="BH7" s="60">
        <f t="shared" si="8"/>
        <v>181.77778424830561</v>
      </c>
      <c r="BI7" s="60">
        <f ca="1">AVERAGE(OFFSET($BH$3,0,0,'Données projet'!$E$11+1,1))-AVERAGE(OFFSET($H$3,0,0,'Données projet'!$E$11+1,1))</f>
        <v>366.21371543563254</v>
      </c>
      <c r="BJ7" s="60">
        <f t="shared" si="38"/>
        <v>237.43356317334084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2.0085470085470085</v>
      </c>
      <c r="BY7" s="13">
        <f>IF('Données projet'!$A$114&gt;35,BY6+BX7-CG6,IF(A7&lt;'Données projet'!$A$114,$BV$205^A7,IF(A7='Données projet'!$A$114,'Données projet'!$B$114,BY6+BX7-CG6)))</f>
        <v>2.4796641843030387</v>
      </c>
      <c r="BZ7" s="14">
        <f>BY7*VLOOKUP('Données projet'!$B$12,Paramètres!$A$1:$I$89,3,0)*VLOOKUP('Données projet'!$B$12,Paramètres!$A$1:$I$89,5,0)</f>
        <v>2.5917450054335363</v>
      </c>
      <c r="CA7" s="14">
        <f t="shared" si="39"/>
        <v>1.069060282146026</v>
      </c>
      <c r="CB7" s="22">
        <f t="shared" si="10"/>
        <v>6.375902542534404</v>
      </c>
      <c r="CC7" s="60">
        <f t="shared" si="11"/>
        <v>182.46202460671134</v>
      </c>
      <c r="CD7" s="60">
        <f ca="1">AVERAGE(OFFSET($CC$3,0,0,'Données projet'!$E$12+1,1))-AVERAGE(OFFSET($H$3,0,0,'Données projet'!$E$12+1,1))</f>
        <v>530.79860063513229</v>
      </c>
      <c r="CE7" s="60">
        <f t="shared" si="40"/>
        <v>302.50876440460434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1.9107437601419195</v>
      </c>
      <c r="CV7" s="14">
        <f t="shared" si="41"/>
        <v>0.81662477151702284</v>
      </c>
      <c r="CW7" s="22">
        <f t="shared" si="13"/>
        <v>4.7501668593059909</v>
      </c>
      <c r="CX7" s="60">
        <f t="shared" si="14"/>
        <v>180.83628892348293</v>
      </c>
      <c r="CY7" s="60">
        <f ca="1">AVERAGE(OFFSET($CX$3,0,0,'Données projet'!$E$13+1,1))-AVERAGE(OFFSET($H$3,0,0,'Données projet'!$E$13+1,1))</f>
        <v>469.67944008675863</v>
      </c>
      <c r="CZ7" s="60">
        <f t="shared" si="42"/>
        <v>266.11908070867173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2.2731261974102144</v>
      </c>
      <c r="DQ7" s="14">
        <f t="shared" si="43"/>
        <v>0.95206068424520052</v>
      </c>
      <c r="DR7" s="22">
        <f t="shared" si="16"/>
        <v>5.617200485549847</v>
      </c>
      <c r="DS7" s="60">
        <f t="shared" si="17"/>
        <v>181.70332254972681</v>
      </c>
      <c r="DT7" s="60">
        <f ca="1">AVERAGE(OFFSET($DS$3,0,0,'Données projet'!$E$14+1,1))-AVERAGE(OFFSET($H$3,0,0,'Données projet'!$E$14+1,1))</f>
        <v>542.90832990875208</v>
      </c>
      <c r="DU7" s="60">
        <f t="shared" si="44"/>
        <v>304.94365539329362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0.59333333333333338</v>
      </c>
      <c r="EJ7" s="13">
        <f>IF('Données projet'!$A$192&gt;35,EJ6+EI7-ER6,IF(A7&lt;'Données projet'!$A$192,$EG$205^A7,IF(A7='Données projet'!$A$192,'Données projet'!$B$192,EJ6+EI7-ER6)))</f>
        <v>1.7913096621034343</v>
      </c>
      <c r="EK7" s="18">
        <f>EJ7*VLOOKUP('Données projet'!$B$15,Paramètres!$A$1:$I$89,3,0)*VLOOKUP('Données projet'!$B$15,Paramètres!$A$1:$I$89,5,0)</f>
        <v>1.4251659671694925</v>
      </c>
      <c r="EL7" s="14">
        <f t="shared" si="45"/>
        <v>0.63024233167960686</v>
      </c>
      <c r="EM7" s="22">
        <f t="shared" si="19"/>
        <v>3.5798361204955143</v>
      </c>
      <c r="EN7" s="60">
        <f t="shared" si="20"/>
        <v>179.66595818467246</v>
      </c>
      <c r="EO7" s="60">
        <f ca="1">AVERAGE(OFFSET($EN$3,0,0,'Données projet'!$E$15+1,1))-AVERAGE(OFFSET($H$3,0,0,'Données projet'!$E$15+1,1))</f>
        <v>273.72403794510291</v>
      </c>
      <c r="EP7" s="60">
        <f t="shared" si="46"/>
        <v>292.00185554564109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2.6666666666666665</v>
      </c>
      <c r="FE7" s="13">
        <f>IF('Données projet'!$A$218&gt;35,FE6+FD7-FM6,IF(A7&lt;'Données projet'!$A$218,$FB$205^A7,IF(A7='Données projet'!$A$218,'Données projet'!$B$218,FE6+FD7-FM6)))</f>
        <v>2.6743361672197152</v>
      </c>
      <c r="FF7" s="18">
        <f>FE7*VLOOKUP('Données projet'!$B$16,Paramètres!$A$1:$I$89,3,0)*VLOOKUP('Données projet'!$B$16,Paramètres!$A$1:$I$89,5,0)</f>
        <v>2.0859822104313781</v>
      </c>
      <c r="FG7" s="14">
        <f t="shared" si="47"/>
        <v>0.88245976121767966</v>
      </c>
      <c r="FH7" s="22">
        <f t="shared" si="22"/>
        <v>5.1700364339554419</v>
      </c>
      <c r="FI7" s="60">
        <f t="shared" si="23"/>
        <v>181.25615849813238</v>
      </c>
      <c r="FJ7" s="60">
        <f ca="1">AVERAGE(OFFSET($FI$3,0,0,'Données projet'!$E$16+1,1))-AVERAGE(OFFSET($H$3,0,0,'Données projet'!$E$16+1,1))</f>
        <v>309.21625451786218</v>
      </c>
      <c r="FK7" s="60">
        <f t="shared" si="48"/>
        <v>302.59481222418219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3.2392083333333335</v>
      </c>
      <c r="FZ7" s="13">
        <f>IF('Données projet'!$A$244&gt;35,FZ6+FY7-GH6,IF(A7&lt;'Données projet'!$A$244,$FW$205^A7,IF(A7='Données projet'!$A$244,'Données projet'!$B$244,FZ6+FY7-GH6)))</f>
        <v>3.3874537604378059</v>
      </c>
      <c r="GA7" s="18">
        <f>FZ7*VLOOKUP('Données projet'!$B$17,Paramètres!$A$1:$I$89,3,0)*VLOOKUP('Données projet'!$B$17,Paramètres!$A$1:$I$89,5,0)</f>
        <v>2.025697348741808</v>
      </c>
      <c r="GB7" s="14">
        <f t="shared" si="49"/>
        <v>0.85988692592849703</v>
      </c>
      <c r="GC7" s="22">
        <f t="shared" si="25"/>
        <v>5.0257259450507812</v>
      </c>
      <c r="GD7" s="60">
        <f t="shared" si="26"/>
        <v>181.11184800922774</v>
      </c>
      <c r="GE7" s="60">
        <f ca="1">AVERAGE(OFFSET($GD$3,0,0,'Données projet'!$E$17+1,1))-AVERAGE(OFFSET($H$3,0,0,'Données projet'!$E$17+1,1))</f>
        <v>216.36762889365235</v>
      </c>
      <c r="GF7" s="60">
        <f t="shared" si="50"/>
        <v>333.29599352215496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4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2.4622299544651152</v>
      </c>
      <c r="P8" s="14">
        <f t="shared" si="33"/>
        <v>1.021715601495419</v>
      </c>
      <c r="Q8" s="22">
        <f t="shared" si="2"/>
        <v>6.0678718432979295</v>
      </c>
      <c r="R8" s="60">
        <f t="shared" si="0"/>
        <v>184.85891971974527</v>
      </c>
      <c r="S8" s="60">
        <f ca="1">AVERAGE(OFFSET($R$3,0,0,'Données projet'!$E$9+1,1))-AVERAGE(OFFSET($H$3,0,0,'Données projet'!$E$9+1,1))</f>
        <v>496.33873798282525</v>
      </c>
      <c r="T8" s="60">
        <f t="shared" si="34"/>
        <v>280.25465074992246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3.4425641025641025</v>
      </c>
      <c r="AI8" s="14">
        <f>IF('Données projet'!$A$62&gt;35,AI7+AH8-AQ7,IF(A8&lt;'Données projet'!$A$62,$AF$205^A8,IF(A8='Données projet'!$A$62,'Données projet'!$B$62,AI7+AH8-AQ7)))</f>
        <v>2.1660437040287945</v>
      </c>
      <c r="AJ8" s="14">
        <f>AI8*VLOOKUP('Données projet'!$B$10,Paramètres!$A$1:$I$89,3,0)*VLOOKUP('Données projet'!$B$10,Paramètres!$A$1:$I$89,5,0)</f>
        <v>1.0137084534854759</v>
      </c>
      <c r="AK8" s="14">
        <f t="shared" si="35"/>
        <v>0.46641966415357117</v>
      </c>
      <c r="AL8" s="22">
        <f t="shared" si="4"/>
        <v>2.5778898048880068</v>
      </c>
      <c r="AM8" s="60">
        <f t="shared" si="5"/>
        <v>181.36893768133535</v>
      </c>
      <c r="AN8" s="60">
        <f ca="1">AVERAGE(OFFSET($AM$3,0,0,'Données projet'!$E$10+1,1))-AVERAGE(OFFSET($H$3,0,0,'Données projet'!$E$10+1,1))</f>
        <v>277.7918215389401</v>
      </c>
      <c r="AO8" s="60">
        <f t="shared" si="36"/>
        <v>164.65640238394164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1.8376068376068375</v>
      </c>
      <c r="BD8" s="13">
        <f>IF('Données projet'!$A$88&gt;35,BD7+BC8-BL7,IF(A8&lt;'Données projet'!$A$88,$BA$205^A8,IF(A8='Données projet'!$A$88,'Données projet'!$B$88,BD7+BC8-BL7)))</f>
        <v>3.020748851769115</v>
      </c>
      <c r="BE8" s="14">
        <f>BD8*VLOOKUP('Données projet'!$B$11,Paramètres!$A$1:$I$89,3,0)*VLOOKUP('Données projet'!$B$11,Paramètres!$A$1:$I$89,5,0)</f>
        <v>2.8745446073434899</v>
      </c>
      <c r="BF8" s="14">
        <f t="shared" si="37"/>
        <v>1.1715037405259263</v>
      </c>
      <c r="BG8" s="22">
        <f t="shared" si="7"/>
        <v>7.0468675392058993</v>
      </c>
      <c r="BH8" s="60">
        <f t="shared" si="8"/>
        <v>185.83791541565324</v>
      </c>
      <c r="BI8" s="60">
        <f ca="1">AVERAGE(OFFSET($BH$3,0,0,'Données projet'!$E$11+1,1))-AVERAGE(OFFSET($H$3,0,0,'Données projet'!$E$11+1,1))</f>
        <v>366.21371543563254</v>
      </c>
      <c r="BJ8" s="60">
        <f t="shared" si="38"/>
        <v>237.43356317334084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2.0085470085470085</v>
      </c>
      <c r="BY8" s="13">
        <f>IF('Données projet'!$A$114&gt;35,BY7+BX8-CG7,IF(A8&lt;'Données projet'!$A$114,$BV$205^A8,IF(A8='Données projet'!$A$114,'Données projet'!$B$114,BY7+BX8-CG7)))</f>
        <v>3.1116524728023753</v>
      </c>
      <c r="BZ8" s="14">
        <f>BY8*VLOOKUP('Données projet'!$B$12,Paramètres!$A$1:$I$89,3,0)*VLOOKUP('Données projet'!$B$12,Paramètres!$A$1:$I$89,5,0)</f>
        <v>3.2522991645730426</v>
      </c>
      <c r="CA8" s="14">
        <f t="shared" si="39"/>
        <v>1.3065426155602187</v>
      </c>
      <c r="CB8" s="22">
        <f t="shared" si="10"/>
        <v>7.9399827670654304</v>
      </c>
      <c r="CC8" s="60">
        <f t="shared" si="11"/>
        <v>186.73103064351278</v>
      </c>
      <c r="CD8" s="60">
        <f ca="1">AVERAGE(OFFSET($CC$3,0,0,'Données projet'!$E$12+1,1))-AVERAGE(OFFSET($H$3,0,0,'Données projet'!$E$12+1,1))</f>
        <v>530.79860063513229</v>
      </c>
      <c r="CE8" s="60">
        <f t="shared" si="40"/>
        <v>302.50876440460434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2.3033764090157529</v>
      </c>
      <c r="CV8" s="14">
        <f t="shared" si="41"/>
        <v>0.96324708482559218</v>
      </c>
      <c r="CW8" s="22">
        <f t="shared" si="13"/>
        <v>5.6893692517736758</v>
      </c>
      <c r="CX8" s="60">
        <f t="shared" si="14"/>
        <v>184.48041712822103</v>
      </c>
      <c r="CY8" s="60">
        <f ca="1">AVERAGE(OFFSET($CX$3,0,0,'Données projet'!$E$13+1,1))-AVERAGE(OFFSET($H$3,0,0,'Données projet'!$E$13+1,1))</f>
        <v>469.67944008675863</v>
      </c>
      <c r="CZ8" s="60">
        <f t="shared" si="42"/>
        <v>266.11908070867173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2.740223659001499</v>
      </c>
      <c r="DQ8" s="14">
        <f t="shared" si="43"/>
        <v>1.1230000737947632</v>
      </c>
      <c r="DR8" s="22">
        <f t="shared" si="16"/>
        <v>6.7284480012868242</v>
      </c>
      <c r="DS8" s="60">
        <f t="shared" si="17"/>
        <v>185.51949587773419</v>
      </c>
      <c r="DT8" s="60">
        <f ca="1">AVERAGE(OFFSET($DS$3,0,0,'Données projet'!$E$14+1,1))-AVERAGE(OFFSET($H$3,0,0,'Données projet'!$E$14+1,1))</f>
        <v>542.90832990875208</v>
      </c>
      <c r="DU8" s="60">
        <f t="shared" si="44"/>
        <v>304.94365539329362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0.59333333333333338</v>
      </c>
      <c r="EJ8" s="13">
        <f>IF('Données projet'!$A$192&gt;35,EJ7+EI8-ER7,IF(A8&lt;'Données projet'!$A$192,$EG$205^A8,IF(A8='Données projet'!$A$192,'Données projet'!$B$192,EJ7+EI8-ER7)))</f>
        <v>2.0723510980592605</v>
      </c>
      <c r="EK8" s="18">
        <f>EJ8*VLOOKUP('Données projet'!$B$15,Paramètres!$A$1:$I$89,3,0)*VLOOKUP('Données projet'!$B$15,Paramètres!$A$1:$I$89,5,0)</f>
        <v>1.6487625336159477</v>
      </c>
      <c r="EL8" s="14">
        <f t="shared" si="45"/>
        <v>0.71685772701644768</v>
      </c>
      <c r="EM8" s="22">
        <f t="shared" si="19"/>
        <v>4.1201219539347553</v>
      </c>
      <c r="EN8" s="60">
        <f t="shared" si="20"/>
        <v>182.91116983038211</v>
      </c>
      <c r="EO8" s="60">
        <f ca="1">AVERAGE(OFFSET($EN$3,0,0,'Données projet'!$E$15+1,1))-AVERAGE(OFFSET($H$3,0,0,'Données projet'!$E$15+1,1))</f>
        <v>273.72403794510291</v>
      </c>
      <c r="EP8" s="60">
        <f t="shared" si="46"/>
        <v>292.00185554564109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2.6666666666666665</v>
      </c>
      <c r="FE8" s="13">
        <f>IF('Données projet'!$A$218&gt;35,FE7+FD8-FM7,IF(A8&lt;'Données projet'!$A$218,$FB$205^A8,IF(A8='Données projet'!$A$218,'Données projet'!$B$218,FE7+FD8-FM7)))</f>
        <v>3.4199518933533928</v>
      </c>
      <c r="FF8" s="18">
        <f>FE8*VLOOKUP('Données projet'!$B$16,Paramètres!$A$1:$I$89,3,0)*VLOOKUP('Données projet'!$B$16,Paramètres!$A$1:$I$89,5,0)</f>
        <v>2.6675624768156463</v>
      </c>
      <c r="FG8" s="14">
        <f t="shared" si="47"/>
        <v>1.0966471776471767</v>
      </c>
      <c r="FH8" s="22">
        <f t="shared" si="22"/>
        <v>6.5559984815227494</v>
      </c>
      <c r="FI8" s="60">
        <f t="shared" si="23"/>
        <v>185.3470463579701</v>
      </c>
      <c r="FJ8" s="60">
        <f ca="1">AVERAGE(OFFSET($FI$3,0,0,'Données projet'!$E$16+1,1))-AVERAGE(OFFSET($H$3,0,0,'Données projet'!$E$16+1,1))</f>
        <v>309.21625451786218</v>
      </c>
      <c r="FK8" s="60">
        <f t="shared" si="48"/>
        <v>302.59481222418219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3.2392083333333335</v>
      </c>
      <c r="FZ8" s="13">
        <f>IF('Données projet'!$A$244&gt;35,FZ7+FY8-GH7,IF(A8&lt;'Données projet'!$A$244,$FW$205^A8,IF(A8='Données projet'!$A$244,'Données projet'!$B$244,FZ7+FY8-GH7)))</f>
        <v>4.5955946970238246</v>
      </c>
      <c r="GA8" s="18">
        <f>FZ8*VLOOKUP('Données projet'!$B$17,Paramètres!$A$1:$I$89,3,0)*VLOOKUP('Données projet'!$B$17,Paramètres!$A$1:$I$89,5,0)</f>
        <v>2.7481656288202476</v>
      </c>
      <c r="GB8" s="14">
        <f t="shared" si="49"/>
        <v>1.1258755152408089</v>
      </c>
      <c r="GC8" s="22">
        <f t="shared" si="25"/>
        <v>6.7472883259063394</v>
      </c>
      <c r="GD8" s="60">
        <f t="shared" si="26"/>
        <v>185.53833620235369</v>
      </c>
      <c r="GE8" s="60">
        <f ca="1">AVERAGE(OFFSET($GD$3,0,0,'Données projet'!$E$17+1,1))-AVERAGE(OFFSET($H$3,0,0,'Données projet'!$E$17+1,1))</f>
        <v>216.36762889365235</v>
      </c>
      <c r="GF8" s="60">
        <f t="shared" si="50"/>
        <v>333.29599352215496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4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2.9681857447309605</v>
      </c>
      <c r="P9" s="14">
        <f t="shared" si="33"/>
        <v>1.2051613041728233</v>
      </c>
      <c r="Q9" s="22">
        <f t="shared" si="2"/>
        <v>7.2685794435074236</v>
      </c>
      <c r="R9" s="60">
        <f t="shared" si="0"/>
        <v>188.73883153976641</v>
      </c>
      <c r="S9" s="60">
        <f ca="1">AVERAGE(OFFSET($R$3,0,0,'Données projet'!$E$9+1,1))-AVERAGE(OFFSET($H$3,0,0,'Données projet'!$E$9+1,1))</f>
        <v>496.33873798282525</v>
      </c>
      <c r="T9" s="60">
        <f t="shared" si="34"/>
        <v>280.25465074992246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3.4425641025641025</v>
      </c>
      <c r="AI9" s="14">
        <f>IF('Données projet'!$A$62&gt;35,AI8+AH9-AQ8,IF(A9&lt;'Données projet'!$A$62,$AF$205^A9,IF(A9='Données projet'!$A$62,'Données projet'!$B$62,AI8+AH9-AQ8)))</f>
        <v>2.5281373108456551</v>
      </c>
      <c r="AJ9" s="14">
        <f>AI9*VLOOKUP('Données projet'!$B$10,Paramètres!$A$1:$I$89,3,0)*VLOOKUP('Données projet'!$B$10,Paramètres!$A$1:$I$89,5,0)</f>
        <v>1.1831682614757666</v>
      </c>
      <c r="AK9" s="14">
        <f t="shared" si="35"/>
        <v>0.53468249033221249</v>
      </c>
      <c r="AL9" s="22">
        <f t="shared" si="4"/>
        <v>2.9919233927322302</v>
      </c>
      <c r="AM9" s="60">
        <f t="shared" si="5"/>
        <v>184.46217548899119</v>
      </c>
      <c r="AN9" s="60">
        <f ca="1">AVERAGE(OFFSET($AM$3,0,0,'Données projet'!$E$10+1,1))-AVERAGE(OFFSET($H$3,0,0,'Données projet'!$E$10+1,1))</f>
        <v>277.7918215389401</v>
      </c>
      <c r="AO9" s="60">
        <f t="shared" si="36"/>
        <v>164.65640238394164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1.8376068376068375</v>
      </c>
      <c r="BD9" s="13">
        <f>IF('Données projet'!$A$88&gt;35,BD8+BC9-BL8,IF(A9&lt;'Données projet'!$A$88,$BA$205^A9,IF(A9='Données projet'!$A$88,'Données projet'!$B$88,BD8+BC9-BL8)))</f>
        <v>3.7682312155630364</v>
      </c>
      <c r="BE9" s="14">
        <f>BD9*VLOOKUP('Données projet'!$B$11,Paramètres!$A$1:$I$89,3,0)*VLOOKUP('Données projet'!$B$11,Paramètres!$A$1:$I$89,5,0)</f>
        <v>3.5858488247297853</v>
      </c>
      <c r="BF9" s="14">
        <f t="shared" si="37"/>
        <v>1.4242608450738024</v>
      </c>
      <c r="BG9" s="22">
        <f t="shared" si="7"/>
        <v>8.7259410082412483</v>
      </c>
      <c r="BH9" s="60">
        <f t="shared" si="8"/>
        <v>190.19619310450022</v>
      </c>
      <c r="BI9" s="60">
        <f ca="1">AVERAGE(OFFSET($BH$3,0,0,'Données projet'!$E$11+1,1))-AVERAGE(OFFSET($H$3,0,0,'Données projet'!$E$11+1,1))</f>
        <v>366.21371543563254</v>
      </c>
      <c r="BJ9" s="60">
        <f t="shared" si="38"/>
        <v>237.43356317334084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2.0085470085470085</v>
      </c>
      <c r="BY9" s="13">
        <f>IF('Données projet'!$A$114&gt;35,BY8+BX9-CG8,IF(A9&lt;'Données projet'!$A$114,$BV$205^A9,IF(A9='Données projet'!$A$114,'Données projet'!$B$114,BY8+BX9-CG8)))</f>
        <v>3.9047146677317404</v>
      </c>
      <c r="BZ9" s="14">
        <f>BY9*VLOOKUP('Données projet'!$B$12,Paramètres!$A$1:$I$89,3,0)*VLOOKUP('Données projet'!$B$12,Paramètres!$A$1:$I$89,5,0)</f>
        <v>4.0812077707132151</v>
      </c>
      <c r="CA9" s="14">
        <f t="shared" si="39"/>
        <v>1.5967795593792025</v>
      </c>
      <c r="CB9" s="22">
        <f t="shared" si="10"/>
        <v>9.8891612665776254</v>
      </c>
      <c r="CC9" s="60">
        <f t="shared" si="11"/>
        <v>191.35941336283659</v>
      </c>
      <c r="CD9" s="60">
        <f ca="1">AVERAGE(OFFSET($CC$3,0,0,'Données projet'!$E$12+1,1))-AVERAGE(OFFSET($H$3,0,0,'Données projet'!$E$12+1,1))</f>
        <v>530.79860063513229</v>
      </c>
      <c r="CE9" s="60">
        <f t="shared" si="40"/>
        <v>302.50876440460434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2.7766898902321886</v>
      </c>
      <c r="CV9" s="14">
        <f t="shared" si="41"/>
        <v>1.1361949561012803</v>
      </c>
      <c r="CW9" s="22">
        <f t="shared" si="13"/>
        <v>6.8149411073641248</v>
      </c>
      <c r="CX9" s="60">
        <f t="shared" si="14"/>
        <v>188.28519320362309</v>
      </c>
      <c r="CY9" s="60">
        <f ca="1">AVERAGE(OFFSET($CX$3,0,0,'Données projet'!$E$13+1,1))-AVERAGE(OFFSET($H$3,0,0,'Données projet'!$E$13+1,1))</f>
        <v>469.67944008675863</v>
      </c>
      <c r="CZ9" s="60">
        <f t="shared" si="42"/>
        <v>266.11908070867173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3.3033034901038101</v>
      </c>
      <c r="DQ9" s="14">
        <f t="shared" si="43"/>
        <v>1.3246310730107231</v>
      </c>
      <c r="DR9" s="22">
        <f t="shared" si="16"/>
        <v>8.0603193640911446</v>
      </c>
      <c r="DS9" s="60">
        <f t="shared" si="17"/>
        <v>189.53057146035013</v>
      </c>
      <c r="DT9" s="60">
        <f ca="1">AVERAGE(OFFSET($DS$3,0,0,'Données projet'!$E$14+1,1))-AVERAGE(OFFSET($H$3,0,0,'Données projet'!$E$14+1,1))</f>
        <v>542.90832990875208</v>
      </c>
      <c r="DU9" s="60">
        <f t="shared" si="44"/>
        <v>304.94365539329362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0.59333333333333338</v>
      </c>
      <c r="EJ9" s="13">
        <f>IF('Données projet'!$A$192&gt;35,EJ8+EI9-ER8,IF(A9&lt;'Données projet'!$A$192,$EG$205^A9,IF(A9='Données projet'!$A$192,'Données projet'!$B$192,EJ8+EI9-ER8)))</f>
        <v>2.3974855740935763</v>
      </c>
      <c r="EK9" s="18">
        <f>EJ9*VLOOKUP('Données projet'!$B$15,Paramètres!$A$1:$I$89,3,0)*VLOOKUP('Données projet'!$B$15,Paramètres!$A$1:$I$89,5,0)</f>
        <v>1.9074395227488494</v>
      </c>
      <c r="EL9" s="14">
        <f t="shared" si="45"/>
        <v>0.8153768399112058</v>
      </c>
      <c r="EM9" s="22">
        <f t="shared" si="19"/>
        <v>4.7422384982995958</v>
      </c>
      <c r="EN9" s="60">
        <f t="shared" si="20"/>
        <v>186.21249059455857</v>
      </c>
      <c r="EO9" s="60">
        <f ca="1">AVERAGE(OFFSET($EN$3,0,0,'Données projet'!$E$15+1,1))-AVERAGE(OFFSET($H$3,0,0,'Données projet'!$E$15+1,1))</f>
        <v>273.72403794510291</v>
      </c>
      <c r="EP9" s="60">
        <f t="shared" si="46"/>
        <v>292.00185554564109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2.6666666666666665</v>
      </c>
      <c r="FE9" s="13">
        <f>IF('Données projet'!$A$218&gt;35,FE8+FD9-FM8,IF(A9&lt;'Données projet'!$A$218,$FB$205^A9,IF(A9='Données projet'!$A$218,'Données projet'!$B$218,FE8+FD9-FM8)))</f>
        <v>4.3734482957731098</v>
      </c>
      <c r="FF9" s="18">
        <f>FE9*VLOOKUP('Données projet'!$B$16,Paramètres!$A$1:$I$89,3,0)*VLOOKUP('Données projet'!$B$16,Paramètres!$A$1:$I$89,5,0)</f>
        <v>3.4112896707030256</v>
      </c>
      <c r="FG9" s="14">
        <f t="shared" si="47"/>
        <v>1.3628213830192535</v>
      </c>
      <c r="FH9" s="22">
        <f t="shared" si="22"/>
        <v>8.3149100852329703</v>
      </c>
      <c r="FI9" s="60">
        <f t="shared" si="23"/>
        <v>189.78516218149196</v>
      </c>
      <c r="FJ9" s="60">
        <f ca="1">AVERAGE(OFFSET($FI$3,0,0,'Données projet'!$E$16+1,1))-AVERAGE(OFFSET($H$3,0,0,'Données projet'!$E$16+1,1))</f>
        <v>309.21625451786218</v>
      </c>
      <c r="FK9" s="60">
        <f t="shared" si="48"/>
        <v>302.59481222418219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3.2392083333333335</v>
      </c>
      <c r="FZ9" s="13">
        <f>IF('Données projet'!$A$244&gt;35,FZ8+FY9-GH8,IF(A9&lt;'Données projet'!$A$244,$FW$205^A9,IF(A9='Données projet'!$A$244,'Données projet'!$B$244,FZ8+FY9-GH8)))</f>
        <v>6.2346210791033627</v>
      </c>
      <c r="GA9" s="18">
        <f>FZ9*VLOOKUP('Données projet'!$B$17,Paramètres!$A$1:$I$89,3,0)*VLOOKUP('Données projet'!$B$17,Paramètres!$A$1:$I$89,5,0)</f>
        <v>3.7283034053038109</v>
      </c>
      <c r="GB9" s="14">
        <f t="shared" si="49"/>
        <v>1.4741422826611996</v>
      </c>
      <c r="GC9" s="22">
        <f t="shared" si="25"/>
        <v>9.0609262398723924</v>
      </c>
      <c r="GD9" s="60">
        <f t="shared" si="26"/>
        <v>190.53117833613138</v>
      </c>
      <c r="GE9" s="60">
        <f ca="1">AVERAGE(OFFSET($GD$3,0,0,'Données projet'!$E$17+1,1))-AVERAGE(OFFSET($H$3,0,0,'Données projet'!$E$17+1,1))</f>
        <v>216.36762889365235</v>
      </c>
      <c r="GF9" s="60">
        <f t="shared" si="50"/>
        <v>333.29599352215496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4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3.5781087786895851</v>
      </c>
      <c r="P10" s="14">
        <f t="shared" si="33"/>
        <v>1.4215440842341414</v>
      </c>
      <c r="Q10" s="22">
        <f t="shared" si="2"/>
        <v>8.707728736258824</v>
      </c>
      <c r="R10" s="60">
        <f t="shared" si="0"/>
        <v>192.83190967199505</v>
      </c>
      <c r="S10" s="60">
        <f ca="1">AVERAGE(OFFSET($R$3,0,0,'Données projet'!$E$9+1,1))-AVERAGE(OFFSET($H$3,0,0,'Données projet'!$E$9+1,1))</f>
        <v>496.33873798282525</v>
      </c>
      <c r="T10" s="60">
        <f t="shared" si="34"/>
        <v>280.25465074992246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3.4425641025641025</v>
      </c>
      <c r="AI10" s="14">
        <f>IF('Données projet'!$A$62&gt;35,AI9+AH10-AQ9,IF(A10&lt;'Données projet'!$A$62,$AF$205^A10,IF(A10='Données projet'!$A$62,'Données projet'!$B$62,AI9+AH10-AQ9)))</f>
        <v>2.9507614507509188</v>
      </c>
      <c r="AJ10" s="14">
        <f>AI10*VLOOKUP('Données projet'!$B$10,Paramètres!$A$1:$I$89,3,0)*VLOOKUP('Données projet'!$B$10,Paramètres!$A$1:$I$89,5,0)</f>
        <v>1.38095635895143</v>
      </c>
      <c r="AK10" s="14">
        <f t="shared" si="35"/>
        <v>0.61293591895758326</v>
      </c>
      <c r="AL10" s="22">
        <f t="shared" si="4"/>
        <v>3.472695717358198</v>
      </c>
      <c r="AM10" s="60">
        <f t="shared" si="5"/>
        <v>187.59687665309443</v>
      </c>
      <c r="AN10" s="60">
        <f ca="1">AVERAGE(OFFSET($AM$3,0,0,'Données projet'!$E$10+1,1))-AVERAGE(OFFSET($H$3,0,0,'Données projet'!$E$10+1,1))</f>
        <v>277.7918215389401</v>
      </c>
      <c r="AO10" s="60">
        <f t="shared" si="36"/>
        <v>164.65640238394164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1.8376068376068375</v>
      </c>
      <c r="BD10" s="13">
        <f>IF('Données projet'!$A$88&gt;35,BD9+BC10-BL9,IF(A10&lt;'Données projet'!$A$88,$BA$205^A10,IF(A10='Données projet'!$A$88,'Données projet'!$B$88,BD9+BC10-BL9)))</f>
        <v>4.7006776103308425</v>
      </c>
      <c r="BE10" s="14">
        <f>BD10*VLOOKUP('Données projet'!$B$11,Paramètres!$A$1:$I$89,3,0)*VLOOKUP('Données projet'!$B$11,Paramètres!$A$1:$I$89,5,0)</f>
        <v>4.47316481399083</v>
      </c>
      <c r="BF10" s="14">
        <f t="shared" si="37"/>
        <v>1.7315514109239405</v>
      </c>
      <c r="BG10" s="22">
        <f t="shared" si="7"/>
        <v>10.806547425059891</v>
      </c>
      <c r="BH10" s="60">
        <f t="shared" si="8"/>
        <v>194.93072836079614</v>
      </c>
      <c r="BI10" s="60">
        <f ca="1">AVERAGE(OFFSET($BH$3,0,0,'Données projet'!$E$11+1,1))-AVERAGE(OFFSET($H$3,0,0,'Données projet'!$E$11+1,1))</f>
        <v>366.21371543563254</v>
      </c>
      <c r="BJ10" s="60">
        <f t="shared" si="38"/>
        <v>237.43356317334084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2.0085470085470085</v>
      </c>
      <c r="BY10" s="13">
        <f>IF('Données projet'!$A$114&gt;35,BY9+BX10-CG9,IF(A10&lt;'Données projet'!$A$114,$BV$205^A10,IF(A10='Données projet'!$A$114,'Données projet'!$B$114,BY9+BX10-CG9)))</f>
        <v>4.899903433839456</v>
      </c>
      <c r="BZ10" s="14">
        <f>BY10*VLOOKUP('Données projet'!$B$12,Paramètres!$A$1:$I$89,3,0)*VLOOKUP('Données projet'!$B$12,Paramètres!$A$1:$I$89,5,0)</f>
        <v>5.1213790690489995</v>
      </c>
      <c r="CA10" s="14">
        <f t="shared" si="39"/>
        <v>1.9514900860374758</v>
      </c>
      <c r="CB10" s="22">
        <f t="shared" si="10"/>
        <v>12.318580445108942</v>
      </c>
      <c r="CC10" s="60">
        <f t="shared" si="11"/>
        <v>196.44276138084518</v>
      </c>
      <c r="CD10" s="60">
        <f ca="1">AVERAGE(OFFSET($CC$3,0,0,'Données projet'!$E$12+1,1))-AVERAGE(OFFSET($H$3,0,0,'Données projet'!$E$12+1,1))</f>
        <v>530.79860063513229</v>
      </c>
      <c r="CE10" s="60">
        <f t="shared" si="40"/>
        <v>302.50876440460434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3.3472630510321921</v>
      </c>
      <c r="CV10" s="14">
        <f t="shared" si="41"/>
        <v>1.34019505338418</v>
      </c>
      <c r="CW10" s="22">
        <f t="shared" si="13"/>
        <v>8.1639895318585136</v>
      </c>
      <c r="CX10" s="60">
        <f t="shared" si="14"/>
        <v>192.28817046759474</v>
      </c>
      <c r="CY10" s="60">
        <f ca="1">AVERAGE(OFFSET($CX$3,0,0,'Données projet'!$E$13+1,1))-AVERAGE(OFFSET($H$3,0,0,'Données projet'!$E$13+1,1))</f>
        <v>469.67944008675863</v>
      </c>
      <c r="CZ10" s="60">
        <f t="shared" si="42"/>
        <v>266.11908070867173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3.982088802090022</v>
      </c>
      <c r="DQ10" s="14">
        <f t="shared" si="43"/>
        <v>1.5624642602705792</v>
      </c>
      <c r="DR10" s="22">
        <f t="shared" si="16"/>
        <v>9.6567632502780452</v>
      </c>
      <c r="DS10" s="60">
        <f t="shared" si="17"/>
        <v>193.78094418601427</v>
      </c>
      <c r="DT10" s="60">
        <f ca="1">AVERAGE(OFFSET($DS$3,0,0,'Données projet'!$E$14+1,1))-AVERAGE(OFFSET($H$3,0,0,'Données projet'!$E$14+1,1))</f>
        <v>542.90832990875208</v>
      </c>
      <c r="DU10" s="60">
        <f t="shared" si="44"/>
        <v>304.94365539329362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0.59333333333333338</v>
      </c>
      <c r="EJ10" s="13">
        <f>IF('Données projet'!$A$192&gt;35,EJ9+EI10-ER9,IF(A10&lt;'Données projet'!$A$192,$EG$205^A10,IF(A10='Données projet'!$A$192,'Données projet'!$B$192,EJ9+EI10-ER9)))</f>
        <v>2.7736309177386498</v>
      </c>
      <c r="EK10" s="18">
        <f>EJ10*VLOOKUP('Données projet'!$B$15,Paramètres!$A$1:$I$89,3,0)*VLOOKUP('Données projet'!$B$15,Paramètres!$A$1:$I$89,5,0)</f>
        <v>2.2067007581528699</v>
      </c>
      <c r="EL10" s="14">
        <f t="shared" si="45"/>
        <v>0.9274356207760176</v>
      </c>
      <c r="EM10" s="22">
        <f t="shared" si="19"/>
        <v>5.4586208599678123</v>
      </c>
      <c r="EN10" s="60">
        <f t="shared" si="20"/>
        <v>189.58280179570406</v>
      </c>
      <c r="EO10" s="60">
        <f ca="1">AVERAGE(OFFSET($EN$3,0,0,'Données projet'!$E$15+1,1))-AVERAGE(OFFSET($H$3,0,0,'Données projet'!$E$15+1,1))</f>
        <v>273.72403794510291</v>
      </c>
      <c r="EP10" s="60">
        <f t="shared" si="46"/>
        <v>292.00185554564109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2.6666666666666665</v>
      </c>
      <c r="FE10" s="13">
        <f>IF('Données projet'!$A$218&gt;35,FE9+FD10-FM9,IF(A10&lt;'Données projet'!$A$218,$FB$205^A10,IF(A10='Données projet'!$A$218,'Données projet'!$B$218,FE9+FD10-FM9)))</f>
        <v>5.5927833467405659</v>
      </c>
      <c r="FF10" s="18">
        <f>FE10*VLOOKUP('Données projet'!$B$16,Paramètres!$A$1:$I$89,3,0)*VLOOKUP('Données projet'!$B$16,Paramètres!$A$1:$I$89,5,0)</f>
        <v>4.3623710104576414</v>
      </c>
      <c r="FG10" s="14">
        <f t="shared" si="47"/>
        <v>1.6936004212396314</v>
      </c>
      <c r="FH10" s="22">
        <f t="shared" si="22"/>
        <v>10.54748357687275</v>
      </c>
      <c r="FI10" s="60">
        <f t="shared" si="23"/>
        <v>194.67166451260897</v>
      </c>
      <c r="FJ10" s="60">
        <f ca="1">AVERAGE(OFFSET($FI$3,0,0,'Données projet'!$E$16+1,1))-AVERAGE(OFFSET($H$3,0,0,'Données projet'!$E$16+1,1))</f>
        <v>309.21625451786218</v>
      </c>
      <c r="FK10" s="60">
        <f t="shared" si="48"/>
        <v>302.59481222418219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3.2392083333333335</v>
      </c>
      <c r="FZ10" s="13">
        <f>IF('Données projet'!$A$244&gt;35,FZ9+FY10-GH9,IF(A10&lt;'Données projet'!$A$244,$FW$205^A10,IF(A10='Données projet'!$A$244,'Données projet'!$B$244,FZ9+FY10-GH9)))</f>
        <v>8.458208907146032</v>
      </c>
      <c r="GA10" s="18">
        <f>FZ10*VLOOKUP('Données projet'!$B$17,Paramètres!$A$1:$I$89,3,0)*VLOOKUP('Données projet'!$B$17,Paramètres!$A$1:$I$89,5,0)</f>
        <v>5.0580089264733274</v>
      </c>
      <c r="GB10" s="14">
        <f t="shared" si="49"/>
        <v>1.9301383146828432</v>
      </c>
      <c r="GC10" s="22">
        <f t="shared" si="25"/>
        <v>12.171023111680329</v>
      </c>
      <c r="GD10" s="60">
        <f t="shared" si="26"/>
        <v>196.29520404741658</v>
      </c>
      <c r="GE10" s="60">
        <f ca="1">AVERAGE(OFFSET($GD$3,0,0,'Données projet'!$E$17+1,1))-AVERAGE(OFFSET($H$3,0,0,'Données projet'!$E$17+1,1))</f>
        <v>216.36762889365235</v>
      </c>
      <c r="GF10" s="60">
        <f t="shared" si="50"/>
        <v>333.29599352215496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4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4.3133629540748091</v>
      </c>
      <c r="P11" s="14">
        <f t="shared" si="33"/>
        <v>1.6767776864592203</v>
      </c>
      <c r="Q11" s="22">
        <f t="shared" si="2"/>
        <v>10.432828282263435</v>
      </c>
      <c r="R11" s="60">
        <f t="shared" si="0"/>
        <v>197.186101148484</v>
      </c>
      <c r="S11" s="60">
        <f ca="1">AVERAGE(OFFSET($R$3,0,0,'Données projet'!$E$9+1,1))-AVERAGE(OFFSET($H$3,0,0,'Données projet'!$E$9+1,1))</f>
        <v>496.33873798282525</v>
      </c>
      <c r="T11" s="60">
        <f t="shared" si="34"/>
        <v>280.25465074992246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3.4425641025641025</v>
      </c>
      <c r="AI11" s="14">
        <f>IF('Données projet'!$A$62&gt;35,AI10+AH11-AQ10,IF(A11&lt;'Données projet'!$A$62,$AF$205^A11,IF(A11='Données projet'!$A$62,'Données projet'!$B$62,AI10+AH11-AQ10)))</f>
        <v>3.4440349034385327</v>
      </c>
      <c r="AJ11" s="14">
        <f>AI11*VLOOKUP('Données projet'!$B$10,Paramètres!$A$1:$I$89,3,0)*VLOOKUP('Données projet'!$B$10,Paramètres!$A$1:$I$89,5,0)</f>
        <v>1.6118083348092334</v>
      </c>
      <c r="AK11" s="14">
        <f t="shared" si="35"/>
        <v>0.70264212414165761</v>
      </c>
      <c r="AL11" s="22">
        <f t="shared" si="4"/>
        <v>4.0310012160061346</v>
      </c>
      <c r="AM11" s="60">
        <f t="shared" si="5"/>
        <v>190.78427408222669</v>
      </c>
      <c r="AN11" s="60">
        <f ca="1">AVERAGE(OFFSET($AM$3,0,0,'Données projet'!$E$10+1,1))-AVERAGE(OFFSET($H$3,0,0,'Données projet'!$E$10+1,1))</f>
        <v>277.7918215389401</v>
      </c>
      <c r="AO11" s="60">
        <f t="shared" si="36"/>
        <v>164.65640238394164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1.8376068376068375</v>
      </c>
      <c r="BD11" s="13">
        <f>IF('Données projet'!$A$88&gt;35,BD10+BC11-BL10,IF(A11&lt;'Données projet'!$A$88,$BA$205^A11,IF(A11='Données projet'!$A$88,'Données projet'!$B$88,BD10+BC11-BL10)))</f>
        <v>5.8638572667744633</v>
      </c>
      <c r="BE11" s="14">
        <f>BD11*VLOOKUP('Données projet'!$B$11,Paramètres!$A$1:$I$89,3,0)*VLOOKUP('Données projet'!$B$11,Paramètres!$A$1:$I$89,5,0)</f>
        <v>5.5800465750625792</v>
      </c>
      <c r="BF11" s="14">
        <f t="shared" si="37"/>
        <v>2.105141273133381</v>
      </c>
      <c r="BG11" s="22">
        <f t="shared" si="7"/>
        <v>13.385035502274631</v>
      </c>
      <c r="BH11" s="60">
        <f t="shared" si="8"/>
        <v>200.13830836849519</v>
      </c>
      <c r="BI11" s="60">
        <f ca="1">AVERAGE(OFFSET($BH$3,0,0,'Données projet'!$E$11+1,1))-AVERAGE(OFFSET($H$3,0,0,'Données projet'!$E$11+1,1))</f>
        <v>366.21371543563254</v>
      </c>
      <c r="BJ11" s="60">
        <f t="shared" si="38"/>
        <v>237.43356317334084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2.0085470085470085</v>
      </c>
      <c r="BY11" s="13">
        <f>IF('Données projet'!$A$114&gt;35,BY10+BX11-CG10,IF(A11&lt;'Données projet'!$A$114,$BV$205^A11,IF(A11='Données projet'!$A$114,'Données projet'!$B$114,BY10+BX11-CG10)))</f>
        <v>6.1487344669152542</v>
      </c>
      <c r="BZ11" s="14">
        <f>BY11*VLOOKUP('Données projet'!$B$12,Paramètres!$A$1:$I$89,3,0)*VLOOKUP('Données projet'!$B$12,Paramètres!$A$1:$I$89,5,0)</f>
        <v>6.4266572648198244</v>
      </c>
      <c r="CA11" s="14">
        <f t="shared" si="39"/>
        <v>2.3849964345630501</v>
      </c>
      <c r="CB11" s="22">
        <f t="shared" si="10"/>
        <v>15.346963526425172</v>
      </c>
      <c r="CC11" s="60">
        <f t="shared" si="11"/>
        <v>202.10023639264574</v>
      </c>
      <c r="CD11" s="60">
        <f ca="1">AVERAGE(OFFSET($CC$3,0,0,'Données projet'!$E$12+1,1))-AVERAGE(OFFSET($H$3,0,0,'Données projet'!$E$12+1,1))</f>
        <v>530.79860063513229</v>
      </c>
      <c r="CE11" s="60">
        <f t="shared" si="40"/>
        <v>302.50876440460434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4.0350814731667564</v>
      </c>
      <c r="CV11" s="14">
        <f t="shared" si="41"/>
        <v>1.5808227025391921</v>
      </c>
      <c r="CW11" s="22">
        <f t="shared" si="13"/>
        <v>9.7810331060211926</v>
      </c>
      <c r="CX11" s="60">
        <f t="shared" si="14"/>
        <v>196.53430597224175</v>
      </c>
      <c r="CY11" s="60">
        <f ca="1">AVERAGE(OFFSET($CX$3,0,0,'Données projet'!$E$13+1,1))-AVERAGE(OFFSET($H$3,0,0,'Données projet'!$E$13+1,1))</f>
        <v>469.67944008675863</v>
      </c>
      <c r="CZ11" s="60">
        <f t="shared" si="42"/>
        <v>266.11908070867173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4.8003555456638995</v>
      </c>
      <c r="DQ11" s="14">
        <f t="shared" si="43"/>
        <v>1.8429996203200378</v>
      </c>
      <c r="DR11" s="22">
        <f t="shared" si="16"/>
        <v>11.570510247422023</v>
      </c>
      <c r="DS11" s="60">
        <f t="shared" si="17"/>
        <v>198.32378311364258</v>
      </c>
      <c r="DT11" s="60">
        <f ca="1">AVERAGE(OFFSET($DS$3,0,0,'Données projet'!$E$14+1,1))-AVERAGE(OFFSET($H$3,0,0,'Données projet'!$E$14+1,1))</f>
        <v>542.90832990875208</v>
      </c>
      <c r="DU11" s="60">
        <f t="shared" si="44"/>
        <v>304.94365539329362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0.59333333333333338</v>
      </c>
      <c r="EJ11" s="13">
        <f>IF('Données projet'!$A$192&gt;35,EJ10+EI11-ER10,IF(A11&lt;'Données projet'!$A$192,$EG$205^A11,IF(A11='Données projet'!$A$192,'Données projet'!$B$192,EJ10+EI11-ER10)))</f>
        <v>3.2087903055451199</v>
      </c>
      <c r="EK11" s="18">
        <f>EJ11*VLOOKUP('Données projet'!$B$15,Paramètres!$A$1:$I$89,3,0)*VLOOKUP('Données projet'!$B$15,Paramètres!$A$1:$I$89,5,0)</f>
        <v>2.5529135670916978</v>
      </c>
      <c r="EL11" s="14">
        <f t="shared" si="45"/>
        <v>1.0548948517814973</v>
      </c>
      <c r="EM11" s="22">
        <f t="shared" si="19"/>
        <v>6.283599662870814</v>
      </c>
      <c r="EN11" s="60">
        <f t="shared" si="20"/>
        <v>193.03687252909137</v>
      </c>
      <c r="EO11" s="60">
        <f ca="1">AVERAGE(OFFSET($EN$3,0,0,'Données projet'!$E$15+1,1))-AVERAGE(OFFSET($H$3,0,0,'Données projet'!$E$15+1,1))</f>
        <v>273.72403794510291</v>
      </c>
      <c r="EP11" s="60">
        <f t="shared" si="46"/>
        <v>292.00185554564109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2.6666666666666665</v>
      </c>
      <c r="FE11" s="13">
        <f>IF('Données projet'!$A$218&gt;35,FE10+FD11-FM10,IF(A11&lt;'Données projet'!$A$218,$FB$205^A11,IF(A11='Données projet'!$A$218,'Données projet'!$B$218,FE10+FD11-FM10)))</f>
        <v>7.1520739352994367</v>
      </c>
      <c r="FF11" s="18">
        <f>FE11*VLOOKUP('Données projet'!$B$16,Paramètres!$A$1:$I$89,3,0)*VLOOKUP('Données projet'!$B$16,Paramètres!$A$1:$I$89,5,0)</f>
        <v>5.5786176695335605</v>
      </c>
      <c r="FG11" s="14">
        <f t="shared" si="47"/>
        <v>2.1046649418345189</v>
      </c>
      <c r="FH11" s="22">
        <f t="shared" si="22"/>
        <v>13.381717214799407</v>
      </c>
      <c r="FI11" s="60">
        <f t="shared" si="23"/>
        <v>200.13499008101996</v>
      </c>
      <c r="FJ11" s="60">
        <f ca="1">AVERAGE(OFFSET($FI$3,0,0,'Données projet'!$E$16+1,1))-AVERAGE(OFFSET($H$3,0,0,'Données projet'!$E$16+1,1))</f>
        <v>309.21625451786218</v>
      </c>
      <c r="FK11" s="60">
        <f t="shared" si="48"/>
        <v>302.59481222418219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3.2392083333333335</v>
      </c>
      <c r="FZ11" s="13">
        <f>IF('Données projet'!$A$244&gt;35,FZ10+FY11-GH10,IF(A11&lt;'Données projet'!$A$244,$FW$205^A11,IF(A11='Données projet'!$A$244,'Données projet'!$B$244,FZ10+FY11-GH10)))</f>
        <v>11.474842979104231</v>
      </c>
      <c r="GA11" s="18">
        <f>FZ11*VLOOKUP('Données projet'!$B$17,Paramètres!$A$1:$I$89,3,0)*VLOOKUP('Données projet'!$B$17,Paramètres!$A$1:$I$89,5,0)</f>
        <v>6.8619561015043313</v>
      </c>
      <c r="GB11" s="14">
        <f t="shared" si="49"/>
        <v>2.5271874754731107</v>
      </c>
      <c r="GC11" s="22">
        <f t="shared" si="25"/>
        <v>16.352758396569048</v>
      </c>
      <c r="GD11" s="60">
        <f t="shared" si="26"/>
        <v>203.1060312627896</v>
      </c>
      <c r="GE11" s="60">
        <f ca="1">AVERAGE(OFFSET($GD$3,0,0,'Données projet'!$E$17+1,1))-AVERAGE(OFFSET($H$3,0,0,'Données projet'!$E$17+1,1))</f>
        <v>216.36762889365235</v>
      </c>
      <c r="GF11" s="60">
        <f t="shared" si="50"/>
        <v>333.29599352215496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4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5.1997021679141717</v>
      </c>
      <c r="P12" s="14">
        <f t="shared" si="33"/>
        <v>1.977837649208241</v>
      </c>
      <c r="Q12" s="22">
        <f t="shared" si="2"/>
        <v>12.500881848154869</v>
      </c>
      <c r="R12" s="60">
        <f t="shared" si="0"/>
        <v>201.85884060071095</v>
      </c>
      <c r="S12" s="60">
        <f ca="1">AVERAGE(OFFSET($R$3,0,0,'Données projet'!$E$9+1,1))-AVERAGE(OFFSET($H$3,0,0,'Données projet'!$E$9+1,1))</f>
        <v>496.33873798282525</v>
      </c>
      <c r="T12" s="60">
        <f t="shared" si="34"/>
        <v>280.25465074992246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3.4425641025641025</v>
      </c>
      <c r="AI12" s="14">
        <f>IF('Données projet'!$A$62&gt;35,AI11+AH12-AQ11,IF(A12&lt;'Données projet'!$A$62,$AF$205^A12,IF(A12='Données projet'!$A$62,'Données projet'!$B$62,AI11+AH12-AQ11)))</f>
        <v>4.0197679866952116</v>
      </c>
      <c r="AJ12" s="14">
        <f>AI12*VLOOKUP('Données projet'!$B$10,Paramètres!$A$1:$I$89,3,0)*VLOOKUP('Données projet'!$B$10,Paramètres!$A$1:$I$89,5,0)</f>
        <v>1.881251417773359</v>
      </c>
      <c r="AK12" s="14">
        <f t="shared" si="35"/>
        <v>0.80547727641405575</v>
      </c>
      <c r="AL12" s="22">
        <f t="shared" si="4"/>
        <v>4.6793858090430804</v>
      </c>
      <c r="AM12" s="60">
        <f t="shared" si="5"/>
        <v>194.03734456159916</v>
      </c>
      <c r="AN12" s="60">
        <f ca="1">AVERAGE(OFFSET($AM$3,0,0,'Données projet'!$E$10+1,1))-AVERAGE(OFFSET($H$3,0,0,'Données projet'!$E$10+1,1))</f>
        <v>277.7918215389401</v>
      </c>
      <c r="AO12" s="60">
        <f t="shared" si="36"/>
        <v>164.65640238394164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1.8376068376068375</v>
      </c>
      <c r="BD12" s="13">
        <f>IF('Données projet'!$A$88&gt;35,BD11+BC12-BL11,IF(A12&lt;'Données projet'!$A$88,$BA$205^A12,IF(A12='Données projet'!$A$88,'Données projet'!$B$88,BD11+BC12-BL11)))</f>
        <v>7.3148649823453029</v>
      </c>
      <c r="BE12" s="14">
        <f>BD12*VLOOKUP('Données projet'!$B$11,Paramètres!$A$1:$I$89,3,0)*VLOOKUP('Données projet'!$B$11,Paramètres!$A$1:$I$89,5,0)</f>
        <v>6.9608255171997904</v>
      </c>
      <c r="BF12" s="14">
        <f t="shared" si="37"/>
        <v>2.5593347976223</v>
      </c>
      <c r="BG12" s="22">
        <f t="shared" si="7"/>
        <v>16.580945881648475</v>
      </c>
      <c r="BH12" s="60">
        <f t="shared" si="8"/>
        <v>205.93890463420456</v>
      </c>
      <c r="BI12" s="60">
        <f ca="1">AVERAGE(OFFSET($BH$3,0,0,'Données projet'!$E$11+1,1))-AVERAGE(OFFSET($H$3,0,0,'Données projet'!$E$11+1,1))</f>
        <v>366.21371543563254</v>
      </c>
      <c r="BJ12" s="60">
        <f t="shared" si="38"/>
        <v>237.43356317334084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2.0085470085470085</v>
      </c>
      <c r="BY12" s="13">
        <f>IF('Données projet'!$A$114&gt;35,BY11+BX12-CG11,IF(A12&lt;'Données projet'!$A$114,$BV$205^A12,IF(A12='Données projet'!$A$114,'Données projet'!$B$114,BY11+BX12-CG11)))</f>
        <v>7.715853190806035</v>
      </c>
      <c r="BZ12" s="14">
        <f>BY12*VLOOKUP('Données projet'!$B$12,Paramètres!$A$1:$I$89,3,0)*VLOOKUP('Données projet'!$B$12,Paramètres!$A$1:$I$89,5,0)</f>
        <v>8.0646097550304692</v>
      </c>
      <c r="CA12" s="14">
        <f t="shared" si="39"/>
        <v>2.9148024033411493</v>
      </c>
      <c r="CB12" s="22">
        <f t="shared" si="10"/>
        <v>19.122476175830567</v>
      </c>
      <c r="CC12" s="60">
        <f t="shared" si="11"/>
        <v>208.48043492838664</v>
      </c>
      <c r="CD12" s="60">
        <f ca="1">AVERAGE(OFFSET($CC$3,0,0,'Données projet'!$E$12+1,1))-AVERAGE(OFFSET($H$3,0,0,'Données projet'!$E$12+1,1))</f>
        <v>530.79860063513229</v>
      </c>
      <c r="CE12" s="60">
        <f t="shared" si="40"/>
        <v>302.50876440460434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4.8642375119197085</v>
      </c>
      <c r="CV12" s="14">
        <f t="shared" si="41"/>
        <v>1.8646542609995393</v>
      </c>
      <c r="CW12" s="22">
        <f t="shared" si="13"/>
        <v>11.719486504501022</v>
      </c>
      <c r="CX12" s="60">
        <f t="shared" si="14"/>
        <v>201.07744525705709</v>
      </c>
      <c r="CY12" s="60">
        <f ca="1">AVERAGE(OFFSET($CX$3,0,0,'Données projet'!$E$13+1,1))-AVERAGE(OFFSET($H$3,0,0,'Données projet'!$E$13+1,1))</f>
        <v>469.67944008675863</v>
      </c>
      <c r="CZ12" s="60">
        <f t="shared" si="42"/>
        <v>266.11908070867173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5.7867653159044812</v>
      </c>
      <c r="DQ12" s="14">
        <f t="shared" si="43"/>
        <v>2.1739041889582755</v>
      </c>
      <c r="DR12" s="22">
        <f t="shared" si="16"/>
        <v>13.864832720969302</v>
      </c>
      <c r="DS12" s="60">
        <f t="shared" si="17"/>
        <v>203.22279147352538</v>
      </c>
      <c r="DT12" s="60">
        <f ca="1">AVERAGE(OFFSET($DS$3,0,0,'Données projet'!$E$14+1,1))-AVERAGE(OFFSET($H$3,0,0,'Données projet'!$E$14+1,1))</f>
        <v>542.90832990875208</v>
      </c>
      <c r="DU12" s="60">
        <f t="shared" si="44"/>
        <v>304.94365539329362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0.59333333333333338</v>
      </c>
      <c r="EJ12" s="13">
        <f>IF('Données projet'!$A$192&gt;35,EJ11+EI12-ER11,IF(A12&lt;'Données projet'!$A$192,$EG$205^A12,IF(A12='Données projet'!$A$192,'Données projet'!$B$192,EJ11+EI12-ER11)))</f>
        <v>3.7122225452242148</v>
      </c>
      <c r="EK12" s="18">
        <f>EJ12*VLOOKUP('Données projet'!$B$15,Paramètres!$A$1:$I$89,3,0)*VLOOKUP('Données projet'!$B$15,Paramètres!$A$1:$I$89,5,0)</f>
        <v>2.9534442569803852</v>
      </c>
      <c r="EL12" s="14">
        <f t="shared" si="45"/>
        <v>1.1998710459104276</v>
      </c>
      <c r="EM12" s="22">
        <f t="shared" si="19"/>
        <v>7.2336908192014988</v>
      </c>
      <c r="EN12" s="60">
        <f t="shared" si="20"/>
        <v>196.59164957175756</v>
      </c>
      <c r="EO12" s="60">
        <f ca="1">AVERAGE(OFFSET($EN$3,0,0,'Données projet'!$E$15+1,1))-AVERAGE(OFFSET($H$3,0,0,'Données projet'!$E$15+1,1))</f>
        <v>273.72403794510291</v>
      </c>
      <c r="EP12" s="60">
        <f t="shared" si="46"/>
        <v>292.00185554564109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2.6666666666666665</v>
      </c>
      <c r="FE12" s="13">
        <f>IF('Données projet'!$A$218&gt;35,FE11+FD12-FM11,IF(A12&lt;'Données projet'!$A$218,$FB$205^A12,IF(A12='Données projet'!$A$218,'Données projet'!$B$218,FE11+FD12-FM11)))</f>
        <v>9.1461010385465205</v>
      </c>
      <c r="FF12" s="18">
        <f>FE12*VLOOKUP('Données projet'!$B$16,Paramètres!$A$1:$I$89,3,0)*VLOOKUP('Données projet'!$B$16,Paramètres!$A$1:$I$89,5,0)</f>
        <v>7.1339588100662858</v>
      </c>
      <c r="FG12" s="14">
        <f t="shared" si="47"/>
        <v>2.6155015444227643</v>
      </c>
      <c r="FH12" s="22">
        <f t="shared" si="22"/>
        <v>16.980310117401761</v>
      </c>
      <c r="FI12" s="60">
        <f t="shared" si="23"/>
        <v>206.33826886995783</v>
      </c>
      <c r="FJ12" s="60">
        <f ca="1">AVERAGE(OFFSET($FI$3,0,0,'Données projet'!$E$16+1,1))-AVERAGE(OFFSET($H$3,0,0,'Données projet'!$E$16+1,1))</f>
        <v>309.21625451786218</v>
      </c>
      <c r="FK12" s="60">
        <f t="shared" si="48"/>
        <v>302.59481222418219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3.2392083333333335</v>
      </c>
      <c r="FZ12" s="13">
        <f>IF('Données projet'!$A$244&gt;35,FZ11+FY12-GH11,IF(A12&lt;'Données projet'!$A$244,$FW$205^A12,IF(A12='Données projet'!$A$244,'Données projet'!$B$244,FZ11+FY12-GH11)))</f>
        <v>15.567364537881392</v>
      </c>
      <c r="GA12" s="18">
        <f>FZ12*VLOOKUP('Données projet'!$B$17,Paramètres!$A$1:$I$89,3,0)*VLOOKUP('Données projet'!$B$17,Paramètres!$A$1:$I$89,5,0)</f>
        <v>9.3092839936530734</v>
      </c>
      <c r="GB12" s="14">
        <f t="shared" si="49"/>
        <v>3.3089216910538366</v>
      </c>
      <c r="GC12" s="22">
        <f t="shared" si="25"/>
        <v>21.976708234197869</v>
      </c>
      <c r="GD12" s="60">
        <f t="shared" si="26"/>
        <v>211.33466698675394</v>
      </c>
      <c r="GE12" s="60">
        <f ca="1">AVERAGE(OFFSET($GD$3,0,0,'Données projet'!$E$17+1,1))-AVERAGE(OFFSET($H$3,0,0,'Données projet'!$E$17+1,1))</f>
        <v>216.36762889365235</v>
      </c>
      <c r="GF12" s="60">
        <f t="shared" si="50"/>
        <v>333.29599352215496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4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6.2681724035000874</v>
      </c>
      <c r="P13" s="14">
        <f t="shared" si="33"/>
        <v>2.3329519459947301</v>
      </c>
      <c r="Q13" s="22">
        <f t="shared" si="2"/>
        <v>14.98029157537014</v>
      </c>
      <c r="R13" s="60">
        <f t="shared" si="0"/>
        <v>206.91895356041502</v>
      </c>
      <c r="S13" s="60">
        <f ca="1">AVERAGE(OFFSET($R$3,0,0,'Données projet'!$E$9+1,1))-AVERAGE(OFFSET($H$3,0,0,'Données projet'!$E$9+1,1))</f>
        <v>496.33873798282525</v>
      </c>
      <c r="T13" s="60">
        <f t="shared" si="34"/>
        <v>280.25465074992246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3.4425641025641025</v>
      </c>
      <c r="AI13" s="14">
        <f>IF('Données projet'!$A$62&gt;35,AI12+AH13-AQ12,IF(A13&lt;'Données projet'!$A$62,$AF$205^A13,IF(A13='Données projet'!$A$62,'Données projet'!$B$62,AI12+AH13-AQ12)))</f>
        <v>4.6917453277627805</v>
      </c>
      <c r="AJ13" s="14">
        <f>AI13*VLOOKUP('Données projet'!$B$10,Paramètres!$A$1:$I$89,3,0)*VLOOKUP('Données projet'!$B$10,Paramètres!$A$1:$I$89,5,0)</f>
        <v>2.1957368133929811</v>
      </c>
      <c r="AK13" s="14">
        <f t="shared" si="35"/>
        <v>0.9233628621568436</v>
      </c>
      <c r="AL13" s="22">
        <f t="shared" si="4"/>
        <v>5.432431934915944</v>
      </c>
      <c r="AM13" s="60">
        <f t="shared" si="5"/>
        <v>197.37109391996083</v>
      </c>
      <c r="AN13" s="60">
        <f ca="1">AVERAGE(OFFSET($AM$3,0,0,'Données projet'!$E$10+1,1))-AVERAGE(OFFSET($H$3,0,0,'Données projet'!$E$10+1,1))</f>
        <v>277.7918215389401</v>
      </c>
      <c r="AO13" s="60">
        <f t="shared" si="36"/>
        <v>164.65640238394164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1.8376068376068375</v>
      </c>
      <c r="BD13" s="13">
        <f>IF('Données projet'!$A$88&gt;35,BD12+BC13-BL12,IF(A13&lt;'Données projet'!$A$88,$BA$205^A13,IF(A13='Données projet'!$A$88,'Données projet'!$B$88,BD12+BC13-BL12)))</f>
        <v>9.1249236254644259</v>
      </c>
      <c r="BE13" s="14">
        <f>BD13*VLOOKUP('Données projet'!$B$11,Paramètres!$A$1:$I$89,3,0)*VLOOKUP('Données projet'!$B$11,Paramètres!$A$1:$I$89,5,0)</f>
        <v>8.6832773219919481</v>
      </c>
      <c r="BF13" s="14">
        <f t="shared" si="37"/>
        <v>3.1115225804160858</v>
      </c>
      <c r="BG13" s="22">
        <f t="shared" si="7"/>
        <v>20.542609830027327</v>
      </c>
      <c r="BH13" s="60">
        <f t="shared" si="8"/>
        <v>212.4812718150722</v>
      </c>
      <c r="BI13" s="60">
        <f ca="1">AVERAGE(OFFSET($BH$3,0,0,'Données projet'!$E$11+1,1))-AVERAGE(OFFSET($H$3,0,0,'Données projet'!$E$11+1,1))</f>
        <v>366.21371543563254</v>
      </c>
      <c r="BJ13" s="60">
        <f t="shared" si="38"/>
        <v>237.43356317334084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2.0085470085470085</v>
      </c>
      <c r="BY13" s="13">
        <f>IF('Données projet'!$A$114&gt;35,BY12+BX13-CG12,IF(A13&lt;'Données projet'!$A$114,$BV$205^A13,IF(A13='Données projet'!$A$114,'Données projet'!$B$114,BY12+BX13-CG12)))</f>
        <v>9.6823811114971363</v>
      </c>
      <c r="BZ13" s="14">
        <f>BY13*VLOOKUP('Données projet'!$B$12,Paramètres!$A$1:$I$89,3,0)*VLOOKUP('Données projet'!$B$12,Paramètres!$A$1:$I$89,5,0)</f>
        <v>10.120024737736808</v>
      </c>
      <c r="CA13" s="14">
        <f t="shared" si="39"/>
        <v>3.5623001055261061</v>
      </c>
      <c r="CB13" s="22">
        <f t="shared" si="10"/>
        <v>23.830049102016243</v>
      </c>
      <c r="CC13" s="60">
        <f t="shared" si="11"/>
        <v>215.76871108706112</v>
      </c>
      <c r="CD13" s="60">
        <f ca="1">AVERAGE(OFFSET($CC$3,0,0,'Données projet'!$E$12+1,1))-AVERAGE(OFFSET($H$3,0,0,'Données projet'!$E$12+1,1))</f>
        <v>530.79860063513229</v>
      </c>
      <c r="CE13" s="60">
        <f t="shared" si="40"/>
        <v>302.50876440460434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5.8637741839194364</v>
      </c>
      <c r="CV13" s="14">
        <f t="shared" si="41"/>
        <v>2.1994468497187687</v>
      </c>
      <c r="CW13" s="22">
        <f t="shared" si="13"/>
        <v>14.043443300253207</v>
      </c>
      <c r="CX13" s="60">
        <f t="shared" si="14"/>
        <v>205.9821052852981</v>
      </c>
      <c r="CY13" s="60">
        <f ca="1">AVERAGE(OFFSET($CX$3,0,0,'Données projet'!$E$13+1,1))-AVERAGE(OFFSET($H$3,0,0,'Données projet'!$E$13+1,1))</f>
        <v>469.67944008675863</v>
      </c>
      <c r="CZ13" s="60">
        <f t="shared" si="42"/>
        <v>266.11908070867173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6.9758692877662263</v>
      </c>
      <c r="DQ13" s="14">
        <f t="shared" si="43"/>
        <v>2.5642215932468222</v>
      </c>
      <c r="DR13" s="22">
        <f t="shared" si="16"/>
        <v>16.61565828443106</v>
      </c>
      <c r="DS13" s="60">
        <f t="shared" si="17"/>
        <v>208.55432026947594</v>
      </c>
      <c r="DT13" s="60">
        <f ca="1">AVERAGE(OFFSET($DS$3,0,0,'Données projet'!$E$14+1,1))-AVERAGE(OFFSET($H$3,0,0,'Données projet'!$E$14+1,1))</f>
        <v>542.90832990875208</v>
      </c>
      <c r="DU13" s="60">
        <f t="shared" si="44"/>
        <v>304.94365539329362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0.59333333333333338</v>
      </c>
      <c r="EJ13" s="13">
        <f>IF('Données projet'!$A$192&gt;35,EJ12+EI13-ER12,IF(A13&lt;'Données projet'!$A$192,$EG$205^A13,IF(A13='Données projet'!$A$192,'Données projet'!$B$192,EJ12+EI13-ER12)))</f>
        <v>4.2946390736274225</v>
      </c>
      <c r="EK13" s="18">
        <f>EJ13*VLOOKUP('Données projet'!$B$15,Paramètres!$A$1:$I$89,3,0)*VLOOKUP('Données projet'!$B$15,Paramètres!$A$1:$I$89,5,0)</f>
        <v>3.4168148469779775</v>
      </c>
      <c r="EL13" s="14">
        <f t="shared" si="45"/>
        <v>1.364771592526826</v>
      </c>
      <c r="EM13" s="22">
        <f t="shared" si="19"/>
        <v>8.327929715470864</v>
      </c>
      <c r="EN13" s="60">
        <f t="shared" si="20"/>
        <v>200.26659170051576</v>
      </c>
      <c r="EO13" s="60">
        <f ca="1">AVERAGE(OFFSET($EN$3,0,0,'Données projet'!$E$15+1,1))-AVERAGE(OFFSET($H$3,0,0,'Données projet'!$E$15+1,1))</f>
        <v>273.72403794510291</v>
      </c>
      <c r="EP13" s="60">
        <f t="shared" si="46"/>
        <v>292.00185554564109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2.6666666666666665</v>
      </c>
      <c r="FE13" s="13">
        <f>IF('Données projet'!$A$218&gt;35,FE12+FD13-FM12,IF(A13&lt;'Données projet'!$A$218,$FB$205^A13,IF(A13='Données projet'!$A$218,'Données projet'!$B$218,FE12+FD13-FM12)))</f>
        <v>11.696070952851455</v>
      </c>
      <c r="FF13" s="18">
        <f>FE13*VLOOKUP('Données projet'!$B$16,Paramètres!$A$1:$I$89,3,0)*VLOOKUP('Données projet'!$B$16,Paramètres!$A$1:$I$89,5,0)</f>
        <v>9.1229353432241354</v>
      </c>
      <c r="FG13" s="14">
        <f t="shared" si="47"/>
        <v>3.2503265450485803</v>
      </c>
      <c r="FH13" s="22">
        <f t="shared" si="22"/>
        <v>21.550097788741649</v>
      </c>
      <c r="FI13" s="60">
        <f t="shared" si="23"/>
        <v>213.48875977378654</v>
      </c>
      <c r="FJ13" s="60">
        <f ca="1">AVERAGE(OFFSET($FI$3,0,0,'Données projet'!$E$16+1,1))-AVERAGE(OFFSET($H$3,0,0,'Données projet'!$E$16+1,1))</f>
        <v>309.21625451786218</v>
      </c>
      <c r="FK13" s="60">
        <f t="shared" si="48"/>
        <v>302.59481222418219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3.2392083333333335</v>
      </c>
      <c r="FZ13" s="13">
        <f>IF('Données projet'!$A$244&gt;35,FZ12+FY13-GH12,IF(A13&lt;'Données projet'!$A$244,$FW$205^A13,IF(A13='Données projet'!$A$244,'Données projet'!$B$244,FZ12+FY13-GH12)))</f>
        <v>21.119490619313495</v>
      </c>
      <c r="GA13" s="18">
        <f>FZ13*VLOOKUP('Données projet'!$B$17,Paramètres!$A$1:$I$89,3,0)*VLOOKUP('Données projet'!$B$17,Paramètres!$A$1:$I$89,5,0)</f>
        <v>12.629455390349472</v>
      </c>
      <c r="GB13" s="14">
        <f t="shared" si="49"/>
        <v>4.3324695392758059</v>
      </c>
      <c r="GC13" s="22">
        <f t="shared" si="25"/>
        <v>29.542019252430688</v>
      </c>
      <c r="GD13" s="60">
        <f t="shared" si="26"/>
        <v>221.48068123747558</v>
      </c>
      <c r="GE13" s="60">
        <f ca="1">AVERAGE(OFFSET($GD$3,0,0,'Données projet'!$E$17+1,1))-AVERAGE(OFFSET($H$3,0,0,'Données projet'!$E$17+1,1))</f>
        <v>216.36762889365235</v>
      </c>
      <c r="GF13" s="60">
        <f t="shared" si="50"/>
        <v>333.29599352215496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4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7.5561991843392455</v>
      </c>
      <c r="P14" s="14">
        <f t="shared" si="33"/>
        <v>2.7518258561310041</v>
      </c>
      <c r="Q14" s="22">
        <f t="shared" si="2"/>
        <v>17.953143612152349</v>
      </c>
      <c r="R14" s="60">
        <f t="shared" si="0"/>
        <v>212.44894222126649</v>
      </c>
      <c r="S14" s="60">
        <f ca="1">AVERAGE(OFFSET($R$3,0,0,'Données projet'!$E$9+1,1))-AVERAGE(OFFSET($H$3,0,0,'Données projet'!$E$9+1,1))</f>
        <v>496.33873798282525</v>
      </c>
      <c r="T14" s="60">
        <f t="shared" si="34"/>
        <v>280.25465074992246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3.4425641025641025</v>
      </c>
      <c r="AI14" s="14">
        <f>IF('Données projet'!$A$62&gt;35,AI13+AH14-AQ13,IF(A14&lt;'Données projet'!$A$62,$AF$205^A14,IF(A14='Données projet'!$A$62,'Données projet'!$B$62,AI13+AH14-AQ13)))</f>
        <v>5.4760559050775193</v>
      </c>
      <c r="AJ14" s="14">
        <f>AI14*VLOOKUP('Données projet'!$B$10,Paramètres!$A$1:$I$89,3,0)*VLOOKUP('Données projet'!$B$10,Paramètres!$A$1:$I$89,5,0)</f>
        <v>2.562794163576279</v>
      </c>
      <c r="AK14" s="14">
        <f t="shared" si="35"/>
        <v>1.0585015867936163</v>
      </c>
      <c r="AL14" s="22">
        <f t="shared" si="4"/>
        <v>6.3070900985608995</v>
      </c>
      <c r="AM14" s="60">
        <f t="shared" si="5"/>
        <v>200.80288870767504</v>
      </c>
      <c r="AN14" s="60">
        <f ca="1">AVERAGE(OFFSET($AM$3,0,0,'Données projet'!$E$10+1,1))-AVERAGE(OFFSET($H$3,0,0,'Données projet'!$E$10+1,1))</f>
        <v>277.7918215389401</v>
      </c>
      <c r="AO14" s="60">
        <f t="shared" si="36"/>
        <v>164.65640238394164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1.8376068376068375</v>
      </c>
      <c r="BD14" s="13">
        <f>IF('Données projet'!$A$88&gt;35,BD13+BC14-BL13,IF(A14&lt;'Données projet'!$A$88,$BA$205^A14,IF(A14='Données projet'!$A$88,'Données projet'!$B$88,BD13+BC14-BL13)))</f>
        <v>11.382880117612578</v>
      </c>
      <c r="BE14" s="14">
        <f>BD14*VLOOKUP('Données projet'!$B$11,Paramètres!$A$1:$I$89,3,0)*VLOOKUP('Données projet'!$B$11,Paramètres!$A$1:$I$89,5,0)</f>
        <v>10.831948719920129</v>
      </c>
      <c r="BF14" s="14">
        <f t="shared" si="37"/>
        <v>3.782847315417134</v>
      </c>
      <c r="BG14" s="22">
        <f t="shared" si="7"/>
        <v>25.454103094879063</v>
      </c>
      <c r="BH14" s="60">
        <f t="shared" si="8"/>
        <v>219.94990170399319</v>
      </c>
      <c r="BI14" s="60">
        <f ca="1">AVERAGE(OFFSET($BH$3,0,0,'Données projet'!$E$11+1,1))-AVERAGE(OFFSET($H$3,0,0,'Données projet'!$E$11+1,1))</f>
        <v>366.21371543563254</v>
      </c>
      <c r="BJ14" s="60">
        <f t="shared" si="38"/>
        <v>237.43356317334084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2.0085470085470085</v>
      </c>
      <c r="BY14" s="13">
        <f>IF('Données projet'!$A$114&gt;35,BY13+BX14-CG13,IF(A14&lt;'Données projet'!$A$114,$BV$205^A14,IF(A14='Données projet'!$A$114,'Données projet'!$B$114,BY13+BX14-CG13)))</f>
        <v>12.150115051435174</v>
      </c>
      <c r="BZ14" s="14">
        <f>BY14*VLOOKUP('Données projet'!$B$12,Paramètres!$A$1:$I$89,3,0)*VLOOKUP('Données projet'!$B$12,Paramètres!$A$1:$I$89,5,0)</f>
        <v>12.699300251760045</v>
      </c>
      <c r="CA14" s="14">
        <f t="shared" si="39"/>
        <v>4.3536337239482048</v>
      </c>
      <c r="CB14" s="22">
        <f t="shared" si="10"/>
        <v>29.700526674358532</v>
      </c>
      <c r="CC14" s="60">
        <f t="shared" si="11"/>
        <v>224.19632528347267</v>
      </c>
      <c r="CD14" s="60">
        <f ca="1">AVERAGE(OFFSET($CC$3,0,0,'Données projet'!$E$12+1,1))-AVERAGE(OFFSET($H$3,0,0,'Données projet'!$E$12+1,1))</f>
        <v>530.79860063513229</v>
      </c>
      <c r="CE14" s="60">
        <f t="shared" si="40"/>
        <v>302.50876440460434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7.0687024627689707</v>
      </c>
      <c r="CV14" s="14">
        <f t="shared" si="41"/>
        <v>2.5943503554083325</v>
      </c>
      <c r="CW14" s="22">
        <f t="shared" si="13"/>
        <v>16.829816991658799</v>
      </c>
      <c r="CX14" s="60">
        <f t="shared" si="14"/>
        <v>211.32561560077292</v>
      </c>
      <c r="CY14" s="60">
        <f ca="1">AVERAGE(OFFSET($CX$3,0,0,'Données projet'!$E$13+1,1))-AVERAGE(OFFSET($H$3,0,0,'Données projet'!$E$13+1,1))</f>
        <v>469.67944008675863</v>
      </c>
      <c r="CZ14" s="60">
        <f t="shared" si="42"/>
        <v>266.11908070867173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8.4093184470872249</v>
      </c>
      <c r="DQ14" s="14">
        <f t="shared" si="43"/>
        <v>3.0246192139792929</v>
      </c>
      <c r="DR14" s="22">
        <f t="shared" si="16"/>
        <v>19.914108093024186</v>
      </c>
      <c r="DS14" s="60">
        <f t="shared" si="17"/>
        <v>214.40990670213833</v>
      </c>
      <c r="DT14" s="60">
        <f ca="1">AVERAGE(OFFSET($DS$3,0,0,'Données projet'!$E$14+1,1))-AVERAGE(OFFSET($H$3,0,0,'Données projet'!$E$14+1,1))</f>
        <v>542.90832990875208</v>
      </c>
      <c r="DU14" s="60">
        <f t="shared" si="44"/>
        <v>304.94365539329362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0.59333333333333338</v>
      </c>
      <c r="EJ14" s="13">
        <f>IF('Données projet'!$A$192&gt;35,EJ13+EI14-ER13,IF(A14&lt;'Données projet'!$A$192,$EG$205^A14,IF(A14='Données projet'!$A$192,'Données projet'!$B$192,EJ13+EI14-ER13)))</f>
        <v>4.9684318620540591</v>
      </c>
      <c r="EK14" s="18">
        <f>EJ14*VLOOKUP('Données projet'!$B$15,Paramètres!$A$1:$I$89,3,0)*VLOOKUP('Données projet'!$B$15,Paramètres!$A$1:$I$89,5,0)</f>
        <v>3.9528843894502095</v>
      </c>
      <c r="EL14" s="14">
        <f t="shared" si="45"/>
        <v>1.5523347330670187</v>
      </c>
      <c r="EM14" s="22">
        <f t="shared" si="19"/>
        <v>9.5882566383841734</v>
      </c>
      <c r="EN14" s="60">
        <f t="shared" si="20"/>
        <v>204.0840552474983</v>
      </c>
      <c r="EO14" s="60">
        <f ca="1">AVERAGE(OFFSET($EN$3,0,0,'Données projet'!$E$15+1,1))-AVERAGE(OFFSET($H$3,0,0,'Données projet'!$E$15+1,1))</f>
        <v>273.72403794510291</v>
      </c>
      <c r="EP14" s="60">
        <f t="shared" si="46"/>
        <v>292.00185554564109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2.6666666666666665</v>
      </c>
      <c r="FE14" s="13">
        <f>IF('Données projet'!$A$218&gt;35,FE13+FD14-FM13,IF(A14&lt;'Données projet'!$A$218,$FB$205^A14,IF(A14='Données projet'!$A$218,'Données projet'!$B$218,FE13+FD14-FM13)))</f>
        <v>14.956982779612416</v>
      </c>
      <c r="FF14" s="18">
        <f>FE14*VLOOKUP('Données projet'!$B$16,Paramètres!$A$1:$I$89,3,0)*VLOOKUP('Données projet'!$B$16,Paramètres!$A$1:$I$89,5,0)</f>
        <v>11.666446568097685</v>
      </c>
      <c r="FG14" s="14">
        <f t="shared" si="47"/>
        <v>4.0392339557111736</v>
      </c>
      <c r="FH14" s="22">
        <f t="shared" si="22"/>
        <v>27.354060245633761</v>
      </c>
      <c r="FI14" s="60">
        <f t="shared" si="23"/>
        <v>221.84985885474788</v>
      </c>
      <c r="FJ14" s="60">
        <f ca="1">AVERAGE(OFFSET($FI$3,0,0,'Données projet'!$E$16+1,1))-AVERAGE(OFFSET($H$3,0,0,'Données projet'!$E$16+1,1))</f>
        <v>309.21625451786218</v>
      </c>
      <c r="FK14" s="60">
        <f t="shared" si="48"/>
        <v>302.59481222418219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3.2392083333333335</v>
      </c>
      <c r="FZ14" s="13">
        <f>IF('Données projet'!$A$244&gt;35,FZ13+FY14-GH13,IF(A14&lt;'Données projet'!$A$244,$FW$205^A14,IF(A14='Données projet'!$A$244,'Données projet'!$B$244,FZ13+FY14-GH13)))</f>
        <v>28.65179156908037</v>
      </c>
      <c r="GA14" s="18">
        <f>FZ14*VLOOKUP('Données projet'!$B$17,Paramètres!$A$1:$I$89,3,0)*VLOOKUP('Données projet'!$B$17,Paramètres!$A$1:$I$89,5,0)</f>
        <v>17.133771358310064</v>
      </c>
      <c r="GB14" s="14">
        <f t="shared" si="49"/>
        <v>5.6726311654642698</v>
      </c>
      <c r="GC14" s="22">
        <f t="shared" si="25"/>
        <v>39.721151062240295</v>
      </c>
      <c r="GD14" s="60">
        <f t="shared" si="26"/>
        <v>234.21694967135443</v>
      </c>
      <c r="GE14" s="60">
        <f ca="1">AVERAGE(OFFSET($GD$3,0,0,'Données projet'!$E$17+1,1))-AVERAGE(OFFSET($H$3,0,0,'Données projet'!$E$17+1,1))</f>
        <v>216.36762889365235</v>
      </c>
      <c r="GF14" s="60">
        <f t="shared" si="50"/>
        <v>333.29599352215496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4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9.1088984855501316</v>
      </c>
      <c r="P15" s="14">
        <f t="shared" si="33"/>
        <v>3.2459072101643005</v>
      </c>
      <c r="Q15" s="22">
        <f t="shared" si="2"/>
        <v>21.517953253369303</v>
      </c>
      <c r="R15" s="60">
        <f t="shared" si="0"/>
        <v>218.54773070610219</v>
      </c>
      <c r="S15" s="60">
        <f ca="1">AVERAGE(OFFSET($R$3,0,0,'Données projet'!$E$9+1,1))-AVERAGE(OFFSET($H$3,0,0,'Données projet'!$E$9+1,1))</f>
        <v>496.33873798282525</v>
      </c>
      <c r="T15" s="60">
        <f t="shared" si="34"/>
        <v>280.25465074992246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3.4425641025641025</v>
      </c>
      <c r="AI15" s="14">
        <f>IF('Données projet'!$A$62&gt;35,AI14+AH15-AQ14,IF(A15&lt;'Données projet'!$A$62,$AF$205^A15,IF(A15='Données projet'!$A$62,'Données projet'!$B$62,AI14+AH15-AQ14)))</f>
        <v>6.3914782624899003</v>
      </c>
      <c r="AJ15" s="14">
        <f>AI15*VLOOKUP('Données projet'!$B$10,Paramètres!$A$1:$I$89,3,0)*VLOOKUP('Données projet'!$B$10,Paramètres!$A$1:$I$89,5,0)</f>
        <v>2.9912118268452734</v>
      </c>
      <c r="AK15" s="14">
        <f t="shared" si="35"/>
        <v>1.2134185325879896</v>
      </c>
      <c r="AL15" s="22">
        <f t="shared" si="4"/>
        <v>7.3230645426796004</v>
      </c>
      <c r="AM15" s="60">
        <f t="shared" si="5"/>
        <v>204.35284199541246</v>
      </c>
      <c r="AN15" s="60">
        <f ca="1">AVERAGE(OFFSET($AM$3,0,0,'Données projet'!$E$10+1,1))-AVERAGE(OFFSET($H$3,0,0,'Données projet'!$E$10+1,1))</f>
        <v>277.7918215389401</v>
      </c>
      <c r="AO15" s="60">
        <f t="shared" si="36"/>
        <v>164.65640238394164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1.8376068376068375</v>
      </c>
      <c r="BD15" s="13">
        <f>IF('Données projet'!$A$88&gt;35,BD14+BC15-BL14,IF(A15&lt;'Données projet'!$A$88,$BA$205^A15,IF(A15='Données projet'!$A$88,'Données projet'!$B$88,BD14+BC15-BL14)))</f>
        <v>14.199566493943678</v>
      </c>
      <c r="BE15" s="14">
        <f>BD15*VLOOKUP('Données projet'!$B$11,Paramètres!$A$1:$I$89,3,0)*VLOOKUP('Données projet'!$B$11,Paramètres!$A$1:$I$89,5,0)</f>
        <v>13.512307475636804</v>
      </c>
      <c r="BF15" s="14">
        <f t="shared" si="37"/>
        <v>4.5990133260884249</v>
      </c>
      <c r="BG15" s="22">
        <f t="shared" si="7"/>
        <v>31.543883729671435</v>
      </c>
      <c r="BH15" s="60">
        <f t="shared" si="8"/>
        <v>228.57366118240429</v>
      </c>
      <c r="BI15" s="60">
        <f ca="1">AVERAGE(OFFSET($BH$3,0,0,'Données projet'!$E$11+1,1))-AVERAGE(OFFSET($H$3,0,0,'Données projet'!$E$11+1,1))</f>
        <v>366.21371543563254</v>
      </c>
      <c r="BJ15" s="60">
        <f t="shared" si="38"/>
        <v>237.43356317334084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2.0085470085470085</v>
      </c>
      <c r="BY15" s="13">
        <f>IF('Données projet'!$A$114&gt;35,BY14+BX15-CG14,IF(A15&lt;'Données projet'!$A$114,$BV$205^A15,IF(A15='Données projet'!$A$114,'Données projet'!$B$114,BY14+BX15-CG14)))</f>
        <v>15.246796636399393</v>
      </c>
      <c r="BZ15" s="14">
        <f>BY15*VLOOKUP('Données projet'!$B$12,Paramètres!$A$1:$I$89,3,0)*VLOOKUP('Données projet'!$B$12,Paramètres!$A$1:$I$89,5,0)</f>
        <v>15.935951844364647</v>
      </c>
      <c r="CA15" s="14">
        <f t="shared" si="39"/>
        <v>5.3207551415716088</v>
      </c>
      <c r="CB15" s="22">
        <f t="shared" si="10"/>
        <v>37.022098000505643</v>
      </c>
      <c r="CC15" s="60">
        <f t="shared" si="11"/>
        <v>234.05187545323852</v>
      </c>
      <c r="CD15" s="60">
        <f ca="1">AVERAGE(OFFSET($CC$3,0,0,'Données projet'!$E$12+1,1))-AVERAGE(OFFSET($H$3,0,0,'Données projet'!$E$12+1,1))</f>
        <v>530.79860063513229</v>
      </c>
      <c r="CE15" s="60">
        <f t="shared" si="40"/>
        <v>302.50876440460434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8.521227615514638</v>
      </c>
      <c r="CV15" s="14">
        <f t="shared" si="41"/>
        <v>3.0601574970852128</v>
      </c>
      <c r="CW15" s="22">
        <f t="shared" si="13"/>
        <v>20.170912404444739</v>
      </c>
      <c r="CX15" s="60">
        <f t="shared" si="14"/>
        <v>217.20068985717762</v>
      </c>
      <c r="CY15" s="60">
        <f ca="1">AVERAGE(OFFSET($CX$3,0,0,'Données projet'!$E$13+1,1))-AVERAGE(OFFSET($H$3,0,0,'Données projet'!$E$13+1,1))</f>
        <v>469.67944008675863</v>
      </c>
      <c r="CZ15" s="60">
        <f t="shared" si="42"/>
        <v>266.11908070867173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10.137322508112241</v>
      </c>
      <c r="DQ15" s="14">
        <f t="shared" si="43"/>
        <v>3.5676797253661268</v>
      </c>
      <c r="DR15" s="22">
        <f t="shared" si="16"/>
        <v>23.869545556641487</v>
      </c>
      <c r="DS15" s="60">
        <f t="shared" si="17"/>
        <v>220.89932300937437</v>
      </c>
      <c r="DT15" s="60">
        <f ca="1">AVERAGE(OFFSET($DS$3,0,0,'Données projet'!$E$14+1,1))-AVERAGE(OFFSET($H$3,0,0,'Données projet'!$E$14+1,1))</f>
        <v>542.90832990875208</v>
      </c>
      <c r="DU15" s="60">
        <f t="shared" si="44"/>
        <v>304.94365539329362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0.59333333333333338</v>
      </c>
      <c r="EJ15" s="13">
        <f>IF('Données projet'!$A$192&gt;35,EJ14+EI15-ER14,IF(A15&lt;'Données projet'!$A$192,$EG$205^A15,IF(A15='Données projet'!$A$192,'Données projet'!$B$192,EJ14+EI15-ER14)))</f>
        <v>5.7479370779868049</v>
      </c>
      <c r="EK15" s="18">
        <f>EJ15*VLOOKUP('Données projet'!$B$15,Paramètres!$A$1:$I$89,3,0)*VLOOKUP('Données projet'!$B$15,Paramètres!$A$1:$I$89,5,0)</f>
        <v>4.573058739246302</v>
      </c>
      <c r="EL15" s="14">
        <f t="shared" si="45"/>
        <v>1.7656750306655336</v>
      </c>
      <c r="EM15" s="22">
        <f t="shared" si="19"/>
        <v>11.039961315929778</v>
      </c>
      <c r="EN15" s="60">
        <f t="shared" si="20"/>
        <v>208.06973876866266</v>
      </c>
      <c r="EO15" s="60">
        <f ca="1">AVERAGE(OFFSET($EN$3,0,0,'Données projet'!$E$15+1,1))-AVERAGE(OFFSET($H$3,0,0,'Données projet'!$E$15+1,1))</f>
        <v>273.72403794510291</v>
      </c>
      <c r="EP15" s="60">
        <f t="shared" si="46"/>
        <v>292.00185554564109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2.6666666666666665</v>
      </c>
      <c r="FE15" s="13">
        <f>IF('Données projet'!$A$218&gt;35,FE14+FD15-FM14,IF(A15&lt;'Données projet'!$A$218,$FB$205^A15,IF(A15='Données projet'!$A$218,'Données projet'!$B$218,FE14+FD15-FM14)))</f>
        <v>19.127049995800721</v>
      </c>
      <c r="FF15" s="18">
        <f>FE15*VLOOKUP('Données projet'!$B$16,Paramètres!$A$1:$I$89,3,0)*VLOOKUP('Données projet'!$B$16,Paramètres!$A$1:$I$89,5,0)</f>
        <v>14.919098996724562</v>
      </c>
      <c r="FG15" s="14">
        <f t="shared" si="47"/>
        <v>5.019622097301081</v>
      </c>
      <c r="FH15" s="22">
        <f t="shared" si="22"/>
        <v>34.726605905427995</v>
      </c>
      <c r="FI15" s="60">
        <f t="shared" si="23"/>
        <v>231.75638335816086</v>
      </c>
      <c r="FJ15" s="60">
        <f ca="1">AVERAGE(OFFSET($FI$3,0,0,'Données projet'!$E$16+1,1))-AVERAGE(OFFSET($H$3,0,0,'Données projet'!$E$16+1,1))</f>
        <v>309.21625451786218</v>
      </c>
      <c r="FK15" s="60">
        <f t="shared" si="48"/>
        <v>302.59481222418219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>
        <f>VLOOKUP(A15,'Données projet'!$A$243:$I$263,2,0)</f>
        <v>38.8705</v>
      </c>
      <c r="FX15" s="13">
        <f>VLOOKUP(A15,'Données projet'!$A$243:$I$263,9,0)</f>
        <v>3.2392083333333335</v>
      </c>
      <c r="FY15" s="13">
        <f t="array" ref="FY15">INDEX(FX:FX,MIN(IF(ISNUMBER(FX15:FX211),ROW(FX15:FX211),"")))</f>
        <v>3.2392083333333335</v>
      </c>
      <c r="FZ15" s="13">
        <f>IF('Données projet'!$A$244&gt;35,FZ14+FY15-GH14,IF(A15&lt;'Données projet'!$A$244,$FW$205^A15,IF(A15='Données projet'!$A$244,'Données projet'!$B$244,FZ14+FY15-GH14)))</f>
        <v>38.8705</v>
      </c>
      <c r="GA15" s="18">
        <f>FZ15*VLOOKUP('Données projet'!$B$17,Paramètres!$A$1:$I$89,3,0)*VLOOKUP('Données projet'!$B$17,Paramètres!$A$1:$I$89,5,0)</f>
        <v>23.244559000000002</v>
      </c>
      <c r="GB15" s="14">
        <f t="shared" si="49"/>
        <v>7.427344623587441</v>
      </c>
      <c r="GC15" s="22">
        <f t="shared" si="25"/>
        <v>53.420232144414797</v>
      </c>
      <c r="GD15" s="60">
        <f t="shared" si="26"/>
        <v>250.45000959714767</v>
      </c>
      <c r="GE15" s="60">
        <f ca="1">AVERAGE(OFFSET($GD$3,0,0,'Données projet'!$E$17+1,1))-AVERAGE(OFFSET($H$3,0,0,'Données projet'!$E$17+1,1))</f>
        <v>216.36762889365235</v>
      </c>
      <c r="GF15" s="60">
        <f t="shared" si="50"/>
        <v>333.29599352215496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4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10.98065702026792</v>
      </c>
      <c r="P16" s="14">
        <f t="shared" si="33"/>
        <v>3.8286992592655618</v>
      </c>
      <c r="Q16" s="22">
        <f t="shared" si="2"/>
        <v>25.792962186854144</v>
      </c>
      <c r="R16" s="60">
        <f t="shared" si="0"/>
        <v>225.33396243847295</v>
      </c>
      <c r="S16" s="60">
        <f ca="1">AVERAGE(OFFSET($R$3,0,0,'Données projet'!$E$9+1,1))-AVERAGE(OFFSET($H$3,0,0,'Données projet'!$E$9+1,1))</f>
        <v>496.33873798282525</v>
      </c>
      <c r="T16" s="60">
        <f t="shared" si="34"/>
        <v>280.25465074992246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3.4425641025641025</v>
      </c>
      <c r="AI16" s="14">
        <f>IF('Données projet'!$A$62&gt;35,AI15+AH16-AQ15,IF(A16&lt;'Données projet'!$A$62,$AF$205^A16,IF(A16='Données projet'!$A$62,'Données projet'!$B$62,AI15+AH16-AQ15)))</f>
        <v>7.459930119048451</v>
      </c>
      <c r="AJ16" s="14">
        <f>AI16*VLOOKUP('Données projet'!$B$10,Paramètres!$A$1:$I$89,3,0)*VLOOKUP('Données projet'!$B$10,Paramètres!$A$1:$I$89,5,0)</f>
        <v>3.4912472957146754</v>
      </c>
      <c r="AK16" s="14">
        <f t="shared" si="35"/>
        <v>1.3910083400895945</v>
      </c>
      <c r="AL16" s="22">
        <f t="shared" si="4"/>
        <v>8.5032618990257713</v>
      </c>
      <c r="AM16" s="60">
        <f t="shared" si="5"/>
        <v>208.04426215064458</v>
      </c>
      <c r="AN16" s="60">
        <f ca="1">AVERAGE(OFFSET($AM$3,0,0,'Données projet'!$E$10+1,1))-AVERAGE(OFFSET($H$3,0,0,'Données projet'!$E$10+1,1))</f>
        <v>277.7918215389401</v>
      </c>
      <c r="AO16" s="60">
        <f t="shared" si="36"/>
        <v>164.65640238394164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1.8376068376068375</v>
      </c>
      <c r="BD16" s="13">
        <f>IF('Données projet'!$A$88&gt;35,BD15+BC16-BL15,IF(A16&lt;'Données projet'!$A$88,$BA$205^A16,IF(A16='Données projet'!$A$88,'Données projet'!$B$88,BD15+BC16-BL15)))</f>
        <v>17.713240105546941</v>
      </c>
      <c r="BE16" s="14">
        <f>BD16*VLOOKUP('Données projet'!$B$11,Paramètres!$A$1:$I$89,3,0)*VLOOKUP('Données projet'!$B$11,Paramètres!$A$1:$I$89,5,0)</f>
        <v>16.855919284438468</v>
      </c>
      <c r="BF16" s="14">
        <f t="shared" si="37"/>
        <v>5.5912707571721318</v>
      </c>
      <c r="BG16" s="22">
        <f t="shared" si="7"/>
        <v>39.095522655805127</v>
      </c>
      <c r="BH16" s="60">
        <f t="shared" si="8"/>
        <v>238.63652290742394</v>
      </c>
      <c r="BI16" s="60">
        <f ca="1">AVERAGE(OFFSET($BH$3,0,0,'Données projet'!$E$11+1,1))-AVERAGE(OFFSET($H$3,0,0,'Données projet'!$E$11+1,1))</f>
        <v>366.21371543563254</v>
      </c>
      <c r="BJ16" s="60">
        <f t="shared" si="38"/>
        <v>237.43356317334084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2.0085470085470085</v>
      </c>
      <c r="BY16" s="13">
        <f>IF('Données projet'!$A$114&gt;35,BY15+BX16-CG15,IF(A16&lt;'Données projet'!$A$114,$BV$205^A16,IF(A16='Données projet'!$A$114,'Données projet'!$B$114,BY15+BX16-CG15)))</f>
        <v>19.132724808582047</v>
      </c>
      <c r="BZ16" s="14">
        <f>BY16*VLOOKUP('Données projet'!$B$12,Paramètres!$A$1:$I$89,3,0)*VLOOKUP('Données projet'!$B$12,Paramètres!$A$1:$I$89,5,0)</f>
        <v>19.997523969929958</v>
      </c>
      <c r="CA16" s="14">
        <f t="shared" si="39"/>
        <v>6.5027140709684383</v>
      </c>
      <c r="CB16" s="22">
        <f t="shared" si="10"/>
        <v>46.154581254564704</v>
      </c>
      <c r="CC16" s="60">
        <f t="shared" si="11"/>
        <v>245.69558150618352</v>
      </c>
      <c r="CD16" s="60">
        <f ca="1">AVERAGE(OFFSET($CC$3,0,0,'Données projet'!$E$12+1,1))-AVERAGE(OFFSET($H$3,0,0,'Données projet'!$E$12+1,1))</f>
        <v>530.79860063513229</v>
      </c>
      <c r="CE16" s="60">
        <f t="shared" si="40"/>
        <v>302.50876440460434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10.272227535089344</v>
      </c>
      <c r="CV16" s="14">
        <f t="shared" si="41"/>
        <v>3.6095987912522753</v>
      </c>
      <c r="CW16" s="22">
        <f t="shared" si="13"/>
        <v>24.177514185044988</v>
      </c>
      <c r="CX16" s="60">
        <f t="shared" si="14"/>
        <v>223.71851443666381</v>
      </c>
      <c r="CY16" s="60">
        <f ca="1">AVERAGE(OFFSET($CX$3,0,0,'Données projet'!$E$13+1,1))-AVERAGE(OFFSET($H$3,0,0,'Données projet'!$E$13+1,1))</f>
        <v>469.67944008675863</v>
      </c>
      <c r="CZ16" s="60">
        <f t="shared" si="42"/>
        <v>266.11908070867173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12.220408619330426</v>
      </c>
      <c r="DQ16" s="14">
        <f t="shared" si="43"/>
        <v>4.2082449797185175</v>
      </c>
      <c r="DR16" s="22">
        <f t="shared" si="16"/>
        <v>28.613238351676909</v>
      </c>
      <c r="DS16" s="60">
        <f t="shared" si="17"/>
        <v>228.15423860329571</v>
      </c>
      <c r="DT16" s="60">
        <f ca="1">AVERAGE(OFFSET($DS$3,0,0,'Données projet'!$E$14+1,1))-AVERAGE(OFFSET($H$3,0,0,'Données projet'!$E$14+1,1))</f>
        <v>542.90832990875208</v>
      </c>
      <c r="DU16" s="60">
        <f t="shared" si="44"/>
        <v>304.94365539329362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0.59333333333333338</v>
      </c>
      <c r="EJ16" s="13">
        <f>IF('Données projet'!$A$192&gt;35,EJ15+EI16-ER15,IF(A16&lt;'Données projet'!$A$192,$EG$205^A16,IF(A16='Données projet'!$A$192,'Données projet'!$B$192,EJ15+EI16-ER15)))</f>
        <v>6.6497401131383391</v>
      </c>
      <c r="EK16" s="18">
        <f>EJ16*VLOOKUP('Données projet'!$B$15,Paramètres!$A$1:$I$89,3,0)*VLOOKUP('Données projet'!$B$15,Paramètres!$A$1:$I$89,5,0)</f>
        <v>5.2905332340128624</v>
      </c>
      <c r="EL16" s="14">
        <f t="shared" si="45"/>
        <v>2.008335088757649</v>
      </c>
      <c r="EM16" s="22">
        <f t="shared" si="19"/>
        <v>12.71219566215864</v>
      </c>
      <c r="EN16" s="60">
        <f t="shared" si="20"/>
        <v>212.25319591377746</v>
      </c>
      <c r="EO16" s="60">
        <f ca="1">AVERAGE(OFFSET($EN$3,0,0,'Données projet'!$E$15+1,1))-AVERAGE(OFFSET($H$3,0,0,'Données projet'!$E$15+1,1))</f>
        <v>273.72403794510291</v>
      </c>
      <c r="EP16" s="60">
        <f t="shared" si="46"/>
        <v>292.00185554564109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2.6666666666666665</v>
      </c>
      <c r="FE16" s="13">
        <f>IF('Données projet'!$A$218&gt;35,FE15+FD16-FM15,IF(A16&lt;'Données projet'!$A$218,$FB$205^A16,IF(A16='Données projet'!$A$218,'Données projet'!$B$218,FE15+FD16-FM15)))</f>
        <v>24.459748796430759</v>
      </c>
      <c r="FF16" s="18">
        <f>FE16*VLOOKUP('Données projet'!$B$16,Paramètres!$A$1:$I$89,3,0)*VLOOKUP('Données projet'!$B$16,Paramètres!$A$1:$I$89,5,0)</f>
        <v>19.078604061215994</v>
      </c>
      <c r="FG16" s="14">
        <f t="shared" si="47"/>
        <v>6.2379664748280286</v>
      </c>
      <c r="FH16" s="22">
        <f t="shared" si="22"/>
        <v>44.093027016943331</v>
      </c>
      <c r="FI16" s="60">
        <f t="shared" si="23"/>
        <v>243.63402726856214</v>
      </c>
      <c r="FJ16" s="60">
        <f ca="1">AVERAGE(OFFSET($FI$3,0,0,'Données projet'!$E$16+1,1))-AVERAGE(OFFSET($H$3,0,0,'Données projet'!$E$16+1,1))</f>
        <v>309.21625451786218</v>
      </c>
      <c r="FK16" s="60">
        <f t="shared" si="48"/>
        <v>302.59481222418219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>
        <f>VLOOKUP(A16,'Données projet'!$A$243:$I$263,2,0)</f>
        <v>53.7455</v>
      </c>
      <c r="FX16" s="13">
        <f>VLOOKUP(A16,'Données projet'!$A$243:$I$263,9,0)</f>
        <v>14.875</v>
      </c>
      <c r="FY16" s="13">
        <f t="array" ref="FY16">INDEX(FX:FX,MIN(IF(ISNUMBER(FX16:FX212),ROW(FX16:FX212),"")))</f>
        <v>14.875</v>
      </c>
      <c r="FZ16" s="13">
        <f>IF('Données projet'!$A$244&gt;35,FZ15+FY16-GH15,IF(A16&lt;'Données projet'!$A$244,$FW$205^A16,IF(A16='Données projet'!$A$244,'Données projet'!$B$244,FZ15+FY16-GH15)))</f>
        <v>53.7455</v>
      </c>
      <c r="GA16" s="18">
        <f>FZ16*VLOOKUP('Données projet'!$B$17,Paramètres!$A$1:$I$89,3,0)*VLOOKUP('Données projet'!$B$17,Paramètres!$A$1:$I$89,5,0)</f>
        <v>32.139809000000007</v>
      </c>
      <c r="GB16" s="14">
        <f t="shared" si="49"/>
        <v>9.8895269261794354</v>
      </c>
      <c r="GC16" s="22">
        <f t="shared" si="25"/>
        <v>73.201093404762517</v>
      </c>
      <c r="GD16" s="60">
        <f t="shared" si="26"/>
        <v>272.74209365638131</v>
      </c>
      <c r="GE16" s="60">
        <f ca="1">AVERAGE(OFFSET($GD$3,0,0,'Données projet'!$E$17+1,1))-AVERAGE(OFFSET($H$3,0,0,'Données projet'!$E$17+1,1))</f>
        <v>216.36762889365235</v>
      </c>
      <c r="GF16" s="60">
        <f t="shared" si="50"/>
        <v>333.29599352215496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4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13.237037254068934</v>
      </c>
      <c r="P17" s="14">
        <f t="shared" si="33"/>
        <v>4.5161297192961545</v>
      </c>
      <c r="Q17" s="22">
        <f t="shared" si="2"/>
        <v>30.920099145277529</v>
      </c>
      <c r="R17" s="60">
        <f t="shared" si="0"/>
        <v>232.94996091755073</v>
      </c>
      <c r="S17" s="60">
        <f ca="1">AVERAGE(OFFSET($R$3,0,0,'Données projet'!$E$9+1,1))-AVERAGE(OFFSET($H$3,0,0,'Données projet'!$E$9+1,1))</f>
        <v>496.33873798282525</v>
      </c>
      <c r="T17" s="60">
        <f t="shared" si="34"/>
        <v>280.25465074992246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3.4425641025641025</v>
      </c>
      <c r="AI17" s="14">
        <f>IF('Données projet'!$A$62&gt;35,AI16+AH17-AQ16,IF(A17&lt;'Données projet'!$A$62,$AF$205^A17,IF(A17='Données projet'!$A$62,'Données projet'!$B$62,AI16+AH17-AQ16)))</f>
        <v>8.7069931392376674</v>
      </c>
      <c r="AJ17" s="14">
        <f>AI17*VLOOKUP('Données projet'!$B$10,Paramètres!$A$1:$I$89,3,0)*VLOOKUP('Données projet'!$B$10,Paramètres!$A$1:$I$89,5,0)</f>
        <v>4.0748727891632281</v>
      </c>
      <c r="AK17" s="14">
        <f t="shared" si="35"/>
        <v>1.5945892948181934</v>
      </c>
      <c r="AL17" s="22">
        <f t="shared" si="4"/>
        <v>9.8743131296009761</v>
      </c>
      <c r="AM17" s="60">
        <f t="shared" si="5"/>
        <v>211.90417490187417</v>
      </c>
      <c r="AN17" s="60">
        <f ca="1">AVERAGE(OFFSET($AM$3,0,0,'Données projet'!$E$10+1,1))-AVERAGE(OFFSET($H$3,0,0,'Données projet'!$E$10+1,1))</f>
        <v>277.7918215389401</v>
      </c>
      <c r="AO17" s="60">
        <f t="shared" si="36"/>
        <v>164.65640238394164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1.8376068376068375</v>
      </c>
      <c r="BD17" s="13">
        <f>IF('Données projet'!$A$88&gt;35,BD16+BC17-BL16,IF(A17&lt;'Données projet'!$A$88,$BA$205^A17,IF(A17='Données projet'!$A$88,'Données projet'!$B$88,BD16+BC17-BL16)))</f>
        <v>22.096369996265679</v>
      </c>
      <c r="BE17" s="14">
        <f>BD17*VLOOKUP('Données projet'!$B$11,Paramètres!$A$1:$I$89,3,0)*VLOOKUP('Données projet'!$B$11,Paramètres!$A$1:$I$89,5,0)</f>
        <v>21.026905688446419</v>
      </c>
      <c r="BF17" s="14">
        <f t="shared" si="37"/>
        <v>6.797612110117015</v>
      </c>
      <c r="BG17" s="22">
        <f t="shared" si="7"/>
        <v>48.461035165831312</v>
      </c>
      <c r="BH17" s="60">
        <f t="shared" si="8"/>
        <v>250.4908969381045</v>
      </c>
      <c r="BI17" s="60">
        <f ca="1">AVERAGE(OFFSET($BH$3,0,0,'Données projet'!$E$11+1,1))-AVERAGE(OFFSET($H$3,0,0,'Données projet'!$E$11+1,1))</f>
        <v>366.21371543563254</v>
      </c>
      <c r="BJ17" s="60">
        <f t="shared" si="38"/>
        <v>237.43356317334084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2.0085470085470085</v>
      </c>
      <c r="BY17" s="13">
        <f>IF('Données projet'!$A$114&gt;35,BY16+BX17-CG16,IF(A17&lt;'Données projet'!$A$114,$BV$205^A17,IF(A17='Données projet'!$A$114,'Données projet'!$B$114,BY16+BX17-CG16)))</f>
        <v>24.009053660951697</v>
      </c>
      <c r="BZ17" s="14">
        <f>BY17*VLOOKUP('Données projet'!$B$12,Paramètres!$A$1:$I$89,3,0)*VLOOKUP('Données projet'!$B$12,Paramètres!$A$1:$I$89,5,0)</f>
        <v>25.094262886426712</v>
      </c>
      <c r="CA17" s="14">
        <f t="shared" si="39"/>
        <v>7.9472347747017285</v>
      </c>
      <c r="CB17" s="22">
        <f t="shared" si="10"/>
        <v>57.547275093132022</v>
      </c>
      <c r="CC17" s="60">
        <f t="shared" si="11"/>
        <v>259.57713686540524</v>
      </c>
      <c r="CD17" s="60">
        <f ca="1">AVERAGE(OFFSET($CC$3,0,0,'Données projet'!$E$12+1,1))-AVERAGE(OFFSET($H$3,0,0,'Données projet'!$E$12+1,1))</f>
        <v>530.79860063513229</v>
      </c>
      <c r="CE17" s="60">
        <f t="shared" si="40"/>
        <v>302.50876440460434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12.383034850580612</v>
      </c>
      <c r="CV17" s="14">
        <f t="shared" si="41"/>
        <v>4.2576904771143838</v>
      </c>
      <c r="CW17" s="22">
        <f t="shared" si="13"/>
        <v>28.982596612402116</v>
      </c>
      <c r="CX17" s="60">
        <f t="shared" si="14"/>
        <v>231.01245838467531</v>
      </c>
      <c r="CY17" s="60">
        <f ca="1">AVERAGE(OFFSET($CX$3,0,0,'Données projet'!$E$13+1,1))-AVERAGE(OFFSET($H$3,0,0,'Données projet'!$E$13+1,1))</f>
        <v>469.67944008675863</v>
      </c>
      <c r="CZ17" s="60">
        <f t="shared" si="42"/>
        <v>266.11908070867173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14.731541460173487</v>
      </c>
      <c r="DQ17" s="14">
        <f t="shared" si="43"/>
        <v>4.9638216355053304</v>
      </c>
      <c r="DR17" s="22">
        <f t="shared" si="16"/>
        <v>34.302757391640604</v>
      </c>
      <c r="DS17" s="60">
        <f t="shared" si="17"/>
        <v>236.33261916391379</v>
      </c>
      <c r="DT17" s="60">
        <f ca="1">AVERAGE(OFFSET($DS$3,0,0,'Données projet'!$E$14+1,1))-AVERAGE(OFFSET($H$3,0,0,'Données projet'!$E$14+1,1))</f>
        <v>542.90832990875208</v>
      </c>
      <c r="DU17" s="60">
        <f t="shared" si="44"/>
        <v>304.94365539329362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0.59333333333333338</v>
      </c>
      <c r="EJ17" s="13">
        <f>IF('Données projet'!$A$192&gt;35,EJ16+EI17-ER16,IF(A17&lt;'Données projet'!$A$192,$EG$205^A17,IF(A17='Données projet'!$A$192,'Données projet'!$B$192,EJ16+EI17-ER16)))</f>
        <v>7.6930284678357443</v>
      </c>
      <c r="EK17" s="18">
        <f>EJ17*VLOOKUP('Données projet'!$B$15,Paramètres!$A$1:$I$89,3,0)*VLOOKUP('Données projet'!$B$15,Paramètres!$A$1:$I$89,5,0)</f>
        <v>6.1205734490101191</v>
      </c>
      <c r="EL17" s="14">
        <f t="shared" si="45"/>
        <v>2.2843443774672894</v>
      </c>
      <c r="EM17" s="22">
        <f t="shared" si="19"/>
        <v>14.638565214448152</v>
      </c>
      <c r="EN17" s="60">
        <f t="shared" si="20"/>
        <v>216.66842698672136</v>
      </c>
      <c r="EO17" s="60">
        <f ca="1">AVERAGE(OFFSET($EN$3,0,0,'Données projet'!$E$15+1,1))-AVERAGE(OFFSET($H$3,0,0,'Données projet'!$E$15+1,1))</f>
        <v>273.72403794510291</v>
      </c>
      <c r="EP17" s="60">
        <f t="shared" si="46"/>
        <v>292.00185554564109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2.6666666666666665</v>
      </c>
      <c r="FE17" s="13">
        <f>IF('Données projet'!$A$218&gt;35,FE16+FD17-FM16,IF(A17&lt;'Données projet'!$A$218,$FB$205^A17,IF(A17='Données projet'!$A$218,'Données projet'!$B$218,FE16+FD17-FM16)))</f>
        <v>31.279225563578599</v>
      </c>
      <c r="FF17" s="18">
        <f>FE17*VLOOKUP('Données projet'!$B$16,Paramètres!$A$1:$I$89,3,0)*VLOOKUP('Données projet'!$B$16,Paramètres!$A$1:$I$89,5,0)</f>
        <v>24.397795939591308</v>
      </c>
      <c r="FG17" s="14">
        <f t="shared" si="47"/>
        <v>7.75202295846145</v>
      </c>
      <c r="FH17" s="22">
        <f t="shared" si="22"/>
        <v>55.994267914108548</v>
      </c>
      <c r="FI17" s="60">
        <f t="shared" si="23"/>
        <v>258.02412968638174</v>
      </c>
      <c r="FJ17" s="60">
        <f ca="1">AVERAGE(OFFSET($FI$3,0,0,'Données projet'!$E$16+1,1))-AVERAGE(OFFSET($H$3,0,0,'Données projet'!$E$16+1,1))</f>
        <v>309.21625451786218</v>
      </c>
      <c r="FK17" s="60">
        <f t="shared" si="48"/>
        <v>302.59481222418219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>
        <f>VLOOKUP(A17,'Données projet'!$A$243:$I$263,2,0)</f>
        <v>70.405500000000004</v>
      </c>
      <c r="FX17" s="13">
        <f>VLOOKUP(A17,'Données projet'!$A$243:$I$263,9,0)</f>
        <v>16.660000000000004</v>
      </c>
      <c r="FY17" s="13">
        <f t="array" ref="FY17">INDEX(FX:FX,MIN(IF(ISNUMBER(FX17:FX213),ROW(FX17:FX213),"")))</f>
        <v>16.660000000000004</v>
      </c>
      <c r="FZ17" s="13">
        <f>IF('Données projet'!$A$244&gt;35,FZ16+FY17-GH16,IF(A17&lt;'Données projet'!$A$244,$FW$205^A17,IF(A17='Données projet'!$A$244,'Données projet'!$B$244,FZ16+FY17-GH16)))</f>
        <v>70.405500000000004</v>
      </c>
      <c r="GA17" s="18">
        <f>FZ17*VLOOKUP('Données projet'!$B$17,Paramètres!$A$1:$I$89,3,0)*VLOOKUP('Données projet'!$B$17,Paramètres!$A$1:$I$89,5,0)</f>
        <v>42.102489000000006</v>
      </c>
      <c r="GB17" s="14">
        <f t="shared" si="49"/>
        <v>12.55423955359754</v>
      </c>
      <c r="GC17" s="22">
        <f t="shared" si="25"/>
        <v>95.193802230849045</v>
      </c>
      <c r="GD17" s="60">
        <f t="shared" si="26"/>
        <v>297.22366400312222</v>
      </c>
      <c r="GE17" s="60">
        <f ca="1">AVERAGE(OFFSET($GD$3,0,0,'Données projet'!$E$17+1,1))-AVERAGE(OFFSET($H$3,0,0,'Données projet'!$E$17+1,1))</f>
        <v>216.36762889365235</v>
      </c>
      <c r="GF17" s="60">
        <f t="shared" si="50"/>
        <v>333.29599352215496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4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15.957073874741019</v>
      </c>
      <c r="P18" s="14">
        <f t="shared" si="33"/>
        <v>5.3269860755326848</v>
      </c>
      <c r="Q18" s="22">
        <f t="shared" si="2"/>
        <v>37.069737746726702</v>
      </c>
      <c r="R18" s="60">
        <f t="shared" si="0"/>
        <v>241.56648767960775</v>
      </c>
      <c r="S18" s="60">
        <f ca="1">AVERAGE(OFFSET($R$3,0,0,'Données projet'!$E$9+1,1))-AVERAGE(OFFSET($H$3,0,0,'Données projet'!$E$9+1,1))</f>
        <v>496.33873798282525</v>
      </c>
      <c r="T18" s="60">
        <f t="shared" si="34"/>
        <v>280.25465074992246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3.4425641025641025</v>
      </c>
      <c r="AI18" s="14">
        <f>IF('Données projet'!$A$62&gt;35,AI17+AH18-AQ17,IF(A18&lt;'Données projet'!$A$62,$AF$205^A18,IF(A18='Données projet'!$A$62,'Données projet'!$B$62,AI17+AH18-AQ17)))</f>
        <v>10.162525428107084</v>
      </c>
      <c r="AJ18" s="14">
        <f>AI18*VLOOKUP('Données projet'!$B$10,Paramètres!$A$1:$I$89,3,0)*VLOOKUP('Données projet'!$B$10,Paramètres!$A$1:$I$89,5,0)</f>
        <v>4.7560619003541156</v>
      </c>
      <c r="AK18" s="14">
        <f t="shared" si="35"/>
        <v>1.8279653298016947</v>
      </c>
      <c r="AL18" s="22">
        <f t="shared" si="4"/>
        <v>11.467180759188034</v>
      </c>
      <c r="AM18" s="60">
        <f t="shared" si="5"/>
        <v>215.96393069206908</v>
      </c>
      <c r="AN18" s="60">
        <f ca="1">AVERAGE(OFFSET($AM$3,0,0,'Données projet'!$E$10+1,1))-AVERAGE(OFFSET($H$3,0,0,'Données projet'!$E$10+1,1))</f>
        <v>277.7918215389401</v>
      </c>
      <c r="AO18" s="60">
        <f t="shared" si="36"/>
        <v>164.65640238394164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27.564102564102562</v>
      </c>
      <c r="BB18" s="13">
        <f>VLOOKUP(A18,'Données projet'!$A$87:$I$107,9,0)</f>
        <v>1.8376068376068375</v>
      </c>
      <c r="BC18" s="13">
        <f t="array" ref="BC18">INDEX(BB:BB,MIN(IF(ISNUMBER(BB18:BB214),ROW(BB18:BB214),"")))</f>
        <v>1.8376068376068375</v>
      </c>
      <c r="BD18" s="13">
        <f>IF('Données projet'!$A$88&gt;35,BD17+BC18-BL17,IF(A18&lt;'Données projet'!$A$88,$BA$205^A18,IF(A18='Données projet'!$A$88,'Données projet'!$B$88,BD17+BC18-BL17)))</f>
        <v>27.564102564102562</v>
      </c>
      <c r="BE18" s="14">
        <f>BD18*VLOOKUP('Données projet'!$B$11,Paramètres!$A$1:$I$89,3,0)*VLOOKUP('Données projet'!$B$11,Paramètres!$A$1:$I$89,5,0)</f>
        <v>26.229999999999997</v>
      </c>
      <c r="BF18" s="14">
        <f t="shared" si="37"/>
        <v>8.2642269363073559</v>
      </c>
      <c r="BG18" s="22">
        <f t="shared" si="7"/>
        <v>60.077445247401975</v>
      </c>
      <c r="BH18" s="60">
        <f t="shared" si="8"/>
        <v>264.57419518028303</v>
      </c>
      <c r="BI18" s="60">
        <f ca="1">AVERAGE(OFFSET($BH$3,0,0,'Données projet'!$E$11+1,1))-AVERAGE(OFFSET($H$3,0,0,'Données projet'!$E$11+1,1))</f>
        <v>366.21371543563254</v>
      </c>
      <c r="BJ18" s="60">
        <f t="shared" si="38"/>
        <v>237.43356317334084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30.128205128205128</v>
      </c>
      <c r="BW18" s="13">
        <f>VLOOKUP(A18,'Données projet'!$A$113:$I$133,9,0)</f>
        <v>2.0085470085470085</v>
      </c>
      <c r="BX18" s="13">
        <f t="array" ref="BX18">INDEX(BW:BW,MIN(IF(ISNUMBER(BW18:BW214),ROW(BW18:BW214),"")))</f>
        <v>2.0085470085470085</v>
      </c>
      <c r="BY18" s="13">
        <f>IF('Données projet'!$A$114&gt;35,BY17+BX18-CG17,IF(A18&lt;'Données projet'!$A$114,$BV$205^A18,IF(A18='Données projet'!$A$114,'Données projet'!$B$114,BY17+BX18-CG17)))</f>
        <v>30.128205128205128</v>
      </c>
      <c r="BZ18" s="14">
        <f>BY18*VLOOKUP('Données projet'!$B$12,Paramètres!$A$1:$I$89,3,0)*VLOOKUP('Données projet'!$B$12,Paramètres!$A$1:$I$89,5,0)</f>
        <v>31.490000000000006</v>
      </c>
      <c r="CA18" s="14">
        <f t="shared" si="39"/>
        <v>9.7126430402655597</v>
      </c>
      <c r="CB18" s="22">
        <f t="shared" si="10"/>
        <v>71.761269961795847</v>
      </c>
      <c r="CC18" s="60">
        <f t="shared" si="11"/>
        <v>276.25801989467686</v>
      </c>
      <c r="CD18" s="60">
        <f ca="1">AVERAGE(OFFSET($CC$3,0,0,'Données projet'!$E$12+1,1))-AVERAGE(OFFSET($H$3,0,0,'Données projet'!$E$12+1,1))</f>
        <v>530.79860063513229</v>
      </c>
      <c r="CE18" s="60">
        <f t="shared" si="40"/>
        <v>302.50876440460434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14.927585237660953</v>
      </c>
      <c r="CV18" s="14">
        <f t="shared" si="41"/>
        <v>5.0221449106318534</v>
      </c>
      <c r="CW18" s="22">
        <f t="shared" si="13"/>
        <v>34.745780008276633</v>
      </c>
      <c r="CX18" s="60">
        <f t="shared" si="14"/>
        <v>239.24252994115767</v>
      </c>
      <c r="CY18" s="60">
        <f ca="1">AVERAGE(OFFSET($CX$3,0,0,'Données projet'!$E$13+1,1))-AVERAGE(OFFSET($H$3,0,0,'Données projet'!$E$13+1,1))</f>
        <v>469.67944008675863</v>
      </c>
      <c r="CZ18" s="60">
        <f t="shared" si="42"/>
        <v>266.11908070867173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17.758678989631132</v>
      </c>
      <c r="DQ18" s="14">
        <f t="shared" si="43"/>
        <v>5.8550596146042126</v>
      </c>
      <c r="DR18" s="22">
        <f t="shared" si="16"/>
        <v>41.127261402376554</v>
      </c>
      <c r="DS18" s="60">
        <f t="shared" si="17"/>
        <v>245.62401133525759</v>
      </c>
      <c r="DT18" s="60">
        <f ca="1">AVERAGE(OFFSET($DS$3,0,0,'Données projet'!$E$14+1,1))-AVERAGE(OFFSET($H$3,0,0,'Données projet'!$E$14+1,1))</f>
        <v>542.90832990875208</v>
      </c>
      <c r="DU18" s="60">
        <f t="shared" si="44"/>
        <v>304.94365539329362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8.9</v>
      </c>
      <c r="EH18" s="13">
        <f>VLOOKUP(A18,'Données projet'!$A$191:$I$211,9,0)</f>
        <v>0.59333333333333338</v>
      </c>
      <c r="EI18" s="13">
        <f t="array" ref="EI18">INDEX(EH:EH,MIN(IF(ISNUMBER(EH18:EH214),ROW(EH18:EH214),"")))</f>
        <v>0.59333333333333338</v>
      </c>
      <c r="EJ18" s="13">
        <f>IF('Données projet'!$A$192&gt;35,EJ17+EI18-ER17,IF(A18&lt;'Données projet'!$A$192,$EG$205^A18,IF(A18='Données projet'!$A$192,'Données projet'!$B$192,EJ17+EI18-ER17)))</f>
        <v>8.9</v>
      </c>
      <c r="EK18" s="18">
        <f>EJ18*VLOOKUP('Données projet'!$B$15,Paramètres!$A$1:$I$89,3,0)*VLOOKUP('Données projet'!$B$15,Paramètres!$A$1:$I$89,5,0)</f>
        <v>7.0808400000000011</v>
      </c>
      <c r="EL18" s="14">
        <f t="shared" si="45"/>
        <v>2.5982861446166345</v>
      </c>
      <c r="EM18" s="22">
        <f t="shared" si="19"/>
        <v>16.857811368540641</v>
      </c>
      <c r="EN18" s="60">
        <f t="shared" si="20"/>
        <v>221.35456130142168</v>
      </c>
      <c r="EO18" s="60">
        <f ca="1">AVERAGE(OFFSET($EN$3,0,0,'Données projet'!$E$15+1,1))-AVERAGE(OFFSET($H$3,0,0,'Données projet'!$E$15+1,1))</f>
        <v>273.72403794510291</v>
      </c>
      <c r="EP18" s="60">
        <f t="shared" si="46"/>
        <v>292.00185554564109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40</v>
      </c>
      <c r="FC18" s="13">
        <f>VLOOKUP(A18,'Données projet'!$A$217:$I$237,9,0)</f>
        <v>2.6666666666666665</v>
      </c>
      <c r="FD18" s="13">
        <f t="array" ref="FD18">INDEX(FC:FC,MIN(IF(ISNUMBER(FC18:FC214),ROW(FC18:FC214),"")))</f>
        <v>2.6666666666666665</v>
      </c>
      <c r="FE18" s="13">
        <f>IF('Données projet'!$A$218&gt;35,FE17+FD18-FM17,IF(A18&lt;'Données projet'!$A$218,$FB$205^A18,IF(A18='Données projet'!$A$218,'Données projet'!$B$218,FE17+FD18-FM17)))</f>
        <v>40</v>
      </c>
      <c r="FF18" s="18">
        <f>FE18*VLOOKUP('Données projet'!$B$16,Paramètres!$A$1:$I$89,3,0)*VLOOKUP('Données projet'!$B$16,Paramètres!$A$1:$I$89,5,0)</f>
        <v>31.200000000000003</v>
      </c>
      <c r="FG18" s="14">
        <f t="shared" si="47"/>
        <v>9.6335657126419925</v>
      </c>
      <c r="FH18" s="22">
        <f t="shared" si="22"/>
        <v>71.118460282851473</v>
      </c>
      <c r="FI18" s="60">
        <f t="shared" si="23"/>
        <v>275.61521021573253</v>
      </c>
      <c r="FJ18" s="60">
        <f ca="1">AVERAGE(OFFSET($FI$3,0,0,'Données projet'!$E$16+1,1))-AVERAGE(OFFSET($H$3,0,0,'Données projet'!$E$16+1,1))</f>
        <v>309.21625451786218</v>
      </c>
      <c r="FK18" s="60">
        <f t="shared" si="48"/>
        <v>302.59481222418219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88.859000000000009</v>
      </c>
      <c r="FX18" s="13">
        <f>VLOOKUP(A18,'Données projet'!$A$243:$I$263,9,0)</f>
        <v>18.453500000000005</v>
      </c>
      <c r="FY18" s="13">
        <f t="array" ref="FY18">INDEX(FX:FX,MIN(IF(ISNUMBER(FX18:FX214),ROW(FX18:FX214),"")))</f>
        <v>18.453500000000005</v>
      </c>
      <c r="FZ18" s="13">
        <f>IF('Données projet'!$A$244&gt;35,FZ17+FY18-GH17,IF(A18&lt;'Données projet'!$A$244,$FW$205^A18,IF(A18='Données projet'!$A$244,'Données projet'!$B$244,FZ17+FY18-GH17)))</f>
        <v>88.859000000000009</v>
      </c>
      <c r="GA18" s="18">
        <f>FZ18*VLOOKUP('Données projet'!$B$17,Paramètres!$A$1:$I$89,3,0)*VLOOKUP('Données projet'!$B$17,Paramètres!$A$1:$I$89,5,0)</f>
        <v>53.137682000000012</v>
      </c>
      <c r="GB18" s="14">
        <f t="shared" si="49"/>
        <v>15.421187125360523</v>
      </c>
      <c r="GC18" s="22">
        <f t="shared" si="25"/>
        <v>119.40669706000294</v>
      </c>
      <c r="GD18" s="60">
        <f t="shared" si="26"/>
        <v>323.90344699288397</v>
      </c>
      <c r="GE18" s="60">
        <f ca="1">AVERAGE(OFFSET($GD$3,0,0,'Données projet'!$E$17+1,1))-AVERAGE(OFFSET($H$3,0,0,'Données projet'!$E$17+1,1))</f>
        <v>216.36762889365235</v>
      </c>
      <c r="GF18" s="60">
        <f t="shared" si="50"/>
        <v>333.29599352215496</v>
      </c>
      <c r="GG18" s="16">
        <f>IF(ISNA(VLOOKUP(A18,'Données projet'!$A$243:$I$263,3,0)),0,VLOOKUP(A18,'Données projet'!$A$243:$I$263,3,0))</f>
        <v>1</v>
      </c>
      <c r="GH18" s="16">
        <f>IF(ISNA(VLOOKUP(A18,'Données projet'!$A$243:$I$263,4,0)),0,VLOOKUP(A18,'Données projet'!$A$243:$I$263,4,0))</f>
        <v>23.3155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0.22500000000000001</v>
      </c>
      <c r="GK18" s="17">
        <f>IF(ISNA(VLOOKUP(A18,'Données projet'!$A$243:$I$263,7,0)),0%,VLOOKUP(A18,'Données projet'!$A$243:$I$263,7,0))</f>
        <v>0.5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4.1451803783874421</v>
      </c>
      <c r="GN18" s="23">
        <f>EXP(-LN(2)/2)*GN17+(1-EXP(-LN(2)/2))/(LN(2)/2)*GH18*GK18*VLOOKUP('Données projet'!$B$17,Paramètres!$A$1:$I$89,3,0)*0.475*44/12</f>
        <v>7.8931700777605167</v>
      </c>
      <c r="GO18" s="23">
        <f t="shared" si="27"/>
        <v>12.03835045614796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4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19.236042156311996</v>
      </c>
      <c r="P19" s="14">
        <f t="shared" si="33"/>
        <v>6.2834290449348904</v>
      </c>
      <c r="Q19" s="22">
        <f t="shared" si="2"/>
        <v>44.446412342171662</v>
      </c>
      <c r="R19" s="60">
        <f t="shared" si="0"/>
        <v>251.38845826428573</v>
      </c>
      <c r="S19" s="60">
        <f ca="1">AVERAGE(OFFSET($R$3,0,0,'Données projet'!$E$9+1,1))-AVERAGE(OFFSET($H$3,0,0,'Données projet'!$E$9+1,1))</f>
        <v>496.33873798282525</v>
      </c>
      <c r="T19" s="60">
        <f t="shared" si="34"/>
        <v>280.25465074992246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3.4425641025641025</v>
      </c>
      <c r="AI19" s="14">
        <f>IF('Données projet'!$A$62&gt;35,AI18+AH19-AQ18,IF(A19&lt;'Données projet'!$A$62,$AF$205^A19,IF(A19='Données projet'!$A$62,'Données projet'!$B$62,AI18+AH19-AQ18)))</f>
        <v>11.861376416102864</v>
      </c>
      <c r="AJ19" s="14">
        <f>AI19*VLOOKUP('Données projet'!$B$10,Paramètres!$A$1:$I$89,3,0)*VLOOKUP('Données projet'!$B$10,Paramètres!$A$1:$I$89,5,0)</f>
        <v>5.5511241627361398</v>
      </c>
      <c r="AK19" s="14">
        <f t="shared" si="35"/>
        <v>2.0954971024924585</v>
      </c>
      <c r="AL19" s="22">
        <f t="shared" si="4"/>
        <v>13.31786537027314</v>
      </c>
      <c r="AM19" s="60">
        <f t="shared" si="5"/>
        <v>220.25991129238719</v>
      </c>
      <c r="AN19" s="60">
        <f ca="1">AVERAGE(OFFSET($AM$3,0,0,'Données projet'!$E$10+1,1))-AVERAGE(OFFSET($H$3,0,0,'Données projet'!$E$10+1,1))</f>
        <v>277.7918215389401</v>
      </c>
      <c r="AO19" s="60">
        <f t="shared" si="36"/>
        <v>164.65640238394164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5.3846153846153841</v>
      </c>
      <c r="BD19" s="13">
        <f>IF('Données projet'!$A$88&gt;35,BD18+BC19-BL18,IF(A19&lt;'Données projet'!$A$88,$BA$205^A19,IF(A19='Données projet'!$A$88,'Données projet'!$B$88,BD18+BC19-BL18)))</f>
        <v>32.948717948717949</v>
      </c>
      <c r="BE19" s="14">
        <f>BD19*VLOOKUP('Données projet'!$B$11,Paramètres!$A$1:$I$89,3,0)*VLOOKUP('Données projet'!$B$11,Paramètres!$A$1:$I$89,5,0)</f>
        <v>31.353999999999999</v>
      </c>
      <c r="BF19" s="14">
        <f t="shared" si="37"/>
        <v>9.6755691032873905</v>
      </c>
      <c r="BG19" s="22">
        <f t="shared" si="7"/>
        <v>71.459832854892184</v>
      </c>
      <c r="BH19" s="60">
        <f t="shared" si="8"/>
        <v>278.40187877700623</v>
      </c>
      <c r="BI19" s="60">
        <f ca="1">AVERAGE(OFFSET($BH$3,0,0,'Données projet'!$E$11+1,1))-AVERAGE(OFFSET($H$3,0,0,'Données projet'!$E$11+1,1))</f>
        <v>366.21371543563254</v>
      </c>
      <c r="BJ19" s="60">
        <f t="shared" si="38"/>
        <v>237.43356317334084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5.7692307692307683</v>
      </c>
      <c r="BY19" s="13">
        <f>IF('Données projet'!$A$114&gt;35,BY18+BX19-CG18,IF(A19&lt;'Données projet'!$A$114,$BV$205^A19,IF(A19='Données projet'!$A$114,'Données projet'!$B$114,BY18+BX19-CG18)))</f>
        <v>35.897435897435898</v>
      </c>
      <c r="BZ19" s="14">
        <f>BY19*VLOOKUP('Données projet'!$B$12,Paramètres!$A$1:$I$89,3,0)*VLOOKUP('Données projet'!$B$12,Paramètres!$A$1:$I$89,5,0)</f>
        <v>37.520000000000003</v>
      </c>
      <c r="CA19" s="14">
        <f t="shared" si="39"/>
        <v>11.338894152047692</v>
      </c>
      <c r="CB19" s="22">
        <f t="shared" si="10"/>
        <v>85.095907314816401</v>
      </c>
      <c r="CC19" s="60">
        <f t="shared" si="11"/>
        <v>292.03795323693043</v>
      </c>
      <c r="CD19" s="60">
        <f ca="1">AVERAGE(OFFSET($CC$3,0,0,'Données projet'!$E$12+1,1))-AVERAGE(OFFSET($H$3,0,0,'Données projet'!$E$12+1,1))</f>
        <v>530.79860063513229</v>
      </c>
      <c r="CE19" s="60">
        <f t="shared" si="40"/>
        <v>302.50876440460434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17.995007178485412</v>
      </c>
      <c r="CV19" s="14">
        <f t="shared" si="41"/>
        <v>5.9238546434872337</v>
      </c>
      <c r="CW19" s="22">
        <f t="shared" si="13"/>
        <v>41.658684339935689</v>
      </c>
      <c r="CX19" s="60">
        <f t="shared" si="14"/>
        <v>248.60073026204975</v>
      </c>
      <c r="CY19" s="60">
        <f ca="1">AVERAGE(OFFSET($CX$3,0,0,'Données projet'!$E$13+1,1))-AVERAGE(OFFSET($H$3,0,0,'Données projet'!$E$13+1,1))</f>
        <v>469.67944008675863</v>
      </c>
      <c r="CZ19" s="60">
        <f t="shared" si="42"/>
        <v>266.11908070867173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21.407853367508512</v>
      </c>
      <c r="DQ19" s="14">
        <f t="shared" si="43"/>
        <v>6.906316464991046</v>
      </c>
      <c r="DR19" s="22">
        <f t="shared" si="16"/>
        <v>49.313845791603399</v>
      </c>
      <c r="DS19" s="60">
        <f t="shared" si="17"/>
        <v>256.25589171371746</v>
      </c>
      <c r="DT19" s="60">
        <f ca="1">AVERAGE(OFFSET($DS$3,0,0,'Données projet'!$E$14+1,1))-AVERAGE(OFFSET($H$3,0,0,'Données projet'!$E$14+1,1))</f>
        <v>542.90832990875208</v>
      </c>
      <c r="DU19" s="60">
        <f t="shared" si="44"/>
        <v>304.94365539329362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9.56</v>
      </c>
      <c r="EJ19" s="13">
        <f>IF('Données projet'!$A$192&gt;35,EJ18+EI19-ER18,IF(A19&lt;'Données projet'!$A$192,$EG$205^A19,IF(A19='Données projet'!$A$192,'Données projet'!$B$192,EJ18+EI19-ER18)))</f>
        <v>18.46</v>
      </c>
      <c r="EK19" s="18">
        <f>EJ19*VLOOKUP('Données projet'!$B$15,Paramètres!$A$1:$I$89,3,0)*VLOOKUP('Données projet'!$B$15,Paramètres!$A$1:$I$89,5,0)</f>
        <v>14.686776</v>
      </c>
      <c r="EL19" s="14">
        <f t="shared" si="45"/>
        <v>4.9504912219432047</v>
      </c>
      <c r="EM19" s="22">
        <f t="shared" si="19"/>
        <v>34.201573744884413</v>
      </c>
      <c r="EN19" s="60">
        <f t="shared" si="20"/>
        <v>241.14361966699846</v>
      </c>
      <c r="EO19" s="60">
        <f ca="1">AVERAGE(OFFSET($EN$3,0,0,'Données projet'!$E$15+1,1))-AVERAGE(OFFSET($H$3,0,0,'Données projet'!$E$15+1,1))</f>
        <v>273.72403794510291</v>
      </c>
      <c r="EP19" s="60">
        <f t="shared" si="46"/>
        <v>292.00185554564109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9.6</v>
      </c>
      <c r="FE19" s="13">
        <f>IF('Données projet'!$A$218&gt;35,FE18+FD19-FM18,IF(A19&lt;'Données projet'!$A$218,$FB$205^A19,IF(A19='Données projet'!$A$218,'Données projet'!$B$218,FE18+FD19-FM18)))</f>
        <v>49.6</v>
      </c>
      <c r="FF19" s="18">
        <f>FE19*VLOOKUP('Données projet'!$B$16,Paramètres!$A$1:$I$89,3,0)*VLOOKUP('Données projet'!$B$16,Paramètres!$A$1:$I$89,5,0)</f>
        <v>38.688000000000002</v>
      </c>
      <c r="FG19" s="14">
        <f t="shared" si="47"/>
        <v>11.650229083154354</v>
      </c>
      <c r="FH19" s="22">
        <f t="shared" si="22"/>
        <v>87.672415653160499</v>
      </c>
      <c r="FI19" s="60">
        <f t="shared" si="23"/>
        <v>294.61446157527456</v>
      </c>
      <c r="FJ19" s="60">
        <f ca="1">AVERAGE(OFFSET($FI$3,0,0,'Données projet'!$E$16+1,1))-AVERAGE(OFFSET($H$3,0,0,'Données projet'!$E$16+1,1))</f>
        <v>309.21625451786218</v>
      </c>
      <c r="FK19" s="60">
        <f t="shared" si="48"/>
        <v>302.59481222418219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>
        <f>VLOOKUP(A19,'Données projet'!$A$243:$I$263,2,0)</f>
        <v>78.208500000000001</v>
      </c>
      <c r="FX19" s="13">
        <f>VLOOKUP(A19,'Données projet'!$A$243:$I$263,9,0)</f>
        <v>12.664999999999992</v>
      </c>
      <c r="FY19" s="13">
        <f t="array" ref="FY19">INDEX(FX:FX,MIN(IF(ISNUMBER(FX19:FX215),ROW(FX19:FX215),"")))</f>
        <v>12.664999999999992</v>
      </c>
      <c r="FZ19" s="13">
        <f>IF('Données projet'!$A$244&gt;35,FZ18+FY19-GH18,IF(A19&lt;'Données projet'!$A$244,$FW$205^A19,IF(A19='Données projet'!$A$244,'Données projet'!$B$244,FZ18+FY19-GH18)))</f>
        <v>78.208500000000001</v>
      </c>
      <c r="GA19" s="18">
        <f>FZ19*VLOOKUP('Données projet'!$B$17,Paramètres!$A$1:$I$89,3,0)*VLOOKUP('Données projet'!$B$17,Paramètres!$A$1:$I$89,5,0)</f>
        <v>46.768683000000003</v>
      </c>
      <c r="GB19" s="14">
        <f t="shared" si="49"/>
        <v>13.776041008898259</v>
      </c>
      <c r="GC19" s="22">
        <f t="shared" si="25"/>
        <v>105.44872764883114</v>
      </c>
      <c r="GD19" s="60">
        <f t="shared" si="26"/>
        <v>312.39077357094521</v>
      </c>
      <c r="GE19" s="60">
        <f ca="1">AVERAGE(OFFSET($GD$3,0,0,'Données projet'!$E$17+1,1))-AVERAGE(OFFSET($H$3,0,0,'Données projet'!$E$17+1,1))</f>
        <v>216.36762889365235</v>
      </c>
      <c r="GF19" s="60">
        <f t="shared" si="50"/>
        <v>333.29599352215496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4.0318302029548754</v>
      </c>
      <c r="GN19" s="23">
        <f>EXP(-LN(2)/2)*GN18+(1-EXP(-LN(2)/2))/(LN(2)/2)*GH19*GK19*VLOOKUP('Données projet'!$B$17,Paramètres!$A$1:$I$89,3,0)*0.475*44/12</f>
        <v>5.5813140870432107</v>
      </c>
      <c r="GO19" s="23">
        <f t="shared" si="27"/>
        <v>9.6131442899980861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4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23.188795185384055</v>
      </c>
      <c r="P20" s="14">
        <f t="shared" si="33"/>
        <v>7.4115982288884323</v>
      </c>
      <c r="Q20" s="22">
        <f t="shared" si="2"/>
        <v>53.29568519652458</v>
      </c>
      <c r="R20" s="60">
        <f t="shared" si="0"/>
        <v>262.66180951239733</v>
      </c>
      <c r="S20" s="60">
        <f ca="1">AVERAGE(OFFSET($R$3,0,0,'Données projet'!$E$9+1,1))-AVERAGE(OFFSET($H$3,0,0,'Données projet'!$E$9+1,1))</f>
        <v>496.33873798282525</v>
      </c>
      <c r="T20" s="60">
        <f t="shared" si="34"/>
        <v>280.25465074992246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3.4425641025641025</v>
      </c>
      <c r="AI20" s="14">
        <f>IF('Données projet'!$A$62&gt;35,AI19+AH20-AQ19,IF(A20&lt;'Données projet'!$A$62,$AF$205^A20,IF(A20='Données projet'!$A$62,'Données projet'!$B$62,AI19+AH20-AQ19)))</f>
        <v>13.84422124990315</v>
      </c>
      <c r="AJ20" s="14">
        <f>AI20*VLOOKUP('Données projet'!$B$10,Paramètres!$A$1:$I$89,3,0)*VLOOKUP('Données projet'!$B$10,Paramètres!$A$1:$I$89,5,0)</f>
        <v>6.4790955449546734</v>
      </c>
      <c r="AK20" s="14">
        <f t="shared" si="35"/>
        <v>2.4021834741420709</v>
      </c>
      <c r="AL20" s="22">
        <f t="shared" si="4"/>
        <v>15.468227624926827</v>
      </c>
      <c r="AM20" s="60">
        <f t="shared" si="5"/>
        <v>224.83435194079956</v>
      </c>
      <c r="AN20" s="60">
        <f ca="1">AVERAGE(OFFSET($AM$3,0,0,'Données projet'!$E$10+1,1))-AVERAGE(OFFSET($H$3,0,0,'Données projet'!$E$10+1,1))</f>
        <v>277.7918215389401</v>
      </c>
      <c r="AO20" s="60">
        <f t="shared" si="36"/>
        <v>164.65640238394164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5.3846153846153841</v>
      </c>
      <c r="BD20" s="13">
        <f>IF('Données projet'!$A$88&gt;35,BD19+BC20-BL19,IF(A20&lt;'Données projet'!$A$88,$BA$205^A20,IF(A20='Données projet'!$A$88,'Données projet'!$B$88,BD19+BC20-BL19)))</f>
        <v>38.333333333333336</v>
      </c>
      <c r="BE20" s="14">
        <f>BD20*VLOOKUP('Données projet'!$B$11,Paramètres!$A$1:$I$89,3,0)*VLOOKUP('Données projet'!$B$11,Paramètres!$A$1:$I$89,5,0)</f>
        <v>36.478000000000002</v>
      </c>
      <c r="BF20" s="14">
        <f t="shared" si="37"/>
        <v>11.06019217991456</v>
      </c>
      <c r="BG20" s="22">
        <f t="shared" si="7"/>
        <v>82.795684713351179</v>
      </c>
      <c r="BH20" s="60">
        <f t="shared" si="8"/>
        <v>292.16180902922389</v>
      </c>
      <c r="BI20" s="60">
        <f ca="1">AVERAGE(OFFSET($BH$3,0,0,'Données projet'!$E$11+1,1))-AVERAGE(OFFSET($H$3,0,0,'Données projet'!$E$11+1,1))</f>
        <v>366.21371543563254</v>
      </c>
      <c r="BJ20" s="60">
        <f t="shared" si="38"/>
        <v>237.43356317334084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5.7692307692307683</v>
      </c>
      <c r="BY20" s="13">
        <f>IF('Données projet'!$A$114&gt;35,BY19+BX20-CG19,IF(A20&lt;'Données projet'!$A$114,$BV$205^A20,IF(A20='Données projet'!$A$114,'Données projet'!$B$114,BY19+BX20-CG19)))</f>
        <v>41.666666666666664</v>
      </c>
      <c r="BZ20" s="14">
        <f>BY20*VLOOKUP('Données projet'!$B$12,Paramètres!$A$1:$I$89,3,0)*VLOOKUP('Données projet'!$B$12,Paramètres!$A$1:$I$89,5,0)</f>
        <v>43.550000000000004</v>
      </c>
      <c r="CA20" s="14">
        <f t="shared" si="39"/>
        <v>12.934868040345785</v>
      </c>
      <c r="CB20" s="22">
        <f t="shared" si="10"/>
        <v>98.377811836935564</v>
      </c>
      <c r="CC20" s="60">
        <f t="shared" si="11"/>
        <v>307.74393615280826</v>
      </c>
      <c r="CD20" s="60">
        <f ca="1">AVERAGE(OFFSET($CC$3,0,0,'Données projet'!$E$12+1,1))-AVERAGE(OFFSET($H$3,0,0,'Données projet'!$E$12+1,1))</f>
        <v>530.79860063513229</v>
      </c>
      <c r="CE20" s="60">
        <f t="shared" si="40"/>
        <v>302.50876440460434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21.692743883101215</v>
      </c>
      <c r="CV20" s="14">
        <f t="shared" si="41"/>
        <v>6.98746341685115</v>
      </c>
      <c r="CW20" s="22">
        <f t="shared" si="13"/>
        <v>49.951361047417038</v>
      </c>
      <c r="CX20" s="60">
        <f t="shared" si="14"/>
        <v>259.31748536328973</v>
      </c>
      <c r="CY20" s="60">
        <f ca="1">AVERAGE(OFFSET($CX$3,0,0,'Données projet'!$E$13+1,1))-AVERAGE(OFFSET($H$3,0,0,'Données projet'!$E$13+1,1))</f>
        <v>469.67944008675863</v>
      </c>
      <c r="CZ20" s="60">
        <f t="shared" si="42"/>
        <v>266.11908070867173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25.80688496437903</v>
      </c>
      <c r="DQ20" s="14">
        <f t="shared" si="43"/>
        <v>8.146323052908933</v>
      </c>
      <c r="DR20" s="22">
        <f t="shared" si="16"/>
        <v>59.135170630109862</v>
      </c>
      <c r="DS20" s="60">
        <f t="shared" si="17"/>
        <v>268.50129494598258</v>
      </c>
      <c r="DT20" s="60">
        <f ca="1">AVERAGE(OFFSET($DS$3,0,0,'Données projet'!$E$14+1,1))-AVERAGE(OFFSET($H$3,0,0,'Données projet'!$E$14+1,1))</f>
        <v>542.90832990875208</v>
      </c>
      <c r="DU20" s="60">
        <f t="shared" si="44"/>
        <v>304.94365539329362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9.56</v>
      </c>
      <c r="EJ20" s="13">
        <f>IF('Données projet'!$A$192&gt;35,EJ19+EI20-ER19,IF(A20&lt;'Données projet'!$A$192,$EG$205^A20,IF(A20='Données projet'!$A$192,'Données projet'!$B$192,EJ19+EI20-ER19)))</f>
        <v>28.020000000000003</v>
      </c>
      <c r="EK20" s="18">
        <f>EJ20*VLOOKUP('Données projet'!$B$15,Paramètres!$A$1:$I$89,3,0)*VLOOKUP('Données projet'!$B$15,Paramètres!$A$1:$I$89,5,0)</f>
        <v>22.292712000000005</v>
      </c>
      <c r="EL20" s="14">
        <f t="shared" si="45"/>
        <v>7.1579524338592915</v>
      </c>
      <c r="EM20" s="22">
        <f t="shared" si="19"/>
        <v>51.29324055563827</v>
      </c>
      <c r="EN20" s="60">
        <f t="shared" si="20"/>
        <v>260.659364871511</v>
      </c>
      <c r="EO20" s="60">
        <f ca="1">AVERAGE(OFFSET($EN$3,0,0,'Données projet'!$E$15+1,1))-AVERAGE(OFFSET($H$3,0,0,'Données projet'!$E$15+1,1))</f>
        <v>273.72403794510291</v>
      </c>
      <c r="EP20" s="60">
        <f t="shared" si="46"/>
        <v>292.00185554564109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9.6</v>
      </c>
      <c r="FE20" s="13">
        <f>IF('Données projet'!$A$218&gt;35,FE19+FD20-FM19,IF(A20&lt;'Données projet'!$A$218,$FB$205^A20,IF(A20='Données projet'!$A$218,'Données projet'!$B$218,FE19+FD20-FM19)))</f>
        <v>59.2</v>
      </c>
      <c r="FF20" s="18">
        <f>FE20*VLOOKUP('Données projet'!$B$16,Paramètres!$A$1:$I$89,3,0)*VLOOKUP('Données projet'!$B$16,Paramètres!$A$1:$I$89,5,0)</f>
        <v>46.176000000000002</v>
      </c>
      <c r="FG20" s="14">
        <f t="shared" si="47"/>
        <v>13.621668778540489</v>
      </c>
      <c r="FH20" s="22">
        <f t="shared" si="22"/>
        <v>104.14760645595801</v>
      </c>
      <c r="FI20" s="60">
        <f t="shared" si="23"/>
        <v>313.51373077183075</v>
      </c>
      <c r="FJ20" s="60">
        <f ca="1">AVERAGE(OFFSET($FI$3,0,0,'Données projet'!$E$16+1,1))-AVERAGE(OFFSET($H$3,0,0,'Données projet'!$E$16+1,1))</f>
        <v>309.21625451786218</v>
      </c>
      <c r="FK20" s="60">
        <f t="shared" si="48"/>
        <v>302.59481222418219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>
        <f>VLOOKUP(A20,'Données projet'!$A$243:$I$263,2,0)</f>
        <v>88.340500000000006</v>
      </c>
      <c r="FX20" s="13">
        <f>VLOOKUP(A20,'Données projet'!$A$243:$I$263,9,0)</f>
        <v>10.132000000000005</v>
      </c>
      <c r="FY20" s="13">
        <f t="array" ref="FY20">INDEX(FX:FX,MIN(IF(ISNUMBER(FX20:FX216),ROW(FX20:FX216),"")))</f>
        <v>10.132000000000005</v>
      </c>
      <c r="FZ20" s="13">
        <f>IF('Données projet'!$A$244&gt;35,FZ19+FY20-GH19,IF(A20&lt;'Données projet'!$A$244,$FW$205^A20,IF(A20='Données projet'!$A$244,'Données projet'!$B$244,FZ19+FY20-GH19)))</f>
        <v>88.340500000000006</v>
      </c>
      <c r="GA20" s="18">
        <f>FZ20*VLOOKUP('Données projet'!$B$17,Paramètres!$A$1:$I$89,3,0)*VLOOKUP('Données projet'!$B$17,Paramètres!$A$1:$I$89,5,0)</f>
        <v>52.827619000000006</v>
      </c>
      <c r="GB20" s="14">
        <f t="shared" si="49"/>
        <v>15.341650229603808</v>
      </c>
      <c r="GC20" s="22">
        <f t="shared" si="25"/>
        <v>118.72814390822663</v>
      </c>
      <c r="GD20" s="60">
        <f t="shared" si="26"/>
        <v>328.09426822409932</v>
      </c>
      <c r="GE20" s="60">
        <f ca="1">AVERAGE(OFFSET($GD$3,0,0,'Données projet'!$E$17+1,1))-AVERAGE(OFFSET($H$3,0,0,'Données projet'!$E$17+1,1))</f>
        <v>216.36762889365235</v>
      </c>
      <c r="GF20" s="60">
        <f t="shared" si="50"/>
        <v>333.29599352215496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3.9215795940303386</v>
      </c>
      <c r="GN20" s="23">
        <f>EXP(-LN(2)/2)*GN19+(1-EXP(-LN(2)/2))/(LN(2)/2)*GH20*GK20*VLOOKUP('Données projet'!$B$17,Paramètres!$A$1:$I$89,3,0)*0.475*44/12</f>
        <v>3.9465850388802592</v>
      </c>
      <c r="GO20" s="23">
        <f t="shared" si="27"/>
        <v>7.8681646329105979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4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27.953786843477392</v>
      </c>
      <c r="P21" s="14">
        <f t="shared" si="33"/>
        <v>8.7423265089215931</v>
      </c>
      <c r="Q21" s="22">
        <f t="shared" si="2"/>
        <v>63.912397422094891</v>
      </c>
      <c r="R21" s="60">
        <f t="shared" si="0"/>
        <v>275.68175061409801</v>
      </c>
      <c r="S21" s="60">
        <f ca="1">AVERAGE(OFFSET($R$3,0,0,'Données projet'!$E$9+1,1))-AVERAGE(OFFSET($H$3,0,0,'Données projet'!$E$9+1,1))</f>
        <v>496.33873798282525</v>
      </c>
      <c r="T21" s="60">
        <f t="shared" si="34"/>
        <v>280.25465074992246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3.4425641025641025</v>
      </c>
      <c r="AI21" s="14">
        <f>IF('Données projet'!$A$62&gt;35,AI20+AH21-AQ20,IF(A21&lt;'Données projet'!$A$62,$AF$205^A21,IF(A21='Données projet'!$A$62,'Données projet'!$B$62,AI20+AH21-AQ20)))</f>
        <v>16.158534666859676</v>
      </c>
      <c r="AJ21" s="14">
        <f>AI21*VLOOKUP('Données projet'!$B$10,Paramètres!$A$1:$I$89,3,0)*VLOOKUP('Données projet'!$B$10,Paramètres!$A$1:$I$89,5,0)</f>
        <v>7.5621942240903284</v>
      </c>
      <c r="AK21" s="14">
        <f t="shared" si="35"/>
        <v>2.7537549140858508</v>
      </c>
      <c r="AL21" s="22">
        <f t="shared" si="4"/>
        <v>17.96694474899018</v>
      </c>
      <c r="AM21" s="60">
        <f t="shared" si="5"/>
        <v>229.7362979409933</v>
      </c>
      <c r="AN21" s="60">
        <f ca="1">AVERAGE(OFFSET($AM$3,0,0,'Données projet'!$E$10+1,1))-AVERAGE(OFFSET($H$3,0,0,'Données projet'!$E$10+1,1))</f>
        <v>277.7918215389401</v>
      </c>
      <c r="AO21" s="60">
        <f t="shared" si="36"/>
        <v>164.65640238394164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5.3846153846153841</v>
      </c>
      <c r="BD21" s="13">
        <f>IF('Données projet'!$A$88&gt;35,BD20+BC21-BL20,IF(A21&lt;'Données projet'!$A$88,$BA$205^A21,IF(A21='Données projet'!$A$88,'Données projet'!$B$88,BD20+BC21-BL20)))</f>
        <v>43.717948717948723</v>
      </c>
      <c r="BE21" s="14">
        <f>BD21*VLOOKUP('Données projet'!$B$11,Paramètres!$A$1:$I$89,3,0)*VLOOKUP('Données projet'!$B$11,Paramètres!$A$1:$I$89,5,0)</f>
        <v>41.602000000000004</v>
      </c>
      <c r="BF21" s="14">
        <f t="shared" si="37"/>
        <v>12.422281900716454</v>
      </c>
      <c r="BG21" s="22">
        <f t="shared" si="7"/>
        <v>94.092290977081163</v>
      </c>
      <c r="BH21" s="60">
        <f t="shared" si="8"/>
        <v>305.86164416908429</v>
      </c>
      <c r="BI21" s="60">
        <f ca="1">AVERAGE(OFFSET($BH$3,0,0,'Données projet'!$E$11+1,1))-AVERAGE(OFFSET($H$3,0,0,'Données projet'!$E$11+1,1))</f>
        <v>366.21371543563254</v>
      </c>
      <c r="BJ21" s="60">
        <f t="shared" si="38"/>
        <v>237.43356317334084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5.7692307692307683</v>
      </c>
      <c r="BY21" s="13">
        <f>IF('Données projet'!$A$114&gt;35,BY20+BX21-CG20,IF(A21&lt;'Données projet'!$A$114,$BV$205^A21,IF(A21='Données projet'!$A$114,'Données projet'!$B$114,BY20+BX21-CG20)))</f>
        <v>47.435897435897431</v>
      </c>
      <c r="BZ21" s="14">
        <f>BY21*VLOOKUP('Données projet'!$B$12,Paramètres!$A$1:$I$89,3,0)*VLOOKUP('Données projet'!$B$12,Paramètres!$A$1:$I$89,5,0)</f>
        <v>49.58</v>
      </c>
      <c r="CA21" s="14">
        <f t="shared" si="39"/>
        <v>14.505239638165149</v>
      </c>
      <c r="CB21" s="22">
        <f t="shared" si="10"/>
        <v>111.61512570313762</v>
      </c>
      <c r="CC21" s="60">
        <f t="shared" si="11"/>
        <v>323.38447889514072</v>
      </c>
      <c r="CD21" s="60">
        <f ca="1">AVERAGE(OFFSET($CC$3,0,0,'Données projet'!$E$12+1,1))-AVERAGE(OFFSET($H$3,0,0,'Données projet'!$E$12+1,1))</f>
        <v>530.79860063513229</v>
      </c>
      <c r="CE21" s="60">
        <f t="shared" si="40"/>
        <v>302.50876440460434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26.150316724543362</v>
      </c>
      <c r="CV21" s="14">
        <f t="shared" si="41"/>
        <v>8.2420396752158016</v>
      </c>
      <c r="CW21" s="22">
        <f t="shared" si="13"/>
        <v>59.900020729580547</v>
      </c>
      <c r="CX21" s="60">
        <f t="shared" si="14"/>
        <v>271.66937392158366</v>
      </c>
      <c r="CY21" s="60">
        <f ca="1">AVERAGE(OFFSET($CX$3,0,0,'Données projet'!$E$13+1,1))-AVERAGE(OFFSET($H$3,0,0,'Données projet'!$E$13+1,1))</f>
        <v>469.67944008675863</v>
      </c>
      <c r="CZ21" s="60">
        <f t="shared" si="42"/>
        <v>266.11908070867173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31.109859551611933</v>
      </c>
      <c r="DQ21" s="14">
        <f t="shared" si="43"/>
        <v>9.6089687778941872</v>
      </c>
      <c r="DR21" s="22">
        <f t="shared" si="16"/>
        <v>70.918626007223153</v>
      </c>
      <c r="DS21" s="60">
        <f t="shared" si="17"/>
        <v>282.68797919922628</v>
      </c>
      <c r="DT21" s="60">
        <f ca="1">AVERAGE(OFFSET($DS$3,0,0,'Données projet'!$E$14+1,1))-AVERAGE(OFFSET($H$3,0,0,'Données projet'!$E$14+1,1))</f>
        <v>542.90832990875208</v>
      </c>
      <c r="DU21" s="60">
        <f t="shared" si="44"/>
        <v>304.94365539329362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9.56</v>
      </c>
      <c r="EJ21" s="13">
        <f>IF('Données projet'!$A$192&gt;35,EJ20+EI21-ER20,IF(A21&lt;'Données projet'!$A$192,$EG$205^A21,IF(A21='Données projet'!$A$192,'Données projet'!$B$192,EJ20+EI21-ER20)))</f>
        <v>37.580000000000005</v>
      </c>
      <c r="EK21" s="18">
        <f>EJ21*VLOOKUP('Données projet'!$B$15,Paramètres!$A$1:$I$89,3,0)*VLOOKUP('Données projet'!$B$15,Paramètres!$A$1:$I$89,5,0)</f>
        <v>29.898648000000009</v>
      </c>
      <c r="EL21" s="14">
        <f t="shared" si="45"/>
        <v>9.277645512564316</v>
      </c>
      <c r="EM21" s="22">
        <f t="shared" si="19"/>
        <v>68.232044534382865</v>
      </c>
      <c r="EN21" s="60">
        <f t="shared" si="20"/>
        <v>280.00139772638596</v>
      </c>
      <c r="EO21" s="60">
        <f ca="1">AVERAGE(OFFSET($EN$3,0,0,'Données projet'!$E$15+1,1))-AVERAGE(OFFSET($H$3,0,0,'Données projet'!$E$15+1,1))</f>
        <v>273.72403794510291</v>
      </c>
      <c r="EP21" s="60">
        <f t="shared" si="46"/>
        <v>292.00185554564109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9.6</v>
      </c>
      <c r="FE21" s="13">
        <f>IF('Données projet'!$A$218&gt;35,FE20+FD21-FM20,IF(A21&lt;'Données projet'!$A$218,$FB$205^A21,IF(A21='Données projet'!$A$218,'Données projet'!$B$218,FE20+FD21-FM20)))</f>
        <v>68.8</v>
      </c>
      <c r="FF21" s="18">
        <f>FE21*VLOOKUP('Données projet'!$B$16,Paramètres!$A$1:$I$89,3,0)*VLOOKUP('Données projet'!$B$16,Paramètres!$A$1:$I$89,5,0)</f>
        <v>53.664000000000001</v>
      </c>
      <c r="FG21" s="14">
        <f t="shared" si="47"/>
        <v>15.556073979202782</v>
      </c>
      <c r="FH21" s="22">
        <f t="shared" si="22"/>
        <v>120.55829551377816</v>
      </c>
      <c r="FI21" s="60">
        <f t="shared" si="23"/>
        <v>332.32764870578126</v>
      </c>
      <c r="FJ21" s="60">
        <f ca="1">AVERAGE(OFFSET($FI$3,0,0,'Données projet'!$E$16+1,1))-AVERAGE(OFFSET($H$3,0,0,'Données projet'!$E$16+1,1))</f>
        <v>309.21625451786218</v>
      </c>
      <c r="FK21" s="60">
        <f t="shared" si="48"/>
        <v>302.59481222418219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>
        <f>VLOOKUP(A21,'Données projet'!$A$243:$I$263,2,0)</f>
        <v>100.55499999999999</v>
      </c>
      <c r="FX21" s="13">
        <f>VLOOKUP(A21,'Données projet'!$A$243:$I$263,9,0)</f>
        <v>12.214499999999987</v>
      </c>
      <c r="FY21" s="13">
        <f t="array" ref="FY21">INDEX(FX:FX,MIN(IF(ISNUMBER(FX21:FX217),ROW(FX21:FX217),"")))</f>
        <v>12.214499999999987</v>
      </c>
      <c r="FZ21" s="13">
        <f>IF('Données projet'!$A$244&gt;35,FZ20+FY21-GH20,IF(A21&lt;'Données projet'!$A$244,$FW$205^A21,IF(A21='Données projet'!$A$244,'Données projet'!$B$244,FZ20+FY21-GH20)))</f>
        <v>100.55499999999999</v>
      </c>
      <c r="GA21" s="18">
        <f>FZ21*VLOOKUP('Données projet'!$B$17,Paramètres!$A$1:$I$89,3,0)*VLOOKUP('Données projet'!$B$17,Paramètres!$A$1:$I$89,5,0)</f>
        <v>60.131889999999999</v>
      </c>
      <c r="GB21" s="14">
        <f t="shared" si="49"/>
        <v>17.20161067997558</v>
      </c>
      <c r="GC21" s="22">
        <f t="shared" si="25"/>
        <v>134.68918035095743</v>
      </c>
      <c r="GD21" s="60">
        <f t="shared" si="26"/>
        <v>346.45853354296054</v>
      </c>
      <c r="GE21" s="60">
        <f ca="1">AVERAGE(OFFSET($GD$3,0,0,'Données projet'!$E$17+1,1))-AVERAGE(OFFSET($H$3,0,0,'Données projet'!$E$17+1,1))</f>
        <v>216.36762889365235</v>
      </c>
      <c r="GF21" s="60">
        <f t="shared" si="50"/>
        <v>333.29599352215496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3.8143437938046709</v>
      </c>
      <c r="GN21" s="23">
        <f>EXP(-LN(2)/2)*GN20+(1-EXP(-LN(2)/2))/(LN(2)/2)*GH21*GK21*VLOOKUP('Données projet'!$B$17,Paramètres!$A$1:$I$89,3,0)*0.475*44/12</f>
        <v>2.7906570435216058</v>
      </c>
      <c r="GO21" s="23">
        <f t="shared" si="27"/>
        <v>6.6050008373262763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4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33.697921459200977</v>
      </c>
      <c r="P22" s="14">
        <f t="shared" si="33"/>
        <v>10.31198270984201</v>
      </c>
      <c r="Q22" s="22">
        <f t="shared" si="2"/>
        <v>76.650583094416518</v>
      </c>
      <c r="R22" s="60">
        <f t="shared" si="0"/>
        <v>290.80267733744006</v>
      </c>
      <c r="S22" s="60">
        <f ca="1">AVERAGE(OFFSET($R$3,0,0,'Données projet'!$E$9+1,1))-AVERAGE(OFFSET($H$3,0,0,'Données projet'!$E$9+1,1))</f>
        <v>496.33873798282525</v>
      </c>
      <c r="T22" s="60">
        <f t="shared" si="34"/>
        <v>280.25465074992246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3.4425641025641025</v>
      </c>
      <c r="AI22" s="14">
        <f>IF('Données projet'!$A$62&gt;35,AI21+AH22-AQ21,IF(A22&lt;'Données projet'!$A$62,$AF$205^A22,IF(A22='Données projet'!$A$62,'Données projet'!$B$62,AI21+AH22-AQ21)))</f>
        <v>18.859727670267663</v>
      </c>
      <c r="AJ22" s="14">
        <f>AI22*VLOOKUP('Données projet'!$B$10,Paramètres!$A$1:$I$89,3,0)*VLOOKUP('Données projet'!$B$10,Paramètres!$A$1:$I$89,5,0)</f>
        <v>8.8263525496852662</v>
      </c>
      <c r="AK22" s="14">
        <f t="shared" si="35"/>
        <v>3.1567805742066648</v>
      </c>
      <c r="AL22" s="22">
        <f t="shared" si="4"/>
        <v>20.870623524111782</v>
      </c>
      <c r="AM22" s="60">
        <f t="shared" si="5"/>
        <v>235.0227177671353</v>
      </c>
      <c r="AN22" s="60">
        <f ca="1">AVERAGE(OFFSET($AM$3,0,0,'Données projet'!$E$10+1,1))-AVERAGE(OFFSET($H$3,0,0,'Données projet'!$E$10+1,1))</f>
        <v>277.7918215389401</v>
      </c>
      <c r="AO22" s="60">
        <f t="shared" si="36"/>
        <v>164.65640238394164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5.3846153846153841</v>
      </c>
      <c r="BD22" s="13">
        <f>IF('Données projet'!$A$88&gt;35,BD21+BC22-BL21,IF(A22&lt;'Données projet'!$A$88,$BA$205^A22,IF(A22='Données projet'!$A$88,'Données projet'!$B$88,BD21+BC22-BL21)))</f>
        <v>49.102564102564109</v>
      </c>
      <c r="BE22" s="14">
        <f>BD22*VLOOKUP('Données projet'!$B$11,Paramètres!$A$1:$I$89,3,0)*VLOOKUP('Données projet'!$B$11,Paramètres!$A$1:$I$89,5,0)</f>
        <v>46.726000000000006</v>
      </c>
      <c r="BF22" s="14">
        <f t="shared" si="37"/>
        <v>13.764931291666567</v>
      </c>
      <c r="BG22" s="22">
        <f t="shared" si="7"/>
        <v>105.35503866631927</v>
      </c>
      <c r="BH22" s="60">
        <f t="shared" si="8"/>
        <v>319.50713290934277</v>
      </c>
      <c r="BI22" s="60">
        <f ca="1">AVERAGE(OFFSET($BH$3,0,0,'Données projet'!$E$11+1,1))-AVERAGE(OFFSET($H$3,0,0,'Données projet'!$E$11+1,1))</f>
        <v>366.21371543563254</v>
      </c>
      <c r="BJ22" s="60">
        <f t="shared" si="38"/>
        <v>237.43356317334084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5.7692307692307683</v>
      </c>
      <c r="BY22" s="13">
        <f>IF('Données projet'!$A$114&gt;35,BY21+BX22-CG21,IF(A22&lt;'Données projet'!$A$114,$BV$205^A22,IF(A22='Données projet'!$A$114,'Données projet'!$B$114,BY21+BX22-CG21)))</f>
        <v>53.205128205128197</v>
      </c>
      <c r="BZ22" s="14">
        <f>BY22*VLOOKUP('Données projet'!$B$12,Paramètres!$A$1:$I$89,3,0)*VLOOKUP('Données projet'!$B$12,Paramètres!$A$1:$I$89,5,0)</f>
        <v>55.61</v>
      </c>
      <c r="CA22" s="14">
        <f t="shared" si="39"/>
        <v>16.053478951715945</v>
      </c>
      <c r="CB22" s="22">
        <f t="shared" si="10"/>
        <v>124.81389250757191</v>
      </c>
      <c r="CC22" s="60">
        <f t="shared" si="11"/>
        <v>338.96598675059545</v>
      </c>
      <c r="CD22" s="60">
        <f ca="1">AVERAGE(OFFSET($CC$3,0,0,'Données projet'!$E$12+1,1))-AVERAGE(OFFSET($H$3,0,0,'Données projet'!$E$12+1,1))</f>
        <v>530.79860063513229</v>
      </c>
      <c r="CE22" s="60">
        <f t="shared" si="40"/>
        <v>302.50876440460434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31.52386201022027</v>
      </c>
      <c r="CV22" s="14">
        <f t="shared" si="41"/>
        <v>9.7218710074397983</v>
      </c>
      <c r="CW22" s="22">
        <f t="shared" si="13"/>
        <v>71.836318339091292</v>
      </c>
      <c r="CX22" s="60">
        <f t="shared" si="14"/>
        <v>285.98841258211485</v>
      </c>
      <c r="CY22" s="60">
        <f ca="1">AVERAGE(OFFSET($CX$3,0,0,'Données projet'!$E$13+1,1))-AVERAGE(OFFSET($H$3,0,0,'Données projet'!$E$13+1,1))</f>
        <v>469.67944008675863</v>
      </c>
      <c r="CZ22" s="60">
        <f t="shared" si="42"/>
        <v>266.11908070867173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37.502525494917215</v>
      </c>
      <c r="DQ22" s="14">
        <f t="shared" si="43"/>
        <v>11.334227770598273</v>
      </c>
      <c r="DR22" s="22">
        <f t="shared" si="16"/>
        <v>85.057345270772814</v>
      </c>
      <c r="DS22" s="60">
        <f t="shared" si="17"/>
        <v>299.20943951379633</v>
      </c>
      <c r="DT22" s="60">
        <f ca="1">AVERAGE(OFFSET($DS$3,0,0,'Données projet'!$E$14+1,1))-AVERAGE(OFFSET($H$3,0,0,'Données projet'!$E$14+1,1))</f>
        <v>542.90832990875208</v>
      </c>
      <c r="DU22" s="60">
        <f t="shared" si="44"/>
        <v>304.94365539329362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9.56</v>
      </c>
      <c r="EJ22" s="13">
        <f>IF('Données projet'!$A$192&gt;35,EJ21+EI22-ER21,IF(A22&lt;'Données projet'!$A$192,$EG$205^A22,IF(A22='Données projet'!$A$192,'Données projet'!$B$192,EJ21+EI22-ER21)))</f>
        <v>47.140000000000008</v>
      </c>
      <c r="EK22" s="18">
        <f>EJ22*VLOOKUP('Données projet'!$B$15,Paramètres!$A$1:$I$89,3,0)*VLOOKUP('Données projet'!$B$15,Paramètres!$A$1:$I$89,5,0)</f>
        <v>37.504584000000008</v>
      </c>
      <c r="EL22" s="14">
        <f t="shared" si="45"/>
        <v>11.334777485720775</v>
      </c>
      <c r="EM22" s="22">
        <f t="shared" si="19"/>
        <v>85.061887920963684</v>
      </c>
      <c r="EN22" s="60">
        <f t="shared" si="20"/>
        <v>299.21398216398723</v>
      </c>
      <c r="EO22" s="60">
        <f ca="1">AVERAGE(OFFSET($EN$3,0,0,'Données projet'!$E$15+1,1))-AVERAGE(OFFSET($H$3,0,0,'Données projet'!$E$15+1,1))</f>
        <v>273.72403794510291</v>
      </c>
      <c r="EP22" s="60">
        <f t="shared" si="46"/>
        <v>292.00185554564109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9.6</v>
      </c>
      <c r="FE22" s="13">
        <f>IF('Données projet'!$A$218&gt;35,FE21+FD22-FM21,IF(A22&lt;'Données projet'!$A$218,$FB$205^A22,IF(A22='Données projet'!$A$218,'Données projet'!$B$218,FE21+FD22-FM21)))</f>
        <v>78.399999999999991</v>
      </c>
      <c r="FF22" s="18">
        <f>FE22*VLOOKUP('Données projet'!$B$16,Paramètres!$A$1:$I$89,3,0)*VLOOKUP('Données projet'!$B$16,Paramètres!$A$1:$I$89,5,0)</f>
        <v>61.151999999999994</v>
      </c>
      <c r="FG22" s="14">
        <f t="shared" si="47"/>
        <v>17.459207591071255</v>
      </c>
      <c r="FH22" s="22">
        <f t="shared" si="22"/>
        <v>136.9145198877824</v>
      </c>
      <c r="FI22" s="60">
        <f t="shared" si="23"/>
        <v>351.06661413080593</v>
      </c>
      <c r="FJ22" s="60">
        <f ca="1">AVERAGE(OFFSET($FI$3,0,0,'Données projet'!$E$16+1,1))-AVERAGE(OFFSET($H$3,0,0,'Données projet'!$E$16+1,1))</f>
        <v>309.21625451786218</v>
      </c>
      <c r="FK22" s="60">
        <f t="shared" si="48"/>
        <v>302.59481222418219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>
        <f>VLOOKUP(A22,'Données projet'!$A$243:$I$263,2,0)</f>
        <v>113.679</v>
      </c>
      <c r="FX22" s="13">
        <f>VLOOKUP(A22,'Données projet'!$A$243:$I$263,9,0)</f>
        <v>13.124000000000009</v>
      </c>
      <c r="FY22" s="13">
        <f t="array" ref="FY22">INDEX(FX:FX,MIN(IF(ISNUMBER(FX22:FX218),ROW(FX22:FX218),"")))</f>
        <v>13.124000000000009</v>
      </c>
      <c r="FZ22" s="13">
        <f>IF('Données projet'!$A$244&gt;35,FZ21+FY22-GH21,IF(A22&lt;'Données projet'!$A$244,$FW$205^A22,IF(A22='Données projet'!$A$244,'Données projet'!$B$244,FZ21+FY22-GH21)))</f>
        <v>113.679</v>
      </c>
      <c r="GA22" s="18">
        <f>FZ22*VLOOKUP('Données projet'!$B$17,Paramètres!$A$1:$I$89,3,0)*VLOOKUP('Données projet'!$B$17,Paramètres!$A$1:$I$89,5,0)</f>
        <v>67.980042000000012</v>
      </c>
      <c r="GB22" s="14">
        <f t="shared" si="49"/>
        <v>19.170979162871237</v>
      </c>
      <c r="GC22" s="22">
        <f t="shared" si="25"/>
        <v>151.78802852533406</v>
      </c>
      <c r="GD22" s="60">
        <f t="shared" si="26"/>
        <v>365.94012276835758</v>
      </c>
      <c r="GE22" s="60">
        <f ca="1">AVERAGE(OFFSET($GD$3,0,0,'Données projet'!$E$17+1,1))-AVERAGE(OFFSET($H$3,0,0,'Données projet'!$E$17+1,1))</f>
        <v>216.36762889365235</v>
      </c>
      <c r="GF22" s="60">
        <f t="shared" si="50"/>
        <v>333.29599352215496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3.7100403621754601</v>
      </c>
      <c r="GN22" s="23">
        <f>EXP(-LN(2)/2)*GN21+(1-EXP(-LN(2)/2))/(LN(2)/2)*GH22*GK22*VLOOKUP('Données projet'!$B$17,Paramètres!$A$1:$I$89,3,0)*0.475*44/12</f>
        <v>1.9732925194401298</v>
      </c>
      <c r="GO22" s="23">
        <f t="shared" si="27"/>
        <v>5.6833328816155895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4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40.622399999999999</v>
      </c>
      <c r="P23" s="14">
        <f t="shared" si="33"/>
        <v>12.163465560290264</v>
      </c>
      <c r="Q23" s="22">
        <f t="shared" si="2"/>
        <v>91.935382517505545</v>
      </c>
      <c r="R23" s="60">
        <f t="shared" si="0"/>
        <v>308.45008540440125</v>
      </c>
      <c r="S23" s="60">
        <f ca="1">AVERAGE(OFFSET($R$3,0,0,'Données projet'!$E$9+1,1))-AVERAGE(OFFSET($H$3,0,0,'Données projet'!$E$9+1,1))</f>
        <v>496.33873798282525</v>
      </c>
      <c r="T23" s="60">
        <f t="shared" si="34"/>
        <v>280.25465074992246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3.4425641025641025</v>
      </c>
      <c r="AI23" s="14">
        <f>IF('Données projet'!$A$62&gt;35,AI22+AH23-AQ22,IF(A23&lt;'Données projet'!$A$62,$AF$205^A23,IF(A23='Données projet'!$A$62,'Données projet'!$B$62,AI22+AH23-AQ22)))</f>
        <v>22.012474220583886</v>
      </c>
      <c r="AJ23" s="14">
        <f>AI23*VLOOKUP('Données projet'!$B$10,Paramètres!$A$1:$I$89,3,0)*VLOOKUP('Données projet'!$B$10,Paramètres!$A$1:$I$89,5,0)</f>
        <v>10.301837935233259</v>
      </c>
      <c r="AK23" s="14">
        <f t="shared" si="35"/>
        <v>3.6187910342764393</v>
      </c>
      <c r="AL23" s="22">
        <f t="shared" si="4"/>
        <v>24.245095455229389</v>
      </c>
      <c r="AM23" s="60">
        <f t="shared" si="5"/>
        <v>240.75979834212512</v>
      </c>
      <c r="AN23" s="60">
        <f ca="1">AVERAGE(OFFSET($AM$3,0,0,'Données projet'!$E$10+1,1))-AVERAGE(OFFSET($H$3,0,0,'Données projet'!$E$10+1,1))</f>
        <v>277.7918215389401</v>
      </c>
      <c r="AO23" s="60">
        <f t="shared" si="36"/>
        <v>164.65640238394164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54.487179487179482</v>
      </c>
      <c r="BB23" s="13">
        <f>VLOOKUP(A23,'Données projet'!$A$87:$I$107,9,0)</f>
        <v>5.3846153846153841</v>
      </c>
      <c r="BC23" s="13">
        <f t="array" ref="BC23">INDEX(BB:BB,MIN(IF(ISNUMBER(BB23:BB219),ROW(BB23:BB219),"")))</f>
        <v>5.3846153846153841</v>
      </c>
      <c r="BD23" s="13">
        <f>IF('Données projet'!$A$88&gt;35,BD22+BC23-BL22,IF(A23&lt;'Données projet'!$A$88,$BA$205^A23,IF(A23='Données projet'!$A$88,'Données projet'!$B$88,BD22+BC23-BL22)))</f>
        <v>54.487179487179496</v>
      </c>
      <c r="BE23" s="14">
        <f>BD23*VLOOKUP('Données projet'!$B$11,Paramètres!$A$1:$I$89,3,0)*VLOOKUP('Données projet'!$B$11,Paramètres!$A$1:$I$89,5,0)</f>
        <v>51.85</v>
      </c>
      <c r="BF23" s="14">
        <f t="shared" si="37"/>
        <v>15.090515294566112</v>
      </c>
      <c r="BG23" s="22">
        <f t="shared" si="7"/>
        <v>116.58806413803597</v>
      </c>
      <c r="BH23" s="60">
        <f t="shared" si="8"/>
        <v>333.10276702493172</v>
      </c>
      <c r="BI23" s="60">
        <f ca="1">AVERAGE(OFFSET($BH$3,0,0,'Données projet'!$E$11+1,1))-AVERAGE(OFFSET($H$3,0,0,'Données projet'!$E$11+1,1))</f>
        <v>366.21371543563254</v>
      </c>
      <c r="BJ23" s="60">
        <f t="shared" si="38"/>
        <v>237.43356317334084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58.974358974358971</v>
      </c>
      <c r="BW23" s="13">
        <f>VLOOKUP(A23,'Données projet'!$A$113:$I$133,9,0)</f>
        <v>5.7692307692307683</v>
      </c>
      <c r="BX23" s="13">
        <f t="array" ref="BX23">INDEX(BW:BW,MIN(IF(ISNUMBER(BW23:BW219),ROW(BW23:BW219),"")))</f>
        <v>5.7692307692307683</v>
      </c>
      <c r="BY23" s="13">
        <f>IF('Données projet'!$A$114&gt;35,BY22+BX23-CG22,IF(A23&lt;'Données projet'!$A$114,$BV$205^A23,IF(A23='Données projet'!$A$114,'Données projet'!$B$114,BY22+BX23-CG22)))</f>
        <v>58.974358974358964</v>
      </c>
      <c r="BZ23" s="14">
        <f>BY23*VLOOKUP('Données projet'!$B$12,Paramètres!$A$1:$I$89,3,0)*VLOOKUP('Données projet'!$B$12,Paramètres!$A$1:$I$89,5,0)</f>
        <v>61.64</v>
      </c>
      <c r="CA23" s="14">
        <f t="shared" si="39"/>
        <v>17.582259466632539</v>
      </c>
      <c r="CB23" s="22">
        <f t="shared" si="10"/>
        <v>137.97876857105169</v>
      </c>
      <c r="CC23" s="60">
        <f t="shared" si="11"/>
        <v>354.49347145794741</v>
      </c>
      <c r="CD23" s="60">
        <f ca="1">AVERAGE(OFFSET($CC$3,0,0,'Données projet'!$E$12+1,1))-AVERAGE(OFFSET($H$3,0,0,'Données projet'!$E$12+1,1))</f>
        <v>530.79860063513229</v>
      </c>
      <c r="CE23" s="60">
        <f t="shared" si="40"/>
        <v>302.50876440460434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38.001600000000003</v>
      </c>
      <c r="CV23" s="14">
        <f t="shared" si="41"/>
        <v>11.467401227090512</v>
      </c>
      <c r="CW23" s="22">
        <f t="shared" si="13"/>
        <v>86.158510470515978</v>
      </c>
      <c r="CX23" s="60">
        <f t="shared" si="14"/>
        <v>302.67321335741167</v>
      </c>
      <c r="CY23" s="60">
        <f ca="1">AVERAGE(OFFSET($CX$3,0,0,'Données projet'!$E$13+1,1))-AVERAGE(OFFSET($H$3,0,0,'Données projet'!$E$13+1,1))</f>
        <v>469.67944008675863</v>
      </c>
      <c r="CZ23" s="60">
        <f t="shared" si="42"/>
        <v>266.11908070867173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45.208799999999997</v>
      </c>
      <c r="DQ23" s="14">
        <f t="shared" si="43"/>
        <v>13.369251386406743</v>
      </c>
      <c r="DR23" s="22">
        <f t="shared" si="16"/>
        <v>102.02343949799173</v>
      </c>
      <c r="DS23" s="60">
        <f t="shared" si="17"/>
        <v>318.53814238488746</v>
      </c>
      <c r="DT23" s="60">
        <f ca="1">AVERAGE(OFFSET($DS$3,0,0,'Données projet'!$E$14+1,1))-AVERAGE(OFFSET($H$3,0,0,'Données projet'!$E$14+1,1))</f>
        <v>542.90832990875208</v>
      </c>
      <c r="DU23" s="60">
        <f t="shared" si="44"/>
        <v>304.94365539329362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56.7</v>
      </c>
      <c r="EH23" s="13">
        <f>VLOOKUP(A23,'Données projet'!$A$191:$I$211,9,0)</f>
        <v>9.56</v>
      </c>
      <c r="EI23" s="13">
        <f t="array" ref="EI23">INDEX(EH:EH,MIN(IF(ISNUMBER(EH23:EH219),ROW(EH23:EH219),"")))</f>
        <v>9.56</v>
      </c>
      <c r="EJ23" s="13">
        <f>IF('Données projet'!$A$192&gt;35,EJ22+EI23-ER22,IF(A23&lt;'Données projet'!$A$192,$EG$205^A23,IF(A23='Données projet'!$A$192,'Données projet'!$B$192,EJ22+EI23-ER22)))</f>
        <v>56.70000000000001</v>
      </c>
      <c r="EK23" s="18">
        <f>EJ23*VLOOKUP('Données projet'!$B$15,Paramètres!$A$1:$I$89,3,0)*VLOOKUP('Données projet'!$B$15,Paramètres!$A$1:$I$89,5,0)</f>
        <v>45.110520000000008</v>
      </c>
      <c r="EL23" s="14">
        <f t="shared" si="45"/>
        <v>13.343567546524644</v>
      </c>
      <c r="EM23" s="22">
        <f t="shared" si="19"/>
        <v>101.80753581019711</v>
      </c>
      <c r="EN23" s="60">
        <f t="shared" si="20"/>
        <v>318.32223869709281</v>
      </c>
      <c r="EO23" s="60">
        <f ca="1">AVERAGE(OFFSET($EN$3,0,0,'Données projet'!$E$15+1,1))-AVERAGE(OFFSET($H$3,0,0,'Données projet'!$E$15+1,1))</f>
        <v>273.72403794510291</v>
      </c>
      <c r="EP23" s="60">
        <f t="shared" si="46"/>
        <v>292.00185554564109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21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88</v>
      </c>
      <c r="FC23" s="13">
        <f>VLOOKUP(A23,'Données projet'!$A$217:$I$237,9,0)</f>
        <v>9.6</v>
      </c>
      <c r="FD23" s="13">
        <f t="array" ref="FD23">INDEX(FC:FC,MIN(IF(ISNUMBER(FC23:FC219),ROW(FC23:FC219),"")))</f>
        <v>9.6</v>
      </c>
      <c r="FE23" s="13">
        <f>IF('Données projet'!$A$218&gt;35,FE22+FD23-FM22,IF(A23&lt;'Données projet'!$A$218,$FB$205^A23,IF(A23='Données projet'!$A$218,'Données projet'!$B$218,FE22+FD23-FM22)))</f>
        <v>87.999999999999986</v>
      </c>
      <c r="FF23" s="18">
        <f>FE23*VLOOKUP('Données projet'!$B$16,Paramètres!$A$1:$I$89,3,0)*VLOOKUP('Données projet'!$B$16,Paramètres!$A$1:$I$89,5,0)</f>
        <v>68.639999999999986</v>
      </c>
      <c r="FG23" s="14">
        <f t="shared" si="47"/>
        <v>19.335336956640202</v>
      </c>
      <c r="FH23" s="22">
        <f t="shared" si="22"/>
        <v>153.22371186614834</v>
      </c>
      <c r="FI23" s="60">
        <f t="shared" si="23"/>
        <v>369.73841475304403</v>
      </c>
      <c r="FJ23" s="60">
        <f ca="1">AVERAGE(OFFSET($FI$3,0,0,'Données projet'!$E$16+1,1))-AVERAGE(OFFSET($H$3,0,0,'Données projet'!$E$16+1,1))</f>
        <v>309.21625451786218</v>
      </c>
      <c r="FK23" s="60">
        <f t="shared" si="48"/>
        <v>302.59481222418219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28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130.203</v>
      </c>
      <c r="FX23" s="13">
        <f>VLOOKUP(A23,'Données projet'!$A$243:$I$263,9,0)</f>
        <v>16.524000000000001</v>
      </c>
      <c r="FY23" s="13">
        <f t="array" ref="FY23">INDEX(FX:FX,MIN(IF(ISNUMBER(FX23:FX219),ROW(FX23:FX219),"")))</f>
        <v>16.524000000000001</v>
      </c>
      <c r="FZ23" s="13">
        <f>IF('Données projet'!$A$244&gt;35,FZ22+FY23-GH22,IF(A23&lt;'Données projet'!$A$244,$FW$205^A23,IF(A23='Données projet'!$A$244,'Données projet'!$B$244,FZ22+FY23-GH22)))</f>
        <v>130.203</v>
      </c>
      <c r="GA23" s="18">
        <f>FZ23*VLOOKUP('Données projet'!$B$17,Paramètres!$A$1:$I$89,3,0)*VLOOKUP('Données projet'!$B$17,Paramètres!$A$1:$I$89,5,0)</f>
        <v>77.861394000000004</v>
      </c>
      <c r="GB23" s="14">
        <f t="shared" si="49"/>
        <v>21.613462087022899</v>
      </c>
      <c r="GC23" s="22">
        <f t="shared" si="25"/>
        <v>173.25204101823155</v>
      </c>
      <c r="GD23" s="60">
        <f t="shared" si="26"/>
        <v>389.76674390512727</v>
      </c>
      <c r="GE23" s="60">
        <f ca="1">AVERAGE(OFFSET($GD$3,0,0,'Données projet'!$E$17+1,1))-AVERAGE(OFFSET($H$3,0,0,'Données projet'!$E$17+1,1))</f>
        <v>216.36762889365235</v>
      </c>
      <c r="GF23" s="60">
        <f t="shared" si="50"/>
        <v>333.29599352215496</v>
      </c>
      <c r="GG23" s="16">
        <f>IF(ISNA(VLOOKUP(A23,'Données projet'!$A$243:$I$263,3,0)),0,VLOOKUP(A23,'Données projet'!$A$243:$I$263,3,0))</f>
        <v>2</v>
      </c>
      <c r="GH23" s="16">
        <f>IF(ISNA(VLOOKUP(A23,'Données projet'!$A$243:$I$263,4,0)),0,VLOOKUP(A23,'Données projet'!$A$243:$I$263,4,0))</f>
        <v>34.110500000000002</v>
      </c>
      <c r="GI23" s="17">
        <f>IF(ISNA(VLOOKUP(A23,'Données projet'!$A$243:$I$263,5,0)),0%,VLOOKUP(A23,'Données projet'!$A$243:$I$263,5,0)*VLOOKUP('Données projet'!$B$17,Paramètres!$A$1:$I$89,7,0))</f>
        <v>0.1125</v>
      </c>
      <c r="GJ23" s="17">
        <f>IF(ISNA(VLOOKUP(A23,'Données projet'!$A$243:$I$263,6,0)),0%,VLOOKUP(A23,'Données projet'!$A$243:$I$263,6,0)*VLOOKUP('Données projet'!$B$17,Paramètres!$A$1:$I$89,7,0))</f>
        <v>0.16875000000000001</v>
      </c>
      <c r="GK23" s="17">
        <f>IF(ISNA(VLOOKUP(A23,'Données projet'!$A$243:$I$263,7,0)),0%,VLOOKUP(A23,'Données projet'!$A$243:$I$263,7,0))</f>
        <v>0.375</v>
      </c>
      <c r="GL23" s="23">
        <f>EXP(-LN(2)/35)*GL22+(1-EXP(-LN(2)/35))/(LN(2)/35)*GH23*GI23*VLOOKUP('Données projet'!$B$17,Paramètres!$A$1:$I$89,3,0)*0.475*44/12</f>
        <v>3.0441787380728691</v>
      </c>
      <c r="GM23" s="23">
        <f>EXP(-LN(2)/25)*GM22+(1-EXP(-LN(2)/25))/(LN(2)/25)*Calculateur!GH23*Calculateur!GJ23*VLOOKUP('Données projet'!$B$17,Paramètres!$A$1:$I$89,3,0)*0.475*44/12</f>
        <v>8.1568780830562897</v>
      </c>
      <c r="GN23" s="23">
        <f>EXP(-LN(2)/2)*GN22+(1-EXP(-LN(2)/2))/(LN(2)/2)*GH23*GK23*VLOOKUP('Données projet'!$B$17,Paramètres!$A$1:$I$89,3,0)*0.475*44/12</f>
        <v>10.056089965996938</v>
      </c>
      <c r="GO23" s="23">
        <f t="shared" si="27"/>
        <v>21.257146787126096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4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46.038720000000005</v>
      </c>
      <c r="P24" s="14">
        <f t="shared" si="33"/>
        <v>13.585879560828786</v>
      </c>
      <c r="Q24" s="22">
        <f t="shared" si="2"/>
        <v>103.84617756844348</v>
      </c>
      <c r="R24" s="60">
        <f t="shared" si="0"/>
        <v>322.70370594431785</v>
      </c>
      <c r="S24" s="60">
        <f ca="1">AVERAGE(OFFSET($R$3,0,0,'Données projet'!$E$9+1,1))-AVERAGE(OFFSET($H$3,0,0,'Données projet'!$E$9+1,1))</f>
        <v>496.33873798282525</v>
      </c>
      <c r="T24" s="60">
        <f t="shared" si="34"/>
        <v>280.25465074992246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3.4425641025641025</v>
      </c>
      <c r="AI24" s="14">
        <f>IF('Données projet'!$A$62&gt;35,AI23+AH24-AQ23,IF(A24&lt;'Données projet'!$A$62,$AF$205^A24,IF(A24='Données projet'!$A$62,'Données projet'!$B$62,AI23+AH24-AQ23)))</f>
        <v>25.692259707215236</v>
      </c>
      <c r="AJ24" s="14">
        <f>AI24*VLOOKUP('Données projet'!$B$10,Paramètres!$A$1:$I$89,3,0)*VLOOKUP('Données projet'!$B$10,Paramètres!$A$1:$I$89,5,0)</f>
        <v>12.023977542976729</v>
      </c>
      <c r="AK24" s="14">
        <f t="shared" si="35"/>
        <v>4.1484190116858626</v>
      </c>
      <c r="AL24" s="22">
        <f t="shared" si="4"/>
        <v>28.166923999370677</v>
      </c>
      <c r="AM24" s="60">
        <f t="shared" si="5"/>
        <v>247.02445237524506</v>
      </c>
      <c r="AN24" s="60">
        <f ca="1">AVERAGE(OFFSET($AM$3,0,0,'Données projet'!$E$10+1,1))-AVERAGE(OFFSET($H$3,0,0,'Données projet'!$E$10+1,1))</f>
        <v>277.7918215389401</v>
      </c>
      <c r="AO24" s="60">
        <f t="shared" si="36"/>
        <v>164.65640238394164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5.6410256410256423</v>
      </c>
      <c r="BD24" s="13">
        <f>IF('Données projet'!$A$88&gt;35,BD23+BC24-BL23,IF(A24&lt;'Données projet'!$A$88,$BA$205^A24,IF(A24='Données projet'!$A$88,'Données projet'!$B$88,BD23+BC24-BL23)))</f>
        <v>60.128205128205138</v>
      </c>
      <c r="BE24" s="14">
        <f>BD24*VLOOKUP('Données projet'!$B$11,Paramètres!$A$1:$I$89,3,0)*VLOOKUP('Données projet'!$B$11,Paramètres!$A$1:$I$89,5,0)</f>
        <v>57.218000000000011</v>
      </c>
      <c r="BF24" s="14">
        <f t="shared" si="37"/>
        <v>16.462960458406368</v>
      </c>
      <c r="BG24" s="22">
        <f t="shared" si="7"/>
        <v>128.32767279839109</v>
      </c>
      <c r="BH24" s="60">
        <f t="shared" si="8"/>
        <v>347.18520117426544</v>
      </c>
      <c r="BI24" s="60">
        <f ca="1">AVERAGE(OFFSET($BH$3,0,0,'Données projet'!$E$11+1,1))-AVERAGE(OFFSET($H$3,0,0,'Données projet'!$E$11+1,1))</f>
        <v>366.21371543563254</v>
      </c>
      <c r="BJ24" s="60">
        <f t="shared" si="38"/>
        <v>237.43356317334084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6.5384615384615374</v>
      </c>
      <c r="BY24" s="13">
        <f>IF('Données projet'!$A$114&gt;35,BY23+BX24-CG23,IF(A24&lt;'Données projet'!$A$114,$BV$205^A24,IF(A24='Données projet'!$A$114,'Données projet'!$B$114,BY23+BX24-CG23)))</f>
        <v>65.512820512820497</v>
      </c>
      <c r="BZ24" s="14">
        <f>BY24*VLOOKUP('Données projet'!$B$12,Paramètres!$A$1:$I$89,3,0)*VLOOKUP('Données projet'!$B$12,Paramètres!$A$1:$I$89,5,0)</f>
        <v>68.47399999999999</v>
      </c>
      <c r="CA24" s="14">
        <f t="shared" si="39"/>
        <v>19.294013233443497</v>
      </c>
      <c r="CB24" s="22">
        <f t="shared" si="10"/>
        <v>152.8626230482474</v>
      </c>
      <c r="CC24" s="60">
        <f t="shared" si="11"/>
        <v>371.72015142412181</v>
      </c>
      <c r="CD24" s="60">
        <f ca="1">AVERAGE(OFFSET($CC$3,0,0,'Données projet'!$E$12+1,1))-AVERAGE(OFFSET($H$3,0,0,'Données projet'!$E$12+1,1))</f>
        <v>530.79860063513229</v>
      </c>
      <c r="CE24" s="60">
        <f t="shared" si="40"/>
        <v>302.50876440460434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43.068480000000001</v>
      </c>
      <c r="CV24" s="14">
        <f t="shared" si="41"/>
        <v>12.808416415102187</v>
      </c>
      <c r="CW24" s="22">
        <f t="shared" si="13"/>
        <v>97.318927922969635</v>
      </c>
      <c r="CX24" s="60">
        <f t="shared" si="14"/>
        <v>316.17645629884402</v>
      </c>
      <c r="CY24" s="60">
        <f ca="1">AVERAGE(OFFSET($CX$3,0,0,'Données projet'!$E$13+1,1))-AVERAGE(OFFSET($H$3,0,0,'Données projet'!$E$13+1,1))</f>
        <v>469.67944008675863</v>
      </c>
      <c r="CZ24" s="60">
        <f t="shared" si="42"/>
        <v>266.11908070867173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51.236640000000001</v>
      </c>
      <c r="DQ24" s="14">
        <f t="shared" si="43"/>
        <v>14.932671799321549</v>
      </c>
      <c r="DR24" s="22">
        <f t="shared" si="16"/>
        <v>115.24488471715169</v>
      </c>
      <c r="DS24" s="60">
        <f t="shared" si="17"/>
        <v>334.10241309302609</v>
      </c>
      <c r="DT24" s="60">
        <f ca="1">AVERAGE(OFFSET($DS$3,0,0,'Données projet'!$E$14+1,1))-AVERAGE(OFFSET($H$3,0,0,'Données projet'!$E$14+1,1))</f>
        <v>542.90832990875208</v>
      </c>
      <c r="DU24" s="60">
        <f t="shared" si="44"/>
        <v>304.94365539329362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10.119999999999999</v>
      </c>
      <c r="EJ24" s="13">
        <f>IF('Données projet'!$A$192&gt;35,EJ23+EI24-ER23,IF(A24&lt;'Données projet'!$A$192,$EG$205^A24,IF(A24='Données projet'!$A$192,'Données projet'!$B$192,EJ23+EI24-ER23)))</f>
        <v>45.820000000000007</v>
      </c>
      <c r="EK24" s="18">
        <f>EJ24*VLOOKUP('Données projet'!$B$15,Paramètres!$A$1:$I$89,3,0)*VLOOKUP('Données projet'!$B$15,Paramètres!$A$1:$I$89,5,0)</f>
        <v>36.454392000000013</v>
      </c>
      <c r="EL24" s="14">
        <f t="shared" si="45"/>
        <v>11.053867145107848</v>
      </c>
      <c r="EM24" s="22">
        <f t="shared" si="19"/>
        <v>82.743551344396181</v>
      </c>
      <c r="EN24" s="60">
        <f t="shared" si="20"/>
        <v>301.60107972027055</v>
      </c>
      <c r="EO24" s="60">
        <f ca="1">AVERAGE(OFFSET($EN$3,0,0,'Données projet'!$E$15+1,1))-AVERAGE(OFFSET($H$3,0,0,'Données projet'!$E$15+1,1))</f>
        <v>273.72403794510291</v>
      </c>
      <c r="EP24" s="60">
        <f t="shared" si="46"/>
        <v>292.00185554564109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10.6</v>
      </c>
      <c r="FE24" s="13">
        <f>IF('Données projet'!$A$218&gt;35,FE23+FD24-FM23,IF(A24&lt;'Données projet'!$A$218,$FB$205^A24,IF(A24='Données projet'!$A$218,'Données projet'!$B$218,FE23+FD24-FM23)))</f>
        <v>70.59999999999998</v>
      </c>
      <c r="FF24" s="18">
        <f>FE24*VLOOKUP('Données projet'!$B$16,Paramètres!$A$1:$I$89,3,0)*VLOOKUP('Données projet'!$B$16,Paramètres!$A$1:$I$89,5,0)</f>
        <v>55.067999999999984</v>
      </c>
      <c r="FG24" s="14">
        <f t="shared" si="47"/>
        <v>15.915148294580479</v>
      </c>
      <c r="FH24" s="22">
        <f t="shared" si="22"/>
        <v>123.62898327972762</v>
      </c>
      <c r="FI24" s="60">
        <f t="shared" si="23"/>
        <v>342.48651165560199</v>
      </c>
      <c r="FJ24" s="60">
        <f ca="1">AVERAGE(OFFSET($FI$3,0,0,'Données projet'!$E$16+1,1))-AVERAGE(OFFSET($H$3,0,0,'Données projet'!$E$16+1,1))</f>
        <v>309.21625451786218</v>
      </c>
      <c r="FK24" s="60">
        <f t="shared" si="48"/>
        <v>302.59481222418219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>
        <f>VLOOKUP(A24,'Données projet'!$A$243:$I$263,2,0)</f>
        <v>110.82299999999999</v>
      </c>
      <c r="FX24" s="13">
        <f>VLOOKUP(A24,'Données projet'!$A$243:$I$263,9,0)</f>
        <v>14.730499999999992</v>
      </c>
      <c r="FY24" s="13">
        <f t="array" ref="FY24">INDEX(FX:FX,MIN(IF(ISNUMBER(FX24:FX220),ROW(FX24:FX220),"")))</f>
        <v>14.730499999999992</v>
      </c>
      <c r="FZ24" s="13">
        <f>IF('Données projet'!$A$244&gt;35,FZ23+FY24-GH23,IF(A24&lt;'Données projet'!$A$244,$FW$205^A24,IF(A24='Données projet'!$A$244,'Données projet'!$B$244,FZ23+FY24-GH23)))</f>
        <v>110.82299999999998</v>
      </c>
      <c r="GA24" s="18">
        <f>FZ24*VLOOKUP('Données projet'!$B$17,Paramètres!$A$1:$I$89,3,0)*VLOOKUP('Données projet'!$B$17,Paramètres!$A$1:$I$89,5,0)</f>
        <v>66.272154</v>
      </c>
      <c r="GB24" s="14">
        <f t="shared" si="49"/>
        <v>18.744774180635133</v>
      </c>
      <c r="GC24" s="22">
        <f t="shared" si="25"/>
        <v>148.07114991460617</v>
      </c>
      <c r="GD24" s="60">
        <f t="shared" si="26"/>
        <v>366.92867829048055</v>
      </c>
      <c r="GE24" s="60">
        <f ca="1">AVERAGE(OFFSET($GD$3,0,0,'Données projet'!$E$17+1,1))-AVERAGE(OFFSET($H$3,0,0,'Données projet'!$E$17+1,1))</f>
        <v>216.36762889365235</v>
      </c>
      <c r="GF24" s="60">
        <f t="shared" si="50"/>
        <v>333.29599352215496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2.9844842497849502</v>
      </c>
      <c r="GM24" s="23">
        <f>EXP(-LN(2)/25)*GM23+(1-EXP(-LN(2)/25))/(LN(2)/25)*Calculateur!GH24*Calculateur!GJ24*VLOOKUP('Données projet'!$B$17,Paramètres!$A$1:$I$89,3,0)*0.475*44/12</f>
        <v>7.9338278229235399</v>
      </c>
      <c r="GN24" s="23">
        <f>EXP(-LN(2)/2)*GN23+(1-EXP(-LN(2)/2))/(LN(2)/2)*GH24*GK24*VLOOKUP('Données projet'!$B$17,Paramètres!$A$1:$I$89,3,0)*0.475*44/12</f>
        <v>7.1107294071784333</v>
      </c>
      <c r="GO24" s="23">
        <f t="shared" si="27"/>
        <v>18.029041479886924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4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51.455040000000004</v>
      </c>
      <c r="P25" s="14">
        <f t="shared" si="33"/>
        <v>14.988900446655085</v>
      </c>
      <c r="Q25" s="22">
        <f t="shared" si="2"/>
        <v>115.72319627792427</v>
      </c>
      <c r="R25" s="60">
        <f t="shared" si="0"/>
        <v>336.90411018139264</v>
      </c>
      <c r="S25" s="60">
        <f ca="1">AVERAGE(OFFSET($R$3,0,0,'Données projet'!$E$9+1,1))-AVERAGE(OFFSET($H$3,0,0,'Données projet'!$E$9+1,1))</f>
        <v>496.33873798282525</v>
      </c>
      <c r="T25" s="60">
        <f t="shared" si="34"/>
        <v>280.25465074992246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3.4425641025641025</v>
      </c>
      <c r="AI25" s="14">
        <f>IF('Données projet'!$A$62&gt;35,AI24+AH25-AQ24,IF(A25&lt;'Données projet'!$A$62,$AF$205^A25,IF(A25='Données projet'!$A$62,'Données projet'!$B$62,AI24+AH25-AQ24)))</f>
        <v>29.987188275534368</v>
      </c>
      <c r="AJ25" s="14">
        <f>AI25*VLOOKUP('Données projet'!$B$10,Paramètres!$A$1:$I$89,3,0)*VLOOKUP('Données projet'!$B$10,Paramètres!$A$1:$I$89,5,0)</f>
        <v>14.034004112950084</v>
      </c>
      <c r="AK25" s="14">
        <f t="shared" si="35"/>
        <v>4.7555606647394173</v>
      </c>
      <c r="AL25" s="22">
        <f t="shared" si="4"/>
        <v>32.725158654475884</v>
      </c>
      <c r="AM25" s="60">
        <f t="shared" si="5"/>
        <v>253.90607255794427</v>
      </c>
      <c r="AN25" s="60">
        <f ca="1">AVERAGE(OFFSET($AM$3,0,0,'Données projet'!$E$10+1,1))-AVERAGE(OFFSET($H$3,0,0,'Données projet'!$E$10+1,1))</f>
        <v>277.7918215389401</v>
      </c>
      <c r="AO25" s="60">
        <f t="shared" si="36"/>
        <v>164.65640238394164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5.6410256410256423</v>
      </c>
      <c r="BD25" s="13">
        <f>IF('Données projet'!$A$88&gt;35,BD24+BC25-BL24,IF(A25&lt;'Données projet'!$A$88,$BA$205^A25,IF(A25='Données projet'!$A$88,'Données projet'!$B$88,BD24+BC25-BL24)))</f>
        <v>65.769230769230774</v>
      </c>
      <c r="BE25" s="14">
        <f>BD25*VLOOKUP('Données projet'!$B$11,Paramètres!$A$1:$I$89,3,0)*VLOOKUP('Données projet'!$B$11,Paramètres!$A$1:$I$89,5,0)</f>
        <v>62.585999999999999</v>
      </c>
      <c r="BF25" s="14">
        <f t="shared" si="37"/>
        <v>17.820476608829814</v>
      </c>
      <c r="BG25" s="22">
        <f t="shared" si="7"/>
        <v>140.04128009371192</v>
      </c>
      <c r="BH25" s="60">
        <f t="shared" si="8"/>
        <v>361.22219399718028</v>
      </c>
      <c r="BI25" s="60">
        <f ca="1">AVERAGE(OFFSET($BH$3,0,0,'Données projet'!$E$11+1,1))-AVERAGE(OFFSET($H$3,0,0,'Données projet'!$E$11+1,1))</f>
        <v>366.21371543563254</v>
      </c>
      <c r="BJ25" s="60">
        <f t="shared" si="38"/>
        <v>237.43356317334084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6.5384615384615374</v>
      </c>
      <c r="BY25" s="13">
        <f>IF('Données projet'!$A$114&gt;35,BY24+BX25-CG24,IF(A25&lt;'Données projet'!$A$114,$BV$205^A25,IF(A25='Données projet'!$A$114,'Données projet'!$B$114,BY24+BX25-CG24)))</f>
        <v>72.05128205128203</v>
      </c>
      <c r="BZ25" s="14">
        <f>BY25*VLOOKUP('Données projet'!$B$12,Paramètres!$A$1:$I$89,3,0)*VLOOKUP('Données projet'!$B$12,Paramètres!$A$1:$I$89,5,0)</f>
        <v>75.307999999999979</v>
      </c>
      <c r="CA25" s="14">
        <f t="shared" si="39"/>
        <v>20.985961565400835</v>
      </c>
      <c r="CB25" s="22">
        <f t="shared" si="10"/>
        <v>167.71198305973977</v>
      </c>
      <c r="CC25" s="60">
        <f t="shared" si="11"/>
        <v>388.89289696320816</v>
      </c>
      <c r="CD25" s="60">
        <f ca="1">AVERAGE(OFFSET($CC$3,0,0,'Données projet'!$E$12+1,1))-AVERAGE(OFFSET($H$3,0,0,'Données projet'!$E$12+1,1))</f>
        <v>530.79860063513229</v>
      </c>
      <c r="CE25" s="60">
        <f t="shared" si="40"/>
        <v>302.50876440460434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48.135359999999999</v>
      </c>
      <c r="CV25" s="14">
        <f t="shared" si="41"/>
        <v>14.131148275361113</v>
      </c>
      <c r="CW25" s="22">
        <f t="shared" si="13"/>
        <v>108.4475019129206</v>
      </c>
      <c r="CX25" s="60">
        <f t="shared" si="14"/>
        <v>329.62841581638901</v>
      </c>
      <c r="CY25" s="60">
        <f ca="1">AVERAGE(OFFSET($CX$3,0,0,'Données projet'!$E$13+1,1))-AVERAGE(OFFSET($H$3,0,0,'Données projet'!$E$13+1,1))</f>
        <v>469.67944008675863</v>
      </c>
      <c r="CZ25" s="60">
        <f t="shared" si="42"/>
        <v>266.11908070867173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57.264479999999999</v>
      </c>
      <c r="DQ25" s="14">
        <f t="shared" si="43"/>
        <v>16.474776623807379</v>
      </c>
      <c r="DR25" s="22">
        <f t="shared" si="16"/>
        <v>128.42920528646451</v>
      </c>
      <c r="DS25" s="60">
        <f t="shared" si="17"/>
        <v>349.6101191899329</v>
      </c>
      <c r="DT25" s="60">
        <f ca="1">AVERAGE(OFFSET($DS$3,0,0,'Données projet'!$E$14+1,1))-AVERAGE(OFFSET($H$3,0,0,'Données projet'!$E$14+1,1))</f>
        <v>542.90832990875208</v>
      </c>
      <c r="DU25" s="60">
        <f t="shared" si="44"/>
        <v>304.94365539329362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10.119999999999999</v>
      </c>
      <c r="EJ25" s="13">
        <f>IF('Données projet'!$A$192&gt;35,EJ24+EI25-ER24,IF(A25&lt;'Données projet'!$A$192,$EG$205^A25,IF(A25='Données projet'!$A$192,'Données projet'!$B$192,EJ24+EI25-ER24)))</f>
        <v>55.940000000000005</v>
      </c>
      <c r="EK25" s="18">
        <f>EJ25*VLOOKUP('Données projet'!$B$15,Paramètres!$A$1:$I$89,3,0)*VLOOKUP('Données projet'!$B$15,Paramètres!$A$1:$I$89,5,0)</f>
        <v>44.505864000000003</v>
      </c>
      <c r="EL25" s="14">
        <f t="shared" si="45"/>
        <v>13.185406852056948</v>
      </c>
      <c r="EM25" s="22">
        <f t="shared" si="19"/>
        <v>100.47896340066586</v>
      </c>
      <c r="EN25" s="60">
        <f t="shared" si="20"/>
        <v>321.65987730413428</v>
      </c>
      <c r="EO25" s="60">
        <f ca="1">AVERAGE(OFFSET($EN$3,0,0,'Données projet'!$E$15+1,1))-AVERAGE(OFFSET($H$3,0,0,'Données projet'!$E$15+1,1))</f>
        <v>273.72403794510291</v>
      </c>
      <c r="EP25" s="60">
        <f t="shared" si="46"/>
        <v>292.00185554564109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10.6</v>
      </c>
      <c r="FE25" s="13">
        <f>IF('Données projet'!$A$218&gt;35,FE24+FD25-FM24,IF(A25&lt;'Données projet'!$A$218,$FB$205^A25,IF(A25='Données projet'!$A$218,'Données projet'!$B$218,FE24+FD25-FM24)))</f>
        <v>81.199999999999974</v>
      </c>
      <c r="FF25" s="18">
        <f>FE25*VLOOKUP('Données projet'!$B$16,Paramètres!$A$1:$I$89,3,0)*VLOOKUP('Données projet'!$B$16,Paramètres!$A$1:$I$89,5,0)</f>
        <v>63.335999999999984</v>
      </c>
      <c r="FG25" s="14">
        <f t="shared" si="47"/>
        <v>18.009040022946227</v>
      </c>
      <c r="FH25" s="22">
        <f t="shared" si="22"/>
        <v>141.67594470663133</v>
      </c>
      <c r="FI25" s="60">
        <f t="shared" si="23"/>
        <v>362.85685861009972</v>
      </c>
      <c r="FJ25" s="60">
        <f ca="1">AVERAGE(OFFSET($FI$3,0,0,'Données projet'!$E$16+1,1))-AVERAGE(OFFSET($H$3,0,0,'Données projet'!$E$16+1,1))</f>
        <v>309.21625451786218</v>
      </c>
      <c r="FK25" s="60">
        <f t="shared" si="48"/>
        <v>302.59481222418219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>
        <f>VLOOKUP(A25,'Données projet'!$A$243:$I$263,2,0)</f>
        <v>126.871</v>
      </c>
      <c r="FX25" s="13">
        <f>VLOOKUP(A25,'Données projet'!$A$243:$I$263,9,0)</f>
        <v>16.048000000000002</v>
      </c>
      <c r="FY25" s="13">
        <f t="array" ref="FY25">INDEX(FX:FX,MIN(IF(ISNUMBER(FX25:FX221),ROW(FX25:FX221),"")))</f>
        <v>16.048000000000002</v>
      </c>
      <c r="FZ25" s="13">
        <f>IF('Données projet'!$A$244&gt;35,FZ24+FY25-GH24,IF(A25&lt;'Données projet'!$A$244,$FW$205^A25,IF(A25='Données projet'!$A$244,'Données projet'!$B$244,FZ24+FY25-GH24)))</f>
        <v>126.87099999999998</v>
      </c>
      <c r="GA25" s="18">
        <f>FZ25*VLOOKUP('Données projet'!$B$17,Paramètres!$A$1:$I$89,3,0)*VLOOKUP('Données projet'!$B$17,Paramètres!$A$1:$I$89,5,0)</f>
        <v>75.868858000000003</v>
      </c>
      <c r="GB25" s="14">
        <f t="shared" si="49"/>
        <v>21.124002732140855</v>
      </c>
      <c r="GC25" s="22">
        <f t="shared" si="25"/>
        <v>168.92923244181199</v>
      </c>
      <c r="GD25" s="60">
        <f t="shared" si="26"/>
        <v>390.11014634528038</v>
      </c>
      <c r="GE25" s="60">
        <f ca="1">AVERAGE(OFFSET($GD$3,0,0,'Données projet'!$E$17+1,1))-AVERAGE(OFFSET($H$3,0,0,'Données projet'!$E$17+1,1))</f>
        <v>216.36762889365235</v>
      </c>
      <c r="GF25" s="60">
        <f t="shared" si="50"/>
        <v>333.29599352215496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2.9259603340023146</v>
      </c>
      <c r="GM25" s="23">
        <f>EXP(-LN(2)/25)*GM24+(1-EXP(-LN(2)/25))/(LN(2)/25)*Calculateur!GH25*Calculateur!GJ25*VLOOKUP('Données projet'!$B$17,Paramètres!$A$1:$I$89,3,0)*0.475*44/12</f>
        <v>7.716876883883824</v>
      </c>
      <c r="GN25" s="23">
        <f>EXP(-LN(2)/2)*GN24+(1-EXP(-LN(2)/2))/(LN(2)/2)*GH25*GK25*VLOOKUP('Données projet'!$B$17,Paramètres!$A$1:$I$89,3,0)*0.475*44/12</f>
        <v>5.0280449829984697</v>
      </c>
      <c r="GO25" s="23">
        <f t="shared" si="27"/>
        <v>15.670882200884609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4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56.87136000000001</v>
      </c>
      <c r="P26" s="14">
        <f t="shared" si="33"/>
        <v>16.374802181791551</v>
      </c>
      <c r="Q26" s="22">
        <f t="shared" si="2"/>
        <v>127.57039913328697</v>
      </c>
      <c r="R26" s="60">
        <f t="shared" si="0"/>
        <v>351.05559584283344</v>
      </c>
      <c r="S26" s="60">
        <f ca="1">AVERAGE(OFFSET($R$3,0,0,'Données projet'!$E$9+1,1))-AVERAGE(OFFSET($H$3,0,0,'Données projet'!$E$9+1,1))</f>
        <v>496.33873798282525</v>
      </c>
      <c r="T26" s="60">
        <f t="shared" si="34"/>
        <v>280.25465074992246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3.4425641025641025</v>
      </c>
      <c r="AI26" s="14">
        <f>IF('Données projet'!$A$62&gt;35,AI25+AH26-AQ25,IF(A26&lt;'Données projet'!$A$62,$AF$205^A26,IF(A26='Données projet'!$A$62,'Données projet'!$B$62,AI25+AH26-AQ25)))</f>
        <v>35.000092281482424</v>
      </c>
      <c r="AJ26" s="14">
        <f>AI26*VLOOKUP('Données projet'!$B$10,Paramètres!$A$1:$I$89,3,0)*VLOOKUP('Données projet'!$B$10,Paramètres!$A$1:$I$89,5,0)</f>
        <v>16.380043187733772</v>
      </c>
      <c r="AK26" s="14">
        <f t="shared" si="35"/>
        <v>5.4515605034859353</v>
      </c>
      <c r="AL26" s="22">
        <f t="shared" si="4"/>
        <v>38.023376428874322</v>
      </c>
      <c r="AM26" s="60">
        <f t="shared" si="5"/>
        <v>261.50857313842084</v>
      </c>
      <c r="AN26" s="60">
        <f ca="1">AVERAGE(OFFSET($AM$3,0,0,'Données projet'!$E$10+1,1))-AVERAGE(OFFSET($H$3,0,0,'Données projet'!$E$10+1,1))</f>
        <v>277.7918215389401</v>
      </c>
      <c r="AO26" s="60">
        <f t="shared" si="36"/>
        <v>164.65640238394164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5.6410256410256423</v>
      </c>
      <c r="BD26" s="13">
        <f>IF('Données projet'!$A$88&gt;35,BD25+BC26-BL25,IF(A26&lt;'Données projet'!$A$88,$BA$205^A26,IF(A26='Données projet'!$A$88,'Données projet'!$B$88,BD25+BC26-BL25)))</f>
        <v>71.410256410256409</v>
      </c>
      <c r="BE26" s="14">
        <f>BD26*VLOOKUP('Données projet'!$B$11,Paramètres!$A$1:$I$89,3,0)*VLOOKUP('Données projet'!$B$11,Paramètres!$A$1:$I$89,5,0)</f>
        <v>67.953999999999994</v>
      </c>
      <c r="BF26" s="14">
        <f t="shared" si="37"/>
        <v>19.164489792039436</v>
      </c>
      <c r="BG26" s="22">
        <f t="shared" si="7"/>
        <v>151.73136972113534</v>
      </c>
      <c r="BH26" s="60">
        <f t="shared" si="8"/>
        <v>375.21656643068184</v>
      </c>
      <c r="BI26" s="60">
        <f ca="1">AVERAGE(OFFSET($BH$3,0,0,'Données projet'!$E$11+1,1))-AVERAGE(OFFSET($H$3,0,0,'Données projet'!$E$11+1,1))</f>
        <v>366.21371543563254</v>
      </c>
      <c r="BJ26" s="60">
        <f t="shared" si="38"/>
        <v>237.43356317334084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6.5384615384615374</v>
      </c>
      <c r="BY26" s="13">
        <f>IF('Données projet'!$A$114&gt;35,BY25+BX26-CG25,IF(A26&lt;'Données projet'!$A$114,$BV$205^A26,IF(A26='Données projet'!$A$114,'Données projet'!$B$114,BY25+BX26-CG25)))</f>
        <v>78.589743589743563</v>
      </c>
      <c r="BZ26" s="14">
        <f>BY26*VLOOKUP('Données projet'!$B$12,Paramètres!$A$1:$I$89,3,0)*VLOOKUP('Données projet'!$B$12,Paramètres!$A$1:$I$89,5,0)</f>
        <v>82.141999999999982</v>
      </c>
      <c r="CA26" s="14">
        <f t="shared" si="39"/>
        <v>22.660106151503225</v>
      </c>
      <c r="CB26" s="22">
        <f t="shared" si="10"/>
        <v>182.53033488053475</v>
      </c>
      <c r="CC26" s="60">
        <f t="shared" si="11"/>
        <v>406.01553159008125</v>
      </c>
      <c r="CD26" s="60">
        <f ca="1">AVERAGE(OFFSET($CC$3,0,0,'Données projet'!$E$12+1,1))-AVERAGE(OFFSET($H$3,0,0,'Données projet'!$E$12+1,1))</f>
        <v>530.79860063513229</v>
      </c>
      <c r="CE26" s="60">
        <f t="shared" si="40"/>
        <v>302.50876440460434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53.202240000000003</v>
      </c>
      <c r="CV26" s="14">
        <f t="shared" si="41"/>
        <v>15.437740642425908</v>
      </c>
      <c r="CW26" s="22">
        <f t="shared" si="13"/>
        <v>119.54796628555846</v>
      </c>
      <c r="CX26" s="60">
        <f t="shared" si="14"/>
        <v>343.03316299510493</v>
      </c>
      <c r="CY26" s="60">
        <f ca="1">AVERAGE(OFFSET($CX$3,0,0,'Données projet'!$E$13+1,1))-AVERAGE(OFFSET($H$3,0,0,'Données projet'!$E$13+1,1))</f>
        <v>469.67944008675863</v>
      </c>
      <c r="CZ26" s="60">
        <f t="shared" si="42"/>
        <v>266.11908070867173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63.292320000000004</v>
      </c>
      <c r="DQ26" s="14">
        <f t="shared" si="43"/>
        <v>17.998065245956816</v>
      </c>
      <c r="DR26" s="22">
        <f t="shared" si="16"/>
        <v>141.58075430337479</v>
      </c>
      <c r="DS26" s="60">
        <f t="shared" si="17"/>
        <v>365.06595101292129</v>
      </c>
      <c r="DT26" s="60">
        <f ca="1">AVERAGE(OFFSET($DS$3,0,0,'Données projet'!$E$14+1,1))-AVERAGE(OFFSET($H$3,0,0,'Données projet'!$E$14+1,1))</f>
        <v>542.90832990875208</v>
      </c>
      <c r="DU26" s="60">
        <f t="shared" si="44"/>
        <v>304.94365539329362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10.119999999999999</v>
      </c>
      <c r="EJ26" s="13">
        <f>IF('Données projet'!$A$192&gt;35,EJ25+EI26-ER25,IF(A26&lt;'Données projet'!$A$192,$EG$205^A26,IF(A26='Données projet'!$A$192,'Données projet'!$B$192,EJ25+EI26-ER25)))</f>
        <v>66.06</v>
      </c>
      <c r="EK26" s="18">
        <f>EJ26*VLOOKUP('Données projet'!$B$15,Paramètres!$A$1:$I$89,3,0)*VLOOKUP('Données projet'!$B$15,Paramètres!$A$1:$I$89,5,0)</f>
        <v>52.557336000000006</v>
      </c>
      <c r="EL26" s="14">
        <f t="shared" si="45"/>
        <v>15.272273307993425</v>
      </c>
      <c r="EM26" s="22">
        <f t="shared" si="19"/>
        <v>118.13656954475522</v>
      </c>
      <c r="EN26" s="60">
        <f t="shared" si="20"/>
        <v>341.62176625430175</v>
      </c>
      <c r="EO26" s="60">
        <f ca="1">AVERAGE(OFFSET($EN$3,0,0,'Données projet'!$E$15+1,1))-AVERAGE(OFFSET($H$3,0,0,'Données projet'!$E$15+1,1))</f>
        <v>273.72403794510291</v>
      </c>
      <c r="EP26" s="60">
        <f t="shared" si="46"/>
        <v>292.00185554564109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10.6</v>
      </c>
      <c r="FE26" s="13">
        <f>IF('Données projet'!$A$218&gt;35,FE25+FD26-FM25,IF(A26&lt;'Données projet'!$A$218,$FB$205^A26,IF(A26='Données projet'!$A$218,'Données projet'!$B$218,FE25+FD26-FM25)))</f>
        <v>91.799999999999969</v>
      </c>
      <c r="FF26" s="18">
        <f>FE26*VLOOKUP('Données projet'!$B$16,Paramètres!$A$1:$I$89,3,0)*VLOOKUP('Données projet'!$B$16,Paramètres!$A$1:$I$89,5,0)</f>
        <v>71.603999999999985</v>
      </c>
      <c r="FG26" s="14">
        <f t="shared" si="47"/>
        <v>20.071260561992585</v>
      </c>
      <c r="FH26" s="22">
        <f t="shared" si="22"/>
        <v>159.66774547880371</v>
      </c>
      <c r="FI26" s="60">
        <f t="shared" si="23"/>
        <v>383.15294218835021</v>
      </c>
      <c r="FJ26" s="60">
        <f ca="1">AVERAGE(OFFSET($FI$3,0,0,'Données projet'!$E$16+1,1))-AVERAGE(OFFSET($H$3,0,0,'Données projet'!$E$16+1,1))</f>
        <v>309.21625451786218</v>
      </c>
      <c r="FK26" s="60">
        <f t="shared" si="48"/>
        <v>302.59481222418219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>
        <f>VLOOKUP(A26,'Données projet'!$A$243:$I$263,2,0)</f>
        <v>143.72650000000002</v>
      </c>
      <c r="FX26" s="13">
        <f>VLOOKUP(A26,'Données projet'!$A$243:$I$263,9,0)</f>
        <v>16.855500000000021</v>
      </c>
      <c r="FY26" s="13">
        <f t="array" ref="FY26">INDEX(FX:FX,MIN(IF(ISNUMBER(FX26:FX222),ROW(FX26:FX222),"")))</f>
        <v>16.855500000000021</v>
      </c>
      <c r="FZ26" s="13">
        <f>IF('Données projet'!$A$244&gt;35,FZ25+FY26-GH25,IF(A26&lt;'Données projet'!$A$244,$FW$205^A26,IF(A26='Données projet'!$A$244,'Données projet'!$B$244,FZ25+FY26-GH25)))</f>
        <v>143.72649999999999</v>
      </c>
      <c r="GA26" s="18">
        <f>FZ26*VLOOKUP('Données projet'!$B$17,Paramètres!$A$1:$I$89,3,0)*VLOOKUP('Données projet'!$B$17,Paramètres!$A$1:$I$89,5,0)</f>
        <v>85.948447000000002</v>
      </c>
      <c r="GB26" s="14">
        <f t="shared" si="49"/>
        <v>23.585483929286731</v>
      </c>
      <c r="GC26" s="22">
        <f t="shared" si="25"/>
        <v>190.77159636850772</v>
      </c>
      <c r="GD26" s="60">
        <f t="shared" si="26"/>
        <v>414.25679307805422</v>
      </c>
      <c r="GE26" s="60">
        <f ca="1">AVERAGE(OFFSET($GD$3,0,0,'Données projet'!$E$17+1,1))-AVERAGE(OFFSET($H$3,0,0,'Données projet'!$E$17+1,1))</f>
        <v>216.36762889365235</v>
      </c>
      <c r="GF26" s="60">
        <f t="shared" si="50"/>
        <v>333.29599352215496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2.8685840365121122</v>
      </c>
      <c r="GM26" s="23">
        <f>EXP(-LN(2)/25)*GM25+(1-EXP(-LN(2)/25))/(LN(2)/25)*Calculateur!GH26*Calculateur!GJ26*VLOOKUP('Données projet'!$B$17,Paramètres!$A$1:$I$89,3,0)*0.475*44/12</f>
        <v>7.5058584796811028</v>
      </c>
      <c r="GN26" s="23">
        <f>EXP(-LN(2)/2)*GN25+(1-EXP(-LN(2)/2))/(LN(2)/2)*GH26*GK26*VLOOKUP('Données projet'!$B$17,Paramètres!$A$1:$I$89,3,0)*0.475*44/12</f>
        <v>3.5553647035892171</v>
      </c>
      <c r="GO26" s="23">
        <f t="shared" si="27"/>
        <v>13.929807219782433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4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62.287680000000009</v>
      </c>
      <c r="P27" s="14">
        <f t="shared" si="33"/>
        <v>17.745400652396182</v>
      </c>
      <c r="Q27" s="22">
        <f t="shared" si="2"/>
        <v>139.39094880292336</v>
      </c>
      <c r="R27" s="60">
        <f t="shared" si="0"/>
        <v>365.16165698654316</v>
      </c>
      <c r="S27" s="60">
        <f ca="1">AVERAGE(OFFSET($R$3,0,0,'Données projet'!$E$9+1,1))-AVERAGE(OFFSET($H$3,0,0,'Données projet'!$E$9+1,1))</f>
        <v>496.33873798282525</v>
      </c>
      <c r="T27" s="60">
        <f t="shared" si="34"/>
        <v>280.25465074992246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3.4425641025641025</v>
      </c>
      <c r="AI27" s="14">
        <f>IF('Données projet'!$A$62&gt;35,AI26+AH27-AQ26,IF(A27&lt;'Données projet'!$A$62,$AF$205^A27,IF(A27='Données projet'!$A$62,'Données projet'!$B$62,AI26+AH27-AQ26)))</f>
        <v>40.850994379880916</v>
      </c>
      <c r="AJ27" s="14">
        <f>AI27*VLOOKUP('Données projet'!$B$10,Paramètres!$A$1:$I$89,3,0)*VLOOKUP('Données projet'!$B$10,Paramètres!$A$1:$I$89,5,0)</f>
        <v>19.118265369784268</v>
      </c>
      <c r="AK27" s="14">
        <f t="shared" si="35"/>
        <v>6.2494233631643379</v>
      </c>
      <c r="AL27" s="22">
        <f t="shared" si="4"/>
        <v>44.182057876552157</v>
      </c>
      <c r="AM27" s="60">
        <f t="shared" si="5"/>
        <v>269.95276606017194</v>
      </c>
      <c r="AN27" s="60">
        <f ca="1">AVERAGE(OFFSET($AM$3,0,0,'Données projet'!$E$10+1,1))-AVERAGE(OFFSET($H$3,0,0,'Données projet'!$E$10+1,1))</f>
        <v>277.7918215389401</v>
      </c>
      <c r="AO27" s="60">
        <f t="shared" si="36"/>
        <v>164.65640238394164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5.6410256410256423</v>
      </c>
      <c r="BD27" s="13">
        <f>IF('Données projet'!$A$88&gt;35,BD26+BC27-BL26,IF(A27&lt;'Données projet'!$A$88,$BA$205^A27,IF(A27='Données projet'!$A$88,'Données projet'!$B$88,BD26+BC27-BL26)))</f>
        <v>77.051282051282044</v>
      </c>
      <c r="BE27" s="14">
        <f>BD27*VLOOKUP('Données projet'!$B$11,Paramètres!$A$1:$I$89,3,0)*VLOOKUP('Données projet'!$B$11,Paramètres!$A$1:$I$89,5,0)</f>
        <v>73.321999999999989</v>
      </c>
      <c r="BF27" s="14">
        <f t="shared" si="37"/>
        <v>20.496187941364905</v>
      </c>
      <c r="BG27" s="22">
        <f t="shared" si="7"/>
        <v>163.40001066454386</v>
      </c>
      <c r="BH27" s="60">
        <f t="shared" si="8"/>
        <v>389.17071884816369</v>
      </c>
      <c r="BI27" s="60">
        <f ca="1">AVERAGE(OFFSET($BH$3,0,0,'Données projet'!$E$11+1,1))-AVERAGE(OFFSET($H$3,0,0,'Données projet'!$E$11+1,1))</f>
        <v>366.21371543563254</v>
      </c>
      <c r="BJ27" s="60">
        <f t="shared" si="38"/>
        <v>237.43356317334084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6.5384615384615374</v>
      </c>
      <c r="BY27" s="13">
        <f>IF('Données projet'!$A$114&gt;35,BY26+BX27-CG26,IF(A27&lt;'Données projet'!$A$114,$BV$205^A27,IF(A27='Données projet'!$A$114,'Données projet'!$B$114,BY26+BX27-CG26)))</f>
        <v>85.128205128205096</v>
      </c>
      <c r="BZ27" s="14">
        <f>BY27*VLOOKUP('Données projet'!$B$12,Paramètres!$A$1:$I$89,3,0)*VLOOKUP('Données projet'!$B$12,Paramètres!$A$1:$I$89,5,0)</f>
        <v>88.975999999999971</v>
      </c>
      <c r="CA27" s="14">
        <f t="shared" si="39"/>
        <v>24.318096618795476</v>
      </c>
      <c r="CB27" s="22">
        <f t="shared" si="10"/>
        <v>197.32055161106871</v>
      </c>
      <c r="CC27" s="60">
        <f t="shared" si="11"/>
        <v>423.09125979468854</v>
      </c>
      <c r="CD27" s="60">
        <f ca="1">AVERAGE(OFFSET($CC$3,0,0,'Données projet'!$E$12+1,1))-AVERAGE(OFFSET($H$3,0,0,'Données projet'!$E$12+1,1))</f>
        <v>530.79860063513229</v>
      </c>
      <c r="CE27" s="60">
        <f t="shared" si="40"/>
        <v>302.50876440460434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58.269120000000008</v>
      </c>
      <c r="CV27" s="14">
        <f t="shared" si="41"/>
        <v>16.729905486873804</v>
      </c>
      <c r="CW27" s="22">
        <f t="shared" si="13"/>
        <v>130.62330272297189</v>
      </c>
      <c r="CX27" s="60">
        <f t="shared" si="14"/>
        <v>356.39401090659169</v>
      </c>
      <c r="CY27" s="60">
        <f ca="1">AVERAGE(OFFSET($CX$3,0,0,'Données projet'!$E$13+1,1))-AVERAGE(OFFSET($H$3,0,0,'Données projet'!$E$13+1,1))</f>
        <v>469.67944008675863</v>
      </c>
      <c r="CZ27" s="60">
        <f t="shared" si="42"/>
        <v>266.11908070867173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69.320160000000001</v>
      </c>
      <c r="DQ27" s="14">
        <f t="shared" si="43"/>
        <v>19.50453356393022</v>
      </c>
      <c r="DR27" s="22">
        <f t="shared" si="16"/>
        <v>154.70300795717847</v>
      </c>
      <c r="DS27" s="60">
        <f t="shared" si="17"/>
        <v>380.47371614079827</v>
      </c>
      <c r="DT27" s="60">
        <f ca="1">AVERAGE(OFFSET($DS$3,0,0,'Données projet'!$E$14+1,1))-AVERAGE(OFFSET($H$3,0,0,'Données projet'!$E$14+1,1))</f>
        <v>542.90832990875208</v>
      </c>
      <c r="DU27" s="60">
        <f t="shared" si="44"/>
        <v>304.94365539329362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10.119999999999999</v>
      </c>
      <c r="EJ27" s="13">
        <f>IF('Données projet'!$A$192&gt;35,EJ26+EI27-ER26,IF(A27&lt;'Données projet'!$A$192,$EG$205^A27,IF(A27='Données projet'!$A$192,'Données projet'!$B$192,EJ26+EI27-ER26)))</f>
        <v>76.180000000000007</v>
      </c>
      <c r="EK27" s="18">
        <f>EJ27*VLOOKUP('Données projet'!$B$15,Paramètres!$A$1:$I$89,3,0)*VLOOKUP('Données projet'!$B$15,Paramètres!$A$1:$I$89,5,0)</f>
        <v>60.60880800000001</v>
      </c>
      <c r="EL27" s="14">
        <f t="shared" si="45"/>
        <v>17.322104217746848</v>
      </c>
      <c r="EM27" s="22">
        <f t="shared" si="19"/>
        <v>135.72967211257577</v>
      </c>
      <c r="EN27" s="60">
        <f t="shared" si="20"/>
        <v>361.50038029619554</v>
      </c>
      <c r="EO27" s="60">
        <f ca="1">AVERAGE(OFFSET($EN$3,0,0,'Données projet'!$E$15+1,1))-AVERAGE(OFFSET($H$3,0,0,'Données projet'!$E$15+1,1))</f>
        <v>273.72403794510291</v>
      </c>
      <c r="EP27" s="60">
        <f t="shared" si="46"/>
        <v>292.00185554564109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10.6</v>
      </c>
      <c r="FE27" s="13">
        <f>IF('Données projet'!$A$218&gt;35,FE26+FD27-FM26,IF(A27&lt;'Données projet'!$A$218,$FB$205^A27,IF(A27='Données projet'!$A$218,'Données projet'!$B$218,FE26+FD27-FM26)))</f>
        <v>102.39999999999996</v>
      </c>
      <c r="FF27" s="18">
        <f>FE27*VLOOKUP('Données projet'!$B$16,Paramètres!$A$1:$I$89,3,0)*VLOOKUP('Données projet'!$B$16,Paramètres!$A$1:$I$89,5,0)</f>
        <v>79.871999999999971</v>
      </c>
      <c r="FG27" s="14">
        <f t="shared" si="47"/>
        <v>22.105884547145401</v>
      </c>
      <c r="FH27" s="22">
        <f t="shared" si="22"/>
        <v>177.61148225294485</v>
      </c>
      <c r="FI27" s="60">
        <f t="shared" si="23"/>
        <v>403.38219043656466</v>
      </c>
      <c r="FJ27" s="60">
        <f ca="1">AVERAGE(OFFSET($FI$3,0,0,'Données projet'!$E$16+1,1))-AVERAGE(OFFSET($H$3,0,0,'Données projet'!$E$16+1,1))</f>
        <v>309.21625451786218</v>
      </c>
      <c r="FK27" s="60">
        <f t="shared" si="48"/>
        <v>302.59481222418219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>
        <f>VLOOKUP(A27,'Données projet'!$A$243:$I$263,2,0)</f>
        <v>161.67850000000001</v>
      </c>
      <c r="FX27" s="13">
        <f>VLOOKUP(A27,'Données projet'!$A$243:$I$263,9,0)</f>
        <v>17.951999999999998</v>
      </c>
      <c r="FY27" s="13">
        <f t="array" ref="FY27">INDEX(FX:FX,MIN(IF(ISNUMBER(FX27:FX223),ROW(FX27:FX223),"")))</f>
        <v>17.951999999999998</v>
      </c>
      <c r="FZ27" s="13">
        <f>IF('Données projet'!$A$244&gt;35,FZ26+FY27-GH26,IF(A27&lt;'Données projet'!$A$244,$FW$205^A27,IF(A27='Données projet'!$A$244,'Données projet'!$B$244,FZ26+FY27-GH26)))</f>
        <v>161.67849999999999</v>
      </c>
      <c r="GA27" s="18">
        <f>FZ27*VLOOKUP('Données projet'!$B$17,Paramètres!$A$1:$I$89,3,0)*VLOOKUP('Données projet'!$B$17,Paramètres!$A$1:$I$89,5,0)</f>
        <v>96.683742999999993</v>
      </c>
      <c r="GB27" s="14">
        <f t="shared" si="49"/>
        <v>26.170401043006244</v>
      </c>
      <c r="GC27" s="22">
        <f t="shared" si="25"/>
        <v>213.97096754156919</v>
      </c>
      <c r="GD27" s="60">
        <f t="shared" si="26"/>
        <v>439.741675725189</v>
      </c>
      <c r="GE27" s="60">
        <f ca="1">AVERAGE(OFFSET($GD$3,0,0,'Données projet'!$E$17+1,1))-AVERAGE(OFFSET($H$3,0,0,'Données projet'!$E$17+1,1))</f>
        <v>216.36762889365235</v>
      </c>
      <c r="GF27" s="60">
        <f t="shared" si="50"/>
        <v>333.29599352215496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2.812332853219607</v>
      </c>
      <c r="GM27" s="23">
        <f>EXP(-LN(2)/25)*GM26+(1-EXP(-LN(2)/25))/(LN(2)/25)*Calculateur!GH27*Calculateur!GJ27*VLOOKUP('Données projet'!$B$17,Paramètres!$A$1:$I$89,3,0)*0.475*44/12</f>
        <v>7.3006103848382802</v>
      </c>
      <c r="GN27" s="23">
        <f>EXP(-LN(2)/2)*GN26+(1-EXP(-LN(2)/2))/(LN(2)/2)*GH27*GK27*VLOOKUP('Données projet'!$B$17,Paramètres!$A$1:$I$89,3,0)*0.475*44/12</f>
        <v>2.5140224914992353</v>
      </c>
      <c r="GO27" s="23">
        <f t="shared" si="27"/>
        <v>12.626965729557122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4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67.703999999999994</v>
      </c>
      <c r="P28" s="14">
        <f t="shared" si="33"/>
        <v>19.102177882771514</v>
      </c>
      <c r="Q28" s="22">
        <f t="shared" si="2"/>
        <v>151.18742647916039</v>
      </c>
      <c r="R28" s="60">
        <f t="shared" si="0"/>
        <v>379.22520044549253</v>
      </c>
      <c r="S28" s="60">
        <f ca="1">AVERAGE(OFFSET($R$3,0,0,'Données projet'!$E$9+1,1))-AVERAGE(OFFSET($H$3,0,0,'Données projet'!$E$9+1,1))</f>
        <v>496.33873798282525</v>
      </c>
      <c r="T28" s="60">
        <f t="shared" si="34"/>
        <v>280.25465074992246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3.4425641025641025</v>
      </c>
      <c r="AI28" s="14">
        <f>IF('Données projet'!$A$62&gt;35,AI27+AH28-AQ27,IF(A28&lt;'Données projet'!$A$62,$AF$205^A28,IF(A28='Données projet'!$A$62,'Données projet'!$B$62,AI27+AH28-AQ27)))</f>
        <v>47.679981195591871</v>
      </c>
      <c r="AJ28" s="14">
        <f>AI28*VLOOKUP('Données projet'!$B$10,Paramètres!$A$1:$I$89,3,0)*VLOOKUP('Données projet'!$B$10,Paramètres!$A$1:$I$89,5,0)</f>
        <v>22.314231199536998</v>
      </c>
      <c r="AK28" s="14">
        <f t="shared" si="35"/>
        <v>7.1640574010122027</v>
      </c>
      <c r="AL28" s="22">
        <f t="shared" si="4"/>
        <v>51.341352645956526</v>
      </c>
      <c r="AM28" s="60">
        <f t="shared" si="5"/>
        <v>279.37912661228864</v>
      </c>
      <c r="AN28" s="60">
        <f ca="1">AVERAGE(OFFSET($AM$3,0,0,'Données projet'!$E$10+1,1))-AVERAGE(OFFSET($H$3,0,0,'Données projet'!$E$10+1,1))</f>
        <v>277.7918215389401</v>
      </c>
      <c r="AO28" s="60">
        <f t="shared" si="36"/>
        <v>164.65640238394164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82.692307692307693</v>
      </c>
      <c r="BB28" s="13">
        <f>VLOOKUP(A28,'Données projet'!$A$87:$I$107,9,0)</f>
        <v>5.6410256410256423</v>
      </c>
      <c r="BC28" s="13">
        <f t="array" ref="BC28">INDEX(BB:BB,MIN(IF(ISNUMBER(BB28:BB224),ROW(BB28:BB224),"")))</f>
        <v>5.6410256410256423</v>
      </c>
      <c r="BD28" s="13">
        <f>IF('Données projet'!$A$88&gt;35,BD27+BC28-BL27,IF(A28&lt;'Données projet'!$A$88,$BA$205^A28,IF(A28='Données projet'!$A$88,'Données projet'!$B$88,BD27+BC28-BL27)))</f>
        <v>82.692307692307679</v>
      </c>
      <c r="BE28" s="14">
        <f>BD28*VLOOKUP('Données projet'!$B$11,Paramètres!$A$1:$I$89,3,0)*VLOOKUP('Données projet'!$B$11,Paramètres!$A$1:$I$89,5,0)</f>
        <v>78.69</v>
      </c>
      <c r="BF28" s="14">
        <f t="shared" si="37"/>
        <v>21.816575186316484</v>
      </c>
      <c r="BG28" s="22">
        <f t="shared" si="7"/>
        <v>175.04895178283451</v>
      </c>
      <c r="BH28" s="60">
        <f t="shared" si="8"/>
        <v>403.08672574916659</v>
      </c>
      <c r="BI28" s="60">
        <f ca="1">AVERAGE(OFFSET($BH$3,0,0,'Données projet'!$E$11+1,1))-AVERAGE(OFFSET($H$3,0,0,'Données projet'!$E$11+1,1))</f>
        <v>366.21371543563254</v>
      </c>
      <c r="BJ28" s="60">
        <f t="shared" si="38"/>
        <v>237.43356317334084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26.923076923076923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91.666666666666657</v>
      </c>
      <c r="BW28" s="13">
        <f>VLOOKUP(A28,'Données projet'!$A$113:$I$133,9,0)</f>
        <v>6.5384615384615374</v>
      </c>
      <c r="BX28" s="13">
        <f t="array" ref="BX28">INDEX(BW:BW,MIN(IF(ISNUMBER(BW28:BW224),ROW(BW28:BW224),"")))</f>
        <v>6.5384615384615374</v>
      </c>
      <c r="BY28" s="13">
        <f>IF('Données projet'!$A$114&gt;35,BY27+BX28-CG27,IF(A28&lt;'Données projet'!$A$114,$BV$205^A28,IF(A28='Données projet'!$A$114,'Données projet'!$B$114,BY27+BX28-CG27)))</f>
        <v>91.666666666666629</v>
      </c>
      <c r="BZ28" s="14">
        <f>BY28*VLOOKUP('Données projet'!$B$12,Paramètres!$A$1:$I$89,3,0)*VLOOKUP('Données projet'!$B$12,Paramètres!$A$1:$I$89,5,0)</f>
        <v>95.80999999999996</v>
      </c>
      <c r="CA28" s="14">
        <f t="shared" si="39"/>
        <v>25.961314793499493</v>
      </c>
      <c r="CB28" s="22">
        <f t="shared" si="10"/>
        <v>212.08503993201154</v>
      </c>
      <c r="CC28" s="60">
        <f t="shared" si="11"/>
        <v>440.12281389834368</v>
      </c>
      <c r="CD28" s="60">
        <f ca="1">AVERAGE(OFFSET($CC$3,0,0,'Données projet'!$E$12+1,1))-AVERAGE(OFFSET($H$3,0,0,'Données projet'!$E$12+1,1))</f>
        <v>530.79860063513229</v>
      </c>
      <c r="CE28" s="60">
        <f t="shared" si="40"/>
        <v>302.50876440460434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18.589743589743588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63.335999999999991</v>
      </c>
      <c r="CV28" s="14">
        <f t="shared" si="41"/>
        <v>18.009040022946227</v>
      </c>
      <c r="CW28" s="22">
        <f t="shared" si="13"/>
        <v>141.67594470663133</v>
      </c>
      <c r="CX28" s="60">
        <f t="shared" si="14"/>
        <v>369.71371867296341</v>
      </c>
      <c r="CY28" s="60">
        <f ca="1">AVERAGE(OFFSET($CX$3,0,0,'Données projet'!$E$13+1,1))-AVERAGE(OFFSET($H$3,0,0,'Données projet'!$E$13+1,1))</f>
        <v>469.67944008675863</v>
      </c>
      <c r="CZ28" s="60">
        <f t="shared" si="42"/>
        <v>266.11908070867173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75.347999999999999</v>
      </c>
      <c r="DQ28" s="14">
        <f t="shared" si="43"/>
        <v>20.99581051771704</v>
      </c>
      <c r="DR28" s="22">
        <f t="shared" si="16"/>
        <v>167.79880331835713</v>
      </c>
      <c r="DS28" s="60">
        <f t="shared" si="17"/>
        <v>395.83657728468927</v>
      </c>
      <c r="DT28" s="60">
        <f ca="1">AVERAGE(OFFSET($DS$3,0,0,'Données projet'!$E$14+1,1))-AVERAGE(OFFSET($H$3,0,0,'Données projet'!$E$14+1,1))</f>
        <v>542.90832990875208</v>
      </c>
      <c r="DU28" s="60">
        <f t="shared" si="44"/>
        <v>304.94365539329362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86.3</v>
      </c>
      <c r="EH28" s="13">
        <f>VLOOKUP(A28,'Données projet'!$A$191:$I$211,9,0)</f>
        <v>10.119999999999999</v>
      </c>
      <c r="EI28" s="13">
        <f t="array" ref="EI28">INDEX(EH:EH,MIN(IF(ISNUMBER(EH28:EH224),ROW(EH28:EH224),"")))</f>
        <v>10.119999999999999</v>
      </c>
      <c r="EJ28" s="13">
        <f>IF('Données projet'!$A$192&gt;35,EJ27+EI28-ER27,IF(A28&lt;'Données projet'!$A$192,$EG$205^A28,IF(A28='Données projet'!$A$192,'Données projet'!$B$192,EJ27+EI28-ER27)))</f>
        <v>86.300000000000011</v>
      </c>
      <c r="EK28" s="18">
        <f>EJ28*VLOOKUP('Données projet'!$B$15,Paramètres!$A$1:$I$89,3,0)*VLOOKUP('Données projet'!$B$15,Paramètres!$A$1:$I$89,5,0)</f>
        <v>68.660280000000014</v>
      </c>
      <c r="EL28" s="14">
        <f t="shared" si="45"/>
        <v>19.34038462322755</v>
      </c>
      <c r="EM28" s="22">
        <f t="shared" si="19"/>
        <v>153.26782421878798</v>
      </c>
      <c r="EN28" s="60">
        <f t="shared" si="20"/>
        <v>381.30559818512006</v>
      </c>
      <c r="EO28" s="60">
        <f ca="1">AVERAGE(OFFSET($EN$3,0,0,'Données projet'!$E$15+1,1))-AVERAGE(OFFSET($H$3,0,0,'Données projet'!$E$15+1,1))</f>
        <v>273.72403794510291</v>
      </c>
      <c r="EP28" s="60">
        <f t="shared" si="46"/>
        <v>292.00185554564109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113</v>
      </c>
      <c r="FC28" s="13">
        <f>VLOOKUP(A28,'Données projet'!$A$217:$I$237,9,0)</f>
        <v>10.6</v>
      </c>
      <c r="FD28" s="13">
        <f t="array" ref="FD28">INDEX(FC:FC,MIN(IF(ISNUMBER(FC28:FC224),ROW(FC28:FC224),"")))</f>
        <v>10.6</v>
      </c>
      <c r="FE28" s="13">
        <f>IF('Données projet'!$A$218&gt;35,FE27+FD28-FM27,IF(A28&lt;'Données projet'!$A$218,$FB$205^A28,IF(A28='Données projet'!$A$218,'Données projet'!$B$218,FE27+FD28-FM27)))</f>
        <v>112.99999999999996</v>
      </c>
      <c r="FF28" s="18">
        <f>FE28*VLOOKUP('Données projet'!$B$16,Paramètres!$A$1:$I$89,3,0)*VLOOKUP('Données projet'!$B$16,Paramètres!$A$1:$I$89,5,0)</f>
        <v>88.139999999999972</v>
      </c>
      <c r="FG28" s="14">
        <f t="shared" si="47"/>
        <v>24.116094026318823</v>
      </c>
      <c r="FH28" s="22">
        <f t="shared" si="22"/>
        <v>195.51269709583855</v>
      </c>
      <c r="FI28" s="60">
        <f t="shared" si="23"/>
        <v>423.55047106217069</v>
      </c>
      <c r="FJ28" s="60">
        <f ca="1">AVERAGE(OFFSET($FI$3,0,0,'Données projet'!$E$16+1,1))-AVERAGE(OFFSET($H$3,0,0,'Données projet'!$E$16+1,1))</f>
        <v>309.21625451786218</v>
      </c>
      <c r="FK28" s="60">
        <f t="shared" si="48"/>
        <v>302.59481222418219</v>
      </c>
      <c r="FL28" s="16">
        <f>IF(ISNA(VLOOKUP(A28,'Données projet'!$A$217:$I$237,3,0)),0,VLOOKUP(A28,'Données projet'!$A$217:$I$237,3,0))</f>
        <v>2</v>
      </c>
      <c r="FM28" s="16">
        <f>IF(ISNA(VLOOKUP(A28,'Données projet'!$A$217:$I$237,4,0)),0,VLOOKUP(A28,'Données projet'!$A$217:$I$237,4,0))</f>
        <v>27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180.251</v>
      </c>
      <c r="FX28" s="13">
        <f>VLOOKUP(A28,'Données projet'!$A$243:$I$263,9,0)</f>
        <v>18.572499999999991</v>
      </c>
      <c r="FY28" s="13">
        <f t="array" ref="FY28">INDEX(FX:FX,MIN(IF(ISNUMBER(FX28:FX224),ROW(FX28:FX224),"")))</f>
        <v>18.572499999999991</v>
      </c>
      <c r="FZ28" s="13">
        <f>IF('Données projet'!$A$244&gt;35,FZ27+FY28-GH27,IF(A28&lt;'Données projet'!$A$244,$FW$205^A28,IF(A28='Données projet'!$A$244,'Données projet'!$B$244,FZ27+FY28-GH27)))</f>
        <v>180.25099999999998</v>
      </c>
      <c r="GA28" s="18">
        <f>FZ28*VLOOKUP('Données projet'!$B$17,Paramètres!$A$1:$I$89,3,0)*VLOOKUP('Données projet'!$B$17,Paramètres!$A$1:$I$89,5,0)</f>
        <v>107.790098</v>
      </c>
      <c r="GB28" s="14">
        <f t="shared" si="49"/>
        <v>28.809701036494001</v>
      </c>
      <c r="GC28" s="22">
        <f t="shared" si="25"/>
        <v>237.91131665522707</v>
      </c>
      <c r="GD28" s="60">
        <f t="shared" si="26"/>
        <v>465.94909062155921</v>
      </c>
      <c r="GE28" s="60">
        <f ca="1">AVERAGE(OFFSET($GD$3,0,0,'Données projet'!$E$17+1,1))-AVERAGE(OFFSET($H$3,0,0,'Données projet'!$E$17+1,1))</f>
        <v>216.36762889365235</v>
      </c>
      <c r="GF28" s="60">
        <f t="shared" si="50"/>
        <v>333.29599352215496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2.7571847213216341</v>
      </c>
      <c r="GM28" s="23">
        <f>EXP(-LN(2)/25)*GM27+(1-EXP(-LN(2)/25))/(LN(2)/25)*Calculateur!GH28*Calculateur!GJ28*VLOOKUP('Données projet'!$B$17,Paramètres!$A$1:$I$89,3,0)*0.475*44/12</f>
        <v>7.1009748099424632</v>
      </c>
      <c r="GN28" s="23">
        <f>EXP(-LN(2)/2)*GN27+(1-EXP(-LN(2)/2))/(LN(2)/2)*GH28*GK28*VLOOKUP('Données projet'!$B$17,Paramètres!$A$1:$I$89,3,0)*0.475*44/12</f>
        <v>1.777682351794609</v>
      </c>
      <c r="GO28" s="23">
        <f t="shared" si="27"/>
        <v>11.635841883058706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4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74.474400000000003</v>
      </c>
      <c r="P29" s="14">
        <f t="shared" si="33"/>
        <v>20.780570274034375</v>
      </c>
      <c r="Q29" s="22">
        <f t="shared" si="2"/>
        <v>165.90240656060988</v>
      </c>
      <c r="R29" s="60">
        <f t="shared" si="0"/>
        <v>396.18912060980006</v>
      </c>
      <c r="S29" s="60">
        <f ca="1">AVERAGE(OFFSET($R$3,0,0,'Données projet'!$E$9+1,1))-AVERAGE(OFFSET($H$3,0,0,'Données projet'!$E$9+1,1))</f>
        <v>496.33873798282525</v>
      </c>
      <c r="T29" s="60">
        <f t="shared" si="34"/>
        <v>280.25465074992246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3.4425641025641025</v>
      </c>
      <c r="AI29" s="14">
        <f>IF('Données projet'!$A$62&gt;35,AI28+AH29-AQ28,IF(A29&lt;'Données projet'!$A$62,$AF$205^A29,IF(A29='Données projet'!$A$62,'Données projet'!$B$62,AI28+AH29-AQ28)))</f>
        <v>55.650557381086244</v>
      </c>
      <c r="AJ29" s="14">
        <f>AI29*VLOOKUP('Données projet'!$B$10,Paramètres!$A$1:$I$89,3,0)*VLOOKUP('Données projet'!$B$10,Paramètres!$A$1:$I$89,5,0)</f>
        <v>26.044460854348362</v>
      </c>
      <c r="AK29" s="14">
        <f t="shared" si="35"/>
        <v>8.2125526568599181</v>
      </c>
      <c r="AL29" s="22">
        <f t="shared" si="4"/>
        <v>59.664298532021071</v>
      </c>
      <c r="AM29" s="60">
        <f t="shared" si="5"/>
        <v>289.95101258121127</v>
      </c>
      <c r="AN29" s="60">
        <f ca="1">AVERAGE(OFFSET($AM$3,0,0,'Données projet'!$E$10+1,1))-AVERAGE(OFFSET($H$3,0,0,'Données projet'!$E$10+1,1))</f>
        <v>277.7918215389401</v>
      </c>
      <c r="AO29" s="60">
        <f t="shared" si="36"/>
        <v>164.65640238394164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6.0256410256410247</v>
      </c>
      <c r="BD29" s="13">
        <f>IF('Données projet'!$A$88&gt;35,BD28+BC29-BL28,IF(A29&lt;'Données projet'!$A$88,$BA$205^A29,IF(A29='Données projet'!$A$88,'Données projet'!$B$88,BD28+BC29-BL28)))</f>
        <v>61.794871794871781</v>
      </c>
      <c r="BE29" s="14">
        <f>BD29*VLOOKUP('Données projet'!$B$11,Paramètres!$A$1:$I$89,3,0)*VLOOKUP('Données projet'!$B$11,Paramètres!$A$1:$I$89,5,0)</f>
        <v>58.803999999999988</v>
      </c>
      <c r="BF29" s="14">
        <f t="shared" si="37"/>
        <v>16.865529253577748</v>
      </c>
      <c r="BG29" s="22">
        <f t="shared" si="7"/>
        <v>131.79109678331454</v>
      </c>
      <c r="BH29" s="60">
        <f t="shared" si="8"/>
        <v>362.07781083250472</v>
      </c>
      <c r="BI29" s="60">
        <f ca="1">AVERAGE(OFFSET($BH$3,0,0,'Données projet'!$E$11+1,1))-AVERAGE(OFFSET($H$3,0,0,'Données projet'!$E$11+1,1))</f>
        <v>366.21371543563254</v>
      </c>
      <c r="BJ29" s="60">
        <f t="shared" si="38"/>
        <v>237.43356317334084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6.7948717948717956</v>
      </c>
      <c r="BY29" s="13">
        <f>IF('Données projet'!$A$114&gt;35,BY28+BX29-CG28,IF(A29&lt;'Données projet'!$A$114,$BV$205^A29,IF(A29='Données projet'!$A$114,'Données projet'!$B$114,BY28+BX29-CG28)))</f>
        <v>79.871794871794833</v>
      </c>
      <c r="BZ29" s="14">
        <f>BY29*VLOOKUP('Données projet'!$B$12,Paramètres!$A$1:$I$89,3,0)*VLOOKUP('Données projet'!$B$12,Paramètres!$A$1:$I$89,5,0)</f>
        <v>83.481999999999971</v>
      </c>
      <c r="CA29" s="14">
        <f t="shared" si="39"/>
        <v>22.98642873386018</v>
      </c>
      <c r="CB29" s="22">
        <f t="shared" si="10"/>
        <v>185.43251337813976</v>
      </c>
      <c r="CC29" s="60">
        <f t="shared" si="11"/>
        <v>415.71922742732994</v>
      </c>
      <c r="CD29" s="60">
        <f ca="1">AVERAGE(OFFSET($CC$3,0,0,'Données projet'!$E$12+1,1))-AVERAGE(OFFSET($H$3,0,0,'Données projet'!$E$12+1,1))</f>
        <v>530.79860063513229</v>
      </c>
      <c r="CE29" s="60">
        <f t="shared" si="40"/>
        <v>302.50876440460434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69.669600000000003</v>
      </c>
      <c r="CV29" s="14">
        <f t="shared" si="41"/>
        <v>19.591385027476957</v>
      </c>
      <c r="CW29" s="22">
        <f t="shared" si="13"/>
        <v>155.46288225618903</v>
      </c>
      <c r="CX29" s="60">
        <f t="shared" si="14"/>
        <v>385.74959630537921</v>
      </c>
      <c r="CY29" s="60">
        <f ca="1">AVERAGE(OFFSET($CX$3,0,0,'Données projet'!$E$13+1,1))-AVERAGE(OFFSET($H$3,0,0,'Données projet'!$E$13+1,1))</f>
        <v>469.67944008675863</v>
      </c>
      <c r="CZ29" s="60">
        <f t="shared" si="42"/>
        <v>266.11908070867173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77</v>
      </c>
      <c r="DP29" s="18">
        <f>DO29*VLOOKUP('Données projet'!$B$14,Paramètres!$A$1:$I$89,3,0)*VLOOKUP('Données projet'!$B$14,Paramètres!$A$1:$I$89,5,0)</f>
        <v>82.882799999999989</v>
      </c>
      <c r="DQ29" s="14">
        <f t="shared" si="43"/>
        <v>22.840584911380041</v>
      </c>
      <c r="DR29" s="22">
        <f t="shared" si="16"/>
        <v>184.1348953873202</v>
      </c>
      <c r="DS29" s="60">
        <f t="shared" si="17"/>
        <v>414.42160943651038</v>
      </c>
      <c r="DT29" s="60">
        <f ca="1">AVERAGE(OFFSET($DS$3,0,0,'Données projet'!$E$14+1,1))-AVERAGE(OFFSET($H$3,0,0,'Données projet'!$E$14+1,1))</f>
        <v>542.90832990875208</v>
      </c>
      <c r="DU29" s="60">
        <f t="shared" si="44"/>
        <v>304.94365539329362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9.64</v>
      </c>
      <c r="EJ29" s="13">
        <f>IF('Données projet'!$A$192&gt;35,EJ28+EI29-ER28,IF(A29&lt;'Données projet'!$A$192,$EG$205^A29,IF(A29='Données projet'!$A$192,'Données projet'!$B$192,EJ28+EI29-ER28)))</f>
        <v>95.940000000000012</v>
      </c>
      <c r="EK29" s="18">
        <f>EJ29*VLOOKUP('Données projet'!$B$15,Paramètres!$A$1:$I$89,3,0)*VLOOKUP('Données projet'!$B$15,Paramètres!$A$1:$I$89,5,0)</f>
        <v>76.329864000000015</v>
      </c>
      <c r="EL29" s="14">
        <f t="shared" si="45"/>
        <v>21.237378877267997</v>
      </c>
      <c r="EM29" s="22">
        <f t="shared" si="19"/>
        <v>169.92961467790846</v>
      </c>
      <c r="EN29" s="60">
        <f t="shared" si="20"/>
        <v>400.21632872709864</v>
      </c>
      <c r="EO29" s="60">
        <f ca="1">AVERAGE(OFFSET($EN$3,0,0,'Données projet'!$E$15+1,1))-AVERAGE(OFFSET($H$3,0,0,'Données projet'!$E$15+1,1))</f>
        <v>273.72403794510291</v>
      </c>
      <c r="EP29" s="60">
        <f t="shared" si="46"/>
        <v>292.00185554564109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11.5</v>
      </c>
      <c r="FE29" s="13">
        <f>IF('Données projet'!$A$218&gt;35,FE28+FD29-FM28,IF(A29&lt;'Données projet'!$A$218,$FB$205^A29,IF(A29='Données projet'!$A$218,'Données projet'!$B$218,FE28+FD29-FM28)))</f>
        <v>97.499999999999957</v>
      </c>
      <c r="FF29" s="18">
        <f>FE29*VLOOKUP('Données projet'!$B$16,Paramètres!$A$1:$I$89,3,0)*VLOOKUP('Données projet'!$B$16,Paramètres!$A$1:$I$89,5,0)</f>
        <v>76.049999999999969</v>
      </c>
      <c r="FG29" s="14">
        <f t="shared" si="47"/>
        <v>21.168560890749262</v>
      </c>
      <c r="FH29" s="22">
        <f t="shared" si="22"/>
        <v>169.32232688472158</v>
      </c>
      <c r="FI29" s="60">
        <f t="shared" si="23"/>
        <v>399.60904093391173</v>
      </c>
      <c r="FJ29" s="60">
        <f ca="1">AVERAGE(OFFSET($FI$3,0,0,'Données projet'!$E$16+1,1))-AVERAGE(OFFSET($H$3,0,0,'Données projet'!$E$16+1,1))</f>
        <v>309.21625451786218</v>
      </c>
      <c r="FK29" s="60">
        <f t="shared" si="48"/>
        <v>302.59481222418219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19.056999999999988</v>
      </c>
      <c r="FZ29" s="13">
        <f>IF('Données projet'!$A$244&gt;35,FZ28+FY29-GH28,IF(A29&lt;'Données projet'!$A$244,$FW$205^A29,IF(A29='Données projet'!$A$244,'Données projet'!$B$244,FZ28+FY29-GH28)))</f>
        <v>199.30799999999996</v>
      </c>
      <c r="GA29" s="18">
        <f>FZ29*VLOOKUP('Données projet'!$B$17,Paramètres!$A$1:$I$89,3,0)*VLOOKUP('Données projet'!$B$17,Paramètres!$A$1:$I$89,5,0)</f>
        <v>119.18618399999998</v>
      </c>
      <c r="GB29" s="14">
        <f t="shared" si="49"/>
        <v>31.485114968902487</v>
      </c>
      <c r="GC29" s="22">
        <f t="shared" si="25"/>
        <v>262.4191790375051</v>
      </c>
      <c r="GD29" s="60">
        <f t="shared" si="26"/>
        <v>492.70589308669526</v>
      </c>
      <c r="GE29" s="60">
        <f ca="1">AVERAGE(OFFSET($GD$3,0,0,'Données projet'!$E$17+1,1))-AVERAGE(OFFSET($H$3,0,0,'Données projet'!$E$17+1,1))</f>
        <v>216.36762889365235</v>
      </c>
      <c r="GF29" s="60">
        <f t="shared" si="50"/>
        <v>333.29599352215496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2.7031180106531409</v>
      </c>
      <c r="GM29" s="23">
        <f>EXP(-LN(2)/25)*GM28+(1-EXP(-LN(2)/25))/(LN(2)/25)*Calculateur!GH29*Calculateur!GJ29*VLOOKUP('Données projet'!$B$17,Paramètres!$A$1:$I$89,3,0)*0.475*44/12</f>
        <v>6.906798280340551</v>
      </c>
      <c r="GN29" s="23">
        <f>EXP(-LN(2)/2)*GN28+(1-EXP(-LN(2)/2))/(LN(2)/2)*GH29*GK29*VLOOKUP('Données projet'!$B$17,Paramètres!$A$1:$I$89,3,0)*0.475*44/12</f>
        <v>1.2570112457496179</v>
      </c>
      <c r="GO29" s="23">
        <f t="shared" si="27"/>
        <v>10.86692753674331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4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81.244799999999998</v>
      </c>
      <c r="P30" s="14">
        <f t="shared" si="33"/>
        <v>22.441270156928962</v>
      </c>
      <c r="Q30" s="22">
        <f t="shared" si="2"/>
        <v>180.58657218998462</v>
      </c>
      <c r="R30" s="60">
        <f t="shared" si="0"/>
        <v>413.10441506254813</v>
      </c>
      <c r="S30" s="60">
        <f ca="1">AVERAGE(OFFSET($R$3,0,0,'Données projet'!$E$9+1,1))-AVERAGE(OFFSET($H$3,0,0,'Données projet'!$E$9+1,1))</f>
        <v>496.33873798282525</v>
      </c>
      <c r="T30" s="60">
        <f t="shared" si="34"/>
        <v>280.25465074992246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3.4425641025641025</v>
      </c>
      <c r="AI30" s="14">
        <f>IF('Données projet'!$A$62&gt;35,AI29+AH30-AQ29,IF(A30&lt;'Données projet'!$A$62,$AF$205^A30,IF(A30='Données projet'!$A$62,'Données projet'!$B$62,AI29+AH30-AQ29)))</f>
        <v>64.953560365747308</v>
      </c>
      <c r="AJ30" s="14">
        <f>AI30*VLOOKUP('Données projet'!$B$10,Paramètres!$A$1:$I$89,3,0)*VLOOKUP('Données projet'!$B$10,Paramètres!$A$1:$I$89,5,0)</f>
        <v>30.398266251169741</v>
      </c>
      <c r="AK30" s="14">
        <f t="shared" si="35"/>
        <v>9.4145003824463398</v>
      </c>
      <c r="AL30" s="22">
        <f t="shared" si="4"/>
        <v>69.340568553547996</v>
      </c>
      <c r="AM30" s="60">
        <f t="shared" si="5"/>
        <v>301.8584114261115</v>
      </c>
      <c r="AN30" s="60">
        <f ca="1">AVERAGE(OFFSET($AM$3,0,0,'Données projet'!$E$10+1,1))-AVERAGE(OFFSET($H$3,0,0,'Données projet'!$E$10+1,1))</f>
        <v>277.7918215389401</v>
      </c>
      <c r="AO30" s="60">
        <f t="shared" si="36"/>
        <v>164.65640238394164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6.0256410256410247</v>
      </c>
      <c r="BD30" s="13">
        <f>IF('Données projet'!$A$88&gt;35,BD29+BC30-BL29,IF(A30&lt;'Données projet'!$A$88,$BA$205^A30,IF(A30='Données projet'!$A$88,'Données projet'!$B$88,BD29+BC30-BL29)))</f>
        <v>67.820512820512803</v>
      </c>
      <c r="BE30" s="14">
        <f>BD30*VLOOKUP('Données projet'!$B$11,Paramètres!$A$1:$I$89,3,0)*VLOOKUP('Données projet'!$B$11,Paramètres!$A$1:$I$89,5,0)</f>
        <v>64.537999999999982</v>
      </c>
      <c r="BF30" s="14">
        <f t="shared" si="37"/>
        <v>18.310704038917496</v>
      </c>
      <c r="BG30" s="22">
        <f t="shared" si="7"/>
        <v>144.2948262011146</v>
      </c>
      <c r="BH30" s="60">
        <f t="shared" si="8"/>
        <v>376.81266907367808</v>
      </c>
      <c r="BI30" s="60">
        <f ca="1">AVERAGE(OFFSET($BH$3,0,0,'Données projet'!$E$11+1,1))-AVERAGE(OFFSET($H$3,0,0,'Données projet'!$E$11+1,1))</f>
        <v>366.21371543563254</v>
      </c>
      <c r="BJ30" s="60">
        <f t="shared" si="38"/>
        <v>237.43356317334084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6.7948717948717956</v>
      </c>
      <c r="BY30" s="13">
        <f>IF('Données projet'!$A$114&gt;35,BY29+BX30-CG29,IF(A30&lt;'Données projet'!$A$114,$BV$205^A30,IF(A30='Données projet'!$A$114,'Données projet'!$B$114,BY29+BX30-CG29)))</f>
        <v>86.666666666666629</v>
      </c>
      <c r="BZ30" s="14">
        <f>BY30*VLOOKUP('Données projet'!$B$12,Paramètres!$A$1:$I$89,3,0)*VLOOKUP('Données projet'!$B$12,Paramètres!$A$1:$I$89,5,0)</f>
        <v>90.583999999999961</v>
      </c>
      <c r="CA30" s="14">
        <f t="shared" si="39"/>
        <v>24.706018667982935</v>
      </c>
      <c r="CB30" s="22">
        <f t="shared" si="10"/>
        <v>200.79678251340351</v>
      </c>
      <c r="CC30" s="60">
        <f t="shared" si="11"/>
        <v>433.31462538596702</v>
      </c>
      <c r="CD30" s="60">
        <f ca="1">AVERAGE(OFFSET($CC$3,0,0,'Données projet'!$E$12+1,1))-AVERAGE(OFFSET($H$3,0,0,'Données projet'!$E$12+1,1))</f>
        <v>530.79860063513229</v>
      </c>
      <c r="CE30" s="60">
        <f t="shared" si="40"/>
        <v>302.50876440460434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76.003200000000007</v>
      </c>
      <c r="CV30" s="14">
        <f t="shared" si="41"/>
        <v>21.157049992000456</v>
      </c>
      <c r="CW30" s="22">
        <f t="shared" si="13"/>
        <v>169.22076873606747</v>
      </c>
      <c r="CX30" s="60">
        <f t="shared" si="14"/>
        <v>401.738611608631</v>
      </c>
      <c r="CY30" s="60">
        <f ca="1">AVERAGE(OFFSET($CX$3,0,0,'Données projet'!$E$13+1,1))-AVERAGE(OFFSET($H$3,0,0,'Données projet'!$E$13+1,1))</f>
        <v>469.67944008675863</v>
      </c>
      <c r="CZ30" s="60">
        <f t="shared" si="42"/>
        <v>266.11908070867173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84</v>
      </c>
      <c r="DP30" s="18">
        <f>DO30*VLOOKUP('Données projet'!$B$14,Paramètres!$A$1:$I$89,3,0)*VLOOKUP('Données projet'!$B$14,Paramètres!$A$1:$I$89,5,0)</f>
        <v>90.417599999999993</v>
      </c>
      <c r="DQ30" s="14">
        <f t="shared" si="43"/>
        <v>24.665912907068826</v>
      </c>
      <c r="DR30" s="22">
        <f t="shared" si="16"/>
        <v>200.43711831314488</v>
      </c>
      <c r="DS30" s="60">
        <f t="shared" si="17"/>
        <v>432.95496118570838</v>
      </c>
      <c r="DT30" s="60">
        <f ca="1">AVERAGE(OFFSET($DS$3,0,0,'Données projet'!$E$14+1,1))-AVERAGE(OFFSET($H$3,0,0,'Données projet'!$E$14+1,1))</f>
        <v>542.90832990875208</v>
      </c>
      <c r="DU30" s="60">
        <f t="shared" si="44"/>
        <v>304.94365539329362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9.64</v>
      </c>
      <c r="EJ30" s="13">
        <f>IF('Données projet'!$A$192&gt;35,EJ29+EI30-ER29,IF(A30&lt;'Données projet'!$A$192,$EG$205^A30,IF(A30='Données projet'!$A$192,'Données projet'!$B$192,EJ29+EI30-ER29)))</f>
        <v>105.58000000000001</v>
      </c>
      <c r="EK30" s="18">
        <f>EJ30*VLOOKUP('Données projet'!$B$15,Paramètres!$A$1:$I$89,3,0)*VLOOKUP('Données projet'!$B$15,Paramètres!$A$1:$I$89,5,0)</f>
        <v>83.999448000000015</v>
      </c>
      <c r="EL30" s="14">
        <f t="shared" si="45"/>
        <v>23.112276276967506</v>
      </c>
      <c r="EM30" s="22">
        <f t="shared" si="19"/>
        <v>186.55291978238509</v>
      </c>
      <c r="EN30" s="60">
        <f t="shared" si="20"/>
        <v>419.07076265494857</v>
      </c>
      <c r="EO30" s="60">
        <f ca="1">AVERAGE(OFFSET($EN$3,0,0,'Données projet'!$E$15+1,1))-AVERAGE(OFFSET($H$3,0,0,'Données projet'!$E$15+1,1))</f>
        <v>273.72403794510291</v>
      </c>
      <c r="EP30" s="60">
        <f t="shared" si="46"/>
        <v>292.00185554564109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11.5</v>
      </c>
      <c r="FE30" s="13">
        <f>IF('Données projet'!$A$218&gt;35,FE29+FD30-FM29,IF(A30&lt;'Données projet'!$A$218,$FB$205^A30,IF(A30='Données projet'!$A$218,'Données projet'!$B$218,FE29+FD30-FM29)))</f>
        <v>108.99999999999996</v>
      </c>
      <c r="FF30" s="18">
        <f>FE30*VLOOKUP('Données projet'!$B$16,Paramètres!$A$1:$I$89,3,0)*VLOOKUP('Données projet'!$B$16,Paramètres!$A$1:$I$89,5,0)</f>
        <v>85.019999999999968</v>
      </c>
      <c r="FG30" s="14">
        <f t="shared" si="47"/>
        <v>23.360218970693097</v>
      </c>
      <c r="FH30" s="22">
        <f t="shared" si="22"/>
        <v>188.76221470729038</v>
      </c>
      <c r="FI30" s="60">
        <f t="shared" si="23"/>
        <v>421.28005757985386</v>
      </c>
      <c r="FJ30" s="60">
        <f ca="1">AVERAGE(OFFSET($FI$3,0,0,'Données projet'!$E$16+1,1))-AVERAGE(OFFSET($H$3,0,0,'Données projet'!$E$16+1,1))</f>
        <v>309.21625451786218</v>
      </c>
      <c r="FK30" s="60">
        <f t="shared" si="48"/>
        <v>302.59481222418219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>
        <f>VLOOKUP(A30,'Données projet'!$A$243:$I$263,2,0)</f>
        <v>218.36499999999998</v>
      </c>
      <c r="FX30" s="13">
        <f>VLOOKUP(A30,'Données projet'!$A$243:$I$263,9,0)</f>
        <v>19.056999999999988</v>
      </c>
      <c r="FY30" s="13">
        <f t="array" ref="FY30">INDEX(FX:FX,MIN(IF(ISNUMBER(FX30:FX226),ROW(FX30:FX226),"")))</f>
        <v>19.056999999999988</v>
      </c>
      <c r="FZ30" s="13">
        <f>IF('Données projet'!$A$244&gt;35,FZ29+FY30-GH29,IF(A30&lt;'Données projet'!$A$244,$FW$205^A30,IF(A30='Données projet'!$A$244,'Données projet'!$B$244,FZ29+FY30-GH29)))</f>
        <v>218.36499999999995</v>
      </c>
      <c r="GA30" s="18">
        <f>FZ30*VLOOKUP('Données projet'!$B$17,Paramètres!$A$1:$I$89,3,0)*VLOOKUP('Données projet'!$B$17,Paramètres!$A$1:$I$89,5,0)</f>
        <v>130.58226999999997</v>
      </c>
      <c r="GB30" s="14">
        <f t="shared" si="49"/>
        <v>34.13086981877764</v>
      </c>
      <c r="GC30" s="22">
        <f t="shared" si="25"/>
        <v>286.87538518437105</v>
      </c>
      <c r="GD30" s="60">
        <f t="shared" si="26"/>
        <v>519.3932280569345</v>
      </c>
      <c r="GE30" s="60">
        <f ca="1">AVERAGE(OFFSET($GD$3,0,0,'Données projet'!$E$17+1,1))-AVERAGE(OFFSET($H$3,0,0,'Données projet'!$E$17+1,1))</f>
        <v>216.36762889365235</v>
      </c>
      <c r="GF30" s="60">
        <f t="shared" si="50"/>
        <v>333.29599352215496</v>
      </c>
      <c r="GG30" s="16">
        <f>IF(ISNA(VLOOKUP(A30,'Données projet'!$A$243:$I$263,3,0)),0,VLOOKUP(A30,'Données projet'!$A$243:$I$263,3,0))</f>
        <v>3</v>
      </c>
      <c r="GH30" s="16">
        <f>IF(ISNA(VLOOKUP(A30,'Données projet'!$A$243:$I$263,4,0)),0,VLOOKUP(A30,'Données projet'!$A$243:$I$263,4,0))</f>
        <v>54.518999999999998</v>
      </c>
      <c r="GI30" s="17">
        <f>IF(ISNA(VLOOKUP(A30,'Données projet'!$A$243:$I$263,5,0)),0%,VLOOKUP(A30,'Données projet'!$A$243:$I$263,5,0)*VLOOKUP('Données projet'!$B$17,Paramètres!$A$1:$I$89,7,0))</f>
        <v>0.27</v>
      </c>
      <c r="GJ30" s="17">
        <f>IF(ISNA(VLOOKUP(A30,'Données projet'!$A$243:$I$263,6,0)),0%,VLOOKUP(A30,'Données projet'!$A$243:$I$263,6,0)*VLOOKUP('Données projet'!$B$17,Paramètres!$A$1:$I$89,7,0))</f>
        <v>9.0000000000000011E-2</v>
      </c>
      <c r="GK30" s="17">
        <f>IF(ISNA(VLOOKUP(A30,'Données projet'!$A$243:$I$263,7,0)),0%,VLOOKUP(A30,'Données projet'!$A$243:$I$263,7,0))</f>
        <v>0.2</v>
      </c>
      <c r="GL30" s="23">
        <f>EXP(-LN(2)/35)*GL29+(1-EXP(-LN(2)/35))/(LN(2)/35)*GH30*GI30*VLOOKUP('Données projet'!$B$17,Paramètres!$A$1:$I$89,3,0)*0.475*44/12</f>
        <v>14.327377855198066</v>
      </c>
      <c r="GM30" s="23">
        <f>EXP(-LN(2)/25)*GM29+(1-EXP(-LN(2)/25))/(LN(2)/25)*Calculateur!GH30*Calculateur!GJ30*VLOOKUP('Données projet'!$B$17,Paramètres!$A$1:$I$89,3,0)*0.475*44/12</f>
        <v>10.595027682494164</v>
      </c>
      <c r="GN30" s="23">
        <f>EXP(-LN(2)/2)*GN29+(1-EXP(-LN(2)/2))/(LN(2)/2)*GH30*GK30*VLOOKUP('Données projet'!$B$17,Paramètres!$A$1:$I$89,3,0)*0.475*44/12</f>
        <v>8.271530622307214</v>
      </c>
      <c r="GO30" s="23">
        <f t="shared" si="27"/>
        <v>33.193936159999438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4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88.015200000000007</v>
      </c>
      <c r="P31" s="14">
        <f t="shared" si="33"/>
        <v>24.085919530575829</v>
      </c>
      <c r="Q31" s="22">
        <f t="shared" si="2"/>
        <v>195.24278318241954</v>
      </c>
      <c r="R31" s="60">
        <f t="shared" si="0"/>
        <v>429.97425260440366</v>
      </c>
      <c r="S31" s="60">
        <f ca="1">AVERAGE(OFFSET($R$3,0,0,'Données projet'!$E$9+1,1))-AVERAGE(OFFSET($H$3,0,0,'Données projet'!$E$9+1,1))</f>
        <v>496.33873798282525</v>
      </c>
      <c r="T31" s="60">
        <f t="shared" si="34"/>
        <v>280.25465074992246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3.4425641025641025</v>
      </c>
      <c r="AI31" s="14">
        <f>IF('Données projet'!$A$62&gt;35,AI30+AH31-AQ30,IF(A31&lt;'Données projet'!$A$62,$AF$205^A31,IF(A31='Données projet'!$A$62,'Données projet'!$B$62,AI30+AH31-AQ30)))</f>
        <v>75.81172952673181</v>
      </c>
      <c r="AJ31" s="14">
        <f>AI31*VLOOKUP('Données projet'!$B$10,Paramètres!$A$1:$I$89,3,0)*VLOOKUP('Données projet'!$B$10,Paramètres!$A$1:$I$89,5,0)</f>
        <v>35.479889418510488</v>
      </c>
      <c r="AK31" s="14">
        <f t="shared" si="35"/>
        <v>10.7923591061602</v>
      </c>
      <c r="AL31" s="22">
        <f t="shared" si="4"/>
        <v>80.590832847134777</v>
      </c>
      <c r="AM31" s="60">
        <f t="shared" si="5"/>
        <v>315.32230226911884</v>
      </c>
      <c r="AN31" s="60">
        <f ca="1">AVERAGE(OFFSET($AM$3,0,0,'Données projet'!$E$10+1,1))-AVERAGE(OFFSET($H$3,0,0,'Données projet'!$E$10+1,1))</f>
        <v>277.7918215389401</v>
      </c>
      <c r="AO31" s="60">
        <f t="shared" si="36"/>
        <v>164.65640238394164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6.0256410256410247</v>
      </c>
      <c r="BD31" s="13">
        <f>IF('Données projet'!$A$88&gt;35,BD30+BC31-BL30,IF(A31&lt;'Données projet'!$A$88,$BA$205^A31,IF(A31='Données projet'!$A$88,'Données projet'!$B$88,BD30+BC31-BL30)))</f>
        <v>73.846153846153825</v>
      </c>
      <c r="BE31" s="14">
        <f>BD31*VLOOKUP('Données projet'!$B$11,Paramètres!$A$1:$I$89,3,0)*VLOOKUP('Données projet'!$B$11,Paramètres!$A$1:$I$89,5,0)</f>
        <v>70.271999999999991</v>
      </c>
      <c r="BF31" s="14">
        <f t="shared" si="37"/>
        <v>19.740989504207562</v>
      </c>
      <c r="BG31" s="22">
        <f t="shared" si="7"/>
        <v>156.77262338649481</v>
      </c>
      <c r="BH31" s="60">
        <f t="shared" si="8"/>
        <v>391.5040928084789</v>
      </c>
      <c r="BI31" s="60">
        <f ca="1">AVERAGE(OFFSET($BH$3,0,0,'Données projet'!$E$11+1,1))-AVERAGE(OFFSET($H$3,0,0,'Données projet'!$E$11+1,1))</f>
        <v>366.21371543563254</v>
      </c>
      <c r="BJ31" s="60">
        <f t="shared" si="38"/>
        <v>237.43356317334084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6.7948717948717956</v>
      </c>
      <c r="BY31" s="13">
        <f>IF('Données projet'!$A$114&gt;35,BY30+BX31-CG30,IF(A31&lt;'Données projet'!$A$114,$BV$205^A31,IF(A31='Données projet'!$A$114,'Données projet'!$B$114,BY30+BX31-CG30)))</f>
        <v>93.461538461538424</v>
      </c>
      <c r="BZ31" s="14">
        <f>BY31*VLOOKUP('Données projet'!$B$12,Paramètres!$A$1:$I$89,3,0)*VLOOKUP('Données projet'!$B$12,Paramètres!$A$1:$I$89,5,0)</f>
        <v>97.685999999999964</v>
      </c>
      <c r="CA31" s="14">
        <f t="shared" si="39"/>
        <v>26.409970051653183</v>
      </c>
      <c r="CB31" s="22">
        <f t="shared" si="10"/>
        <v>216.13381450662925</v>
      </c>
      <c r="CC31" s="60">
        <f t="shared" si="11"/>
        <v>450.86528392861334</v>
      </c>
      <c r="CD31" s="60">
        <f ca="1">AVERAGE(OFFSET($CC$3,0,0,'Données projet'!$E$12+1,1))-AVERAGE(OFFSET($H$3,0,0,'Données projet'!$E$12+1,1))</f>
        <v>530.79860063513229</v>
      </c>
      <c r="CE31" s="60">
        <f t="shared" si="40"/>
        <v>302.50876440460434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82.336799999999997</v>
      </c>
      <c r="CV31" s="14">
        <f t="shared" si="41"/>
        <v>22.707582950885364</v>
      </c>
      <c r="CW31" s="22">
        <f t="shared" si="13"/>
        <v>182.95230030612535</v>
      </c>
      <c r="CX31" s="60">
        <f t="shared" si="14"/>
        <v>417.68376972810944</v>
      </c>
      <c r="CY31" s="60">
        <f ca="1">AVERAGE(OFFSET($CX$3,0,0,'Données projet'!$E$13+1,1))-AVERAGE(OFFSET($H$3,0,0,'Données projet'!$E$13+1,1))</f>
        <v>469.67944008675863</v>
      </c>
      <c r="CZ31" s="60">
        <f t="shared" si="42"/>
        <v>266.11908070867173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91</v>
      </c>
      <c r="DP31" s="18">
        <f>DO31*VLOOKUP('Données projet'!$B$14,Paramètres!$A$1:$I$89,3,0)*VLOOKUP('Données projet'!$B$14,Paramètres!$A$1:$I$89,5,0)</f>
        <v>97.952399999999997</v>
      </c>
      <c r="DQ31" s="14">
        <f t="shared" si="43"/>
        <v>26.473599278177087</v>
      </c>
      <c r="DR31" s="22">
        <f t="shared" si="16"/>
        <v>216.70861540949173</v>
      </c>
      <c r="DS31" s="60">
        <f t="shared" si="17"/>
        <v>451.44008483147582</v>
      </c>
      <c r="DT31" s="60">
        <f ca="1">AVERAGE(OFFSET($DS$3,0,0,'Données projet'!$E$14+1,1))-AVERAGE(OFFSET($H$3,0,0,'Données projet'!$E$14+1,1))</f>
        <v>542.90832990875208</v>
      </c>
      <c r="DU31" s="60">
        <f t="shared" si="44"/>
        <v>304.94365539329362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9.64</v>
      </c>
      <c r="EJ31" s="13">
        <f>IF('Données projet'!$A$192&gt;35,EJ30+EI31-ER30,IF(A31&lt;'Données projet'!$A$192,$EG$205^A31,IF(A31='Données projet'!$A$192,'Données projet'!$B$192,EJ30+EI31-ER30)))</f>
        <v>115.22000000000001</v>
      </c>
      <c r="EK31" s="18">
        <f>EJ31*VLOOKUP('Données projet'!$B$15,Paramètres!$A$1:$I$89,3,0)*VLOOKUP('Données projet'!$B$15,Paramètres!$A$1:$I$89,5,0)</f>
        <v>91.669032000000016</v>
      </c>
      <c r="EL31" s="14">
        <f t="shared" si="45"/>
        <v>24.96732383730243</v>
      </c>
      <c r="EM31" s="22">
        <f t="shared" si="19"/>
        <v>203.14165308330175</v>
      </c>
      <c r="EN31" s="60">
        <f t="shared" si="20"/>
        <v>437.87312250528583</v>
      </c>
      <c r="EO31" s="60">
        <f ca="1">AVERAGE(OFFSET($EN$3,0,0,'Données projet'!$E$15+1,1))-AVERAGE(OFFSET($H$3,0,0,'Données projet'!$E$15+1,1))</f>
        <v>273.72403794510291</v>
      </c>
      <c r="EP31" s="60">
        <f t="shared" si="46"/>
        <v>292.00185554564109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11.5</v>
      </c>
      <c r="FE31" s="13">
        <f>IF('Données projet'!$A$218&gt;35,FE30+FD31-FM30,IF(A31&lt;'Données projet'!$A$218,$FB$205^A31,IF(A31='Données projet'!$A$218,'Données projet'!$B$218,FE30+FD31-FM30)))</f>
        <v>120.49999999999996</v>
      </c>
      <c r="FF31" s="18">
        <f>FE31*VLOOKUP('Données projet'!$B$16,Paramètres!$A$1:$I$89,3,0)*VLOOKUP('Données projet'!$B$16,Paramètres!$A$1:$I$89,5,0)</f>
        <v>93.989999999999966</v>
      </c>
      <c r="FG31" s="14">
        <f t="shared" si="47"/>
        <v>25.525074036970054</v>
      </c>
      <c r="FH31" s="22">
        <f t="shared" si="22"/>
        <v>208.15542061438944</v>
      </c>
      <c r="FI31" s="60">
        <f t="shared" si="23"/>
        <v>442.88689003637353</v>
      </c>
      <c r="FJ31" s="60">
        <f ca="1">AVERAGE(OFFSET($FI$3,0,0,'Données projet'!$E$16+1,1))-AVERAGE(OFFSET($H$3,0,0,'Données projet'!$E$16+1,1))</f>
        <v>309.21625451786218</v>
      </c>
      <c r="FK31" s="60">
        <f t="shared" si="48"/>
        <v>302.59481222418219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15.74200000000001</v>
      </c>
      <c r="FZ31" s="13">
        <f>IF('Données projet'!$A$244&gt;35,FZ30+FY31-GH30,IF(A31&lt;'Données projet'!$A$244,$FW$205^A31,IF(A31='Données projet'!$A$244,'Données projet'!$B$244,FZ30+FY31-GH30)))</f>
        <v>179.58799999999997</v>
      </c>
      <c r="GA31" s="18">
        <f>FZ31*VLOOKUP('Données projet'!$B$17,Paramètres!$A$1:$I$89,3,0)*VLOOKUP('Données projet'!$B$17,Paramètres!$A$1:$I$89,5,0)</f>
        <v>107.39362399999997</v>
      </c>
      <c r="GB31" s="14">
        <f t="shared" si="49"/>
        <v>28.716047670284119</v>
      </c>
      <c r="GC31" s="22">
        <f t="shared" si="25"/>
        <v>237.05767815907811</v>
      </c>
      <c r="GD31" s="60">
        <f t="shared" si="26"/>
        <v>471.7891475810622</v>
      </c>
      <c r="GE31" s="60">
        <f ca="1">AVERAGE(OFFSET($GD$3,0,0,'Données projet'!$E$17+1,1))-AVERAGE(OFFSET($H$3,0,0,'Données projet'!$E$17+1,1))</f>
        <v>216.36762889365235</v>
      </c>
      <c r="GF31" s="60">
        <f t="shared" si="50"/>
        <v>333.29599352215496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14.046426714295235</v>
      </c>
      <c r="GM31" s="23">
        <f>EXP(-LN(2)/25)*GM30+(1-EXP(-LN(2)/25))/(LN(2)/25)*Calculateur!GH31*Calculateur!GJ31*VLOOKUP('Données projet'!$B$17,Paramètres!$A$1:$I$89,3,0)*0.475*44/12</f>
        <v>10.30530609334807</v>
      </c>
      <c r="GN31" s="23">
        <f>EXP(-LN(2)/2)*GN30+(1-EXP(-LN(2)/2))/(LN(2)/2)*GH31*GK31*VLOOKUP('Données projet'!$B$17,Paramètres!$A$1:$I$89,3,0)*0.475*44/12</f>
        <v>5.8488553938256151</v>
      </c>
      <c r="GO31" s="23">
        <f t="shared" si="27"/>
        <v>30.200588201468921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4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94.785600000000002</v>
      </c>
      <c r="P32" s="14">
        <f t="shared" si="33"/>
        <v>25.715893428674526</v>
      </c>
      <c r="Q32" s="22">
        <f t="shared" si="2"/>
        <v>209.87343438827483</v>
      </c>
      <c r="R32" s="60">
        <f t="shared" si="0"/>
        <v>446.80133171105069</v>
      </c>
      <c r="S32" s="60">
        <f ca="1">AVERAGE(OFFSET($R$3,0,0,'Données projet'!$E$9+1,1))-AVERAGE(OFFSET($H$3,0,0,'Données projet'!$E$9+1,1))</f>
        <v>496.33873798282525</v>
      </c>
      <c r="T32" s="60">
        <f t="shared" si="34"/>
        <v>280.25465074992246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3.4425641025641025</v>
      </c>
      <c r="AI32" s="14">
        <f>IF('Données projet'!$A$62&gt;35,AI31+AH32-AQ31,IF(A32&lt;'Données projet'!$A$62,$AF$205^A32,IF(A32='Données projet'!$A$62,'Données projet'!$B$62,AI31+AH32-AQ31)))</f>
        <v>88.485039179856727</v>
      </c>
      <c r="AJ32" s="14">
        <f>AI32*VLOOKUP('Données projet'!$B$10,Paramètres!$A$1:$I$89,3,0)*VLOOKUP('Données projet'!$B$10,Paramètres!$A$1:$I$89,5,0)</f>
        <v>41.410998336172952</v>
      </c>
      <c r="AK32" s="14">
        <f t="shared" si="35"/>
        <v>12.371874273168087</v>
      </c>
      <c r="AL32" s="22">
        <f t="shared" si="4"/>
        <v>93.671836461268967</v>
      </c>
      <c r="AM32" s="60">
        <f t="shared" si="5"/>
        <v>330.59973378404482</v>
      </c>
      <c r="AN32" s="60">
        <f ca="1">AVERAGE(OFFSET($AM$3,0,0,'Données projet'!$E$10+1,1))-AVERAGE(OFFSET($H$3,0,0,'Données projet'!$E$10+1,1))</f>
        <v>277.7918215389401</v>
      </c>
      <c r="AO32" s="60">
        <f t="shared" si="36"/>
        <v>164.65640238394164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6.0256410256410247</v>
      </c>
      <c r="BD32" s="13">
        <f>IF('Données projet'!$A$88&gt;35,BD31+BC32-BL31,IF(A32&lt;'Données projet'!$A$88,$BA$205^A32,IF(A32='Données projet'!$A$88,'Données projet'!$B$88,BD31+BC32-BL31)))</f>
        <v>79.871794871794847</v>
      </c>
      <c r="BE32" s="14">
        <f>BD32*VLOOKUP('Données projet'!$B$11,Paramètres!$A$1:$I$89,3,0)*VLOOKUP('Données projet'!$B$11,Paramètres!$A$1:$I$89,5,0)</f>
        <v>76.005999999999972</v>
      </c>
      <c r="BF32" s="14">
        <f t="shared" si="37"/>
        <v>21.157738701449691</v>
      </c>
      <c r="BG32" s="22">
        <f t="shared" si="7"/>
        <v>169.22684490502482</v>
      </c>
      <c r="BH32" s="60">
        <f t="shared" si="8"/>
        <v>406.15474222780063</v>
      </c>
      <c r="BI32" s="60">
        <f ca="1">AVERAGE(OFFSET($BH$3,0,0,'Données projet'!$E$11+1,1))-AVERAGE(OFFSET($H$3,0,0,'Données projet'!$E$11+1,1))</f>
        <v>366.21371543563254</v>
      </c>
      <c r="BJ32" s="60">
        <f t="shared" si="38"/>
        <v>237.43356317334084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6.7948717948717956</v>
      </c>
      <c r="BY32" s="13">
        <f>IF('Données projet'!$A$114&gt;35,BY31+BX32-CG31,IF(A32&lt;'Données projet'!$A$114,$BV$205^A32,IF(A32='Données projet'!$A$114,'Données projet'!$B$114,BY31+BX32-CG31)))</f>
        <v>100.25641025641022</v>
      </c>
      <c r="BZ32" s="14">
        <f>BY32*VLOOKUP('Données projet'!$B$12,Paramètres!$A$1:$I$89,3,0)*VLOOKUP('Données projet'!$B$12,Paramètres!$A$1:$I$89,5,0)</f>
        <v>104.78799999999995</v>
      </c>
      <c r="CA32" s="14">
        <f t="shared" si="39"/>
        <v>28.099549142886449</v>
      </c>
      <c r="CB32" s="22">
        <f t="shared" si="10"/>
        <v>231.4458147571938</v>
      </c>
      <c r="CC32" s="60">
        <f t="shared" si="11"/>
        <v>468.37371207996966</v>
      </c>
      <c r="CD32" s="60">
        <f ca="1">AVERAGE(OFFSET($CC$3,0,0,'Données projet'!$E$12+1,1))-AVERAGE(OFFSET($H$3,0,0,'Données projet'!$E$12+1,1))</f>
        <v>530.79860063513229</v>
      </c>
      <c r="CE32" s="60">
        <f t="shared" si="40"/>
        <v>302.50876440460434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88.670400000000001</v>
      </c>
      <c r="CV32" s="14">
        <f t="shared" si="41"/>
        <v>24.244280250395512</v>
      </c>
      <c r="CW32" s="22">
        <f t="shared" si="13"/>
        <v>196.65973476943884</v>
      </c>
      <c r="CX32" s="60">
        <f t="shared" si="14"/>
        <v>433.58763209221468</v>
      </c>
      <c r="CY32" s="60">
        <f ca="1">AVERAGE(OFFSET($CX$3,0,0,'Données projet'!$E$13+1,1))-AVERAGE(OFFSET($H$3,0,0,'Données projet'!$E$13+1,1))</f>
        <v>469.67944008675863</v>
      </c>
      <c r="CZ32" s="60">
        <f t="shared" si="42"/>
        <v>266.11908070867173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98</v>
      </c>
      <c r="DP32" s="18">
        <f>DO32*VLOOKUP('Données projet'!$B$14,Paramètres!$A$1:$I$89,3,0)*VLOOKUP('Données projet'!$B$14,Paramètres!$A$1:$I$89,5,0)</f>
        <v>105.48719999999999</v>
      </c>
      <c r="DQ32" s="14">
        <f t="shared" si="43"/>
        <v>28.265155367923839</v>
      </c>
      <c r="DR32" s="22">
        <f t="shared" si="16"/>
        <v>232.95201893246733</v>
      </c>
      <c r="DS32" s="60">
        <f t="shared" si="17"/>
        <v>469.87991625524319</v>
      </c>
      <c r="DT32" s="60">
        <f ca="1">AVERAGE(OFFSET($DS$3,0,0,'Données projet'!$E$14+1,1))-AVERAGE(OFFSET($H$3,0,0,'Données projet'!$E$14+1,1))</f>
        <v>542.90832990875208</v>
      </c>
      <c r="DU32" s="60">
        <f t="shared" si="44"/>
        <v>304.94365539329362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9.64</v>
      </c>
      <c r="EJ32" s="13">
        <f>IF('Données projet'!$A$192&gt;35,EJ31+EI32-ER31,IF(A32&lt;'Données projet'!$A$192,$EG$205^A32,IF(A32='Données projet'!$A$192,'Données projet'!$B$192,EJ31+EI32-ER31)))</f>
        <v>124.86000000000001</v>
      </c>
      <c r="EK32" s="18">
        <f>EJ32*VLOOKUP('Données projet'!$B$15,Paramètres!$A$1:$I$89,3,0)*VLOOKUP('Données projet'!$B$15,Paramètres!$A$1:$I$89,5,0)</f>
        <v>99.338616000000016</v>
      </c>
      <c r="EL32" s="14">
        <f t="shared" si="45"/>
        <v>26.804371129790344</v>
      </c>
      <c r="EM32" s="22">
        <f t="shared" si="19"/>
        <v>219.69903591771822</v>
      </c>
      <c r="EN32" s="60">
        <f t="shared" si="20"/>
        <v>456.62693324049405</v>
      </c>
      <c r="EO32" s="60">
        <f ca="1">AVERAGE(OFFSET($EN$3,0,0,'Données projet'!$E$15+1,1))-AVERAGE(OFFSET($H$3,0,0,'Données projet'!$E$15+1,1))</f>
        <v>273.72403794510291</v>
      </c>
      <c r="EP32" s="60">
        <f t="shared" si="46"/>
        <v>292.00185554564109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11.5</v>
      </c>
      <c r="FE32" s="13">
        <f>IF('Données projet'!$A$218&gt;35,FE31+FD32-FM31,IF(A32&lt;'Données projet'!$A$218,$FB$205^A32,IF(A32='Données projet'!$A$218,'Données projet'!$B$218,FE31+FD32-FM31)))</f>
        <v>131.99999999999994</v>
      </c>
      <c r="FF32" s="18">
        <f>FE32*VLOOKUP('Données projet'!$B$16,Paramètres!$A$1:$I$89,3,0)*VLOOKUP('Données projet'!$B$16,Paramètres!$A$1:$I$89,5,0)</f>
        <v>102.95999999999997</v>
      </c>
      <c r="FG32" s="14">
        <f t="shared" si="47"/>
        <v>27.665975080374633</v>
      </c>
      <c r="FH32" s="22">
        <f t="shared" si="22"/>
        <v>227.50690659831903</v>
      </c>
      <c r="FI32" s="60">
        <f t="shared" si="23"/>
        <v>464.43480392109484</v>
      </c>
      <c r="FJ32" s="60">
        <f ca="1">AVERAGE(OFFSET($FI$3,0,0,'Données projet'!$E$16+1,1))-AVERAGE(OFFSET($H$3,0,0,'Données projet'!$E$16+1,1))</f>
        <v>309.21625451786218</v>
      </c>
      <c r="FK32" s="60">
        <f t="shared" si="48"/>
        <v>302.59481222418219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15.74200000000001</v>
      </c>
      <c r="FZ32" s="13">
        <f>IF('Données projet'!$A$244&gt;35,FZ31+FY32-GH31,IF(A32&lt;'Données projet'!$A$244,$FW$205^A32,IF(A32='Données projet'!$A$244,'Données projet'!$B$244,FZ31+FY32-GH31)))</f>
        <v>195.32999999999998</v>
      </c>
      <c r="GA32" s="18">
        <f>FZ32*VLOOKUP('Données projet'!$B$17,Paramètres!$A$1:$I$89,3,0)*VLOOKUP('Données projet'!$B$17,Paramètres!$A$1:$I$89,5,0)</f>
        <v>116.80734</v>
      </c>
      <c r="GB32" s="14">
        <f t="shared" si="49"/>
        <v>30.929199175797681</v>
      </c>
      <c r="GC32" s="22">
        <f t="shared" si="25"/>
        <v>257.30780573118091</v>
      </c>
      <c r="GD32" s="60">
        <f t="shared" si="26"/>
        <v>494.23570305395674</v>
      </c>
      <c r="GE32" s="60">
        <f ca="1">AVERAGE(OFFSET($GD$3,0,0,'Données projet'!$E$17+1,1))-AVERAGE(OFFSET($H$3,0,0,'Données projet'!$E$17+1,1))</f>
        <v>216.36762889365235</v>
      </c>
      <c r="GF32" s="60">
        <f t="shared" si="50"/>
        <v>333.29599352215496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13.770984853902233</v>
      </c>
      <c r="GM32" s="23">
        <f>EXP(-LN(2)/25)*GM31+(1-EXP(-LN(2)/25))/(LN(2)/25)*Calculateur!GH32*Calculateur!GJ32*VLOOKUP('Données projet'!$B$17,Paramètres!$A$1:$I$89,3,0)*0.475*44/12</f>
        <v>10.023506956292973</v>
      </c>
      <c r="GN32" s="23">
        <f>EXP(-LN(2)/2)*GN31+(1-EXP(-LN(2)/2))/(LN(2)/2)*GH32*GK32*VLOOKUP('Données projet'!$B$17,Paramètres!$A$1:$I$89,3,0)*0.475*44/12</f>
        <v>4.1357653111536079</v>
      </c>
      <c r="GO32" s="23">
        <f t="shared" si="27"/>
        <v>27.930257121348813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4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101.556</v>
      </c>
      <c r="P33" s="14">
        <f t="shared" si="33"/>
        <v>27.332359320696909</v>
      </c>
      <c r="Q33" s="22">
        <f t="shared" si="2"/>
        <v>224.48055915021379</v>
      </c>
      <c r="R33" s="60">
        <f t="shared" si="0"/>
        <v>463.58798408325578</v>
      </c>
      <c r="S33" s="60">
        <f ca="1">AVERAGE(OFFSET($R$3,0,0,'Données projet'!$E$9+1,1))-AVERAGE(OFFSET($H$3,0,0,'Données projet'!$E$9+1,1))</f>
        <v>496.33873798282525</v>
      </c>
      <c r="T33" s="60">
        <f t="shared" si="34"/>
        <v>280.25465074992246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103.27692307692307</v>
      </c>
      <c r="AG33" s="13">
        <f>VLOOKUP(A33,'Données projet'!$A$61:$I$81,9,0)</f>
        <v>3.4425641025641025</v>
      </c>
      <c r="AH33" s="13">
        <f t="array" ref="AH33">INDEX(AG:AG,MIN(IF(ISNUMBER(AG33:AG229),ROW(AG33:AG229),"")))</f>
        <v>3.4425641025641025</v>
      </c>
      <c r="AI33" s="14">
        <f>IF('Données projet'!$A$62&gt;35,AI32+AH33-AQ32,IF(A33&lt;'Données projet'!$A$62,$AF$205^A33,IF(A33='Données projet'!$A$62,'Données projet'!$B$62,AI32+AH33-AQ32)))</f>
        <v>103.27692307692307</v>
      </c>
      <c r="AJ33" s="14">
        <f>AI33*VLOOKUP('Données projet'!$B$10,Paramètres!$A$1:$I$89,3,0)*VLOOKUP('Données projet'!$B$10,Paramètres!$A$1:$I$89,5,0)</f>
        <v>48.333599999999997</v>
      </c>
      <c r="AK33" s="14">
        <f t="shared" si="35"/>
        <v>14.182559301951969</v>
      </c>
      <c r="AL33" s="22">
        <f t="shared" si="4"/>
        <v>108.88231078423301</v>
      </c>
      <c r="AM33" s="60">
        <f t="shared" si="5"/>
        <v>347.98973571727498</v>
      </c>
      <c r="AN33" s="60">
        <f ca="1">AVERAGE(OFFSET($AM$3,0,0,'Données projet'!$E$10+1,1))-AVERAGE(OFFSET($H$3,0,0,'Données projet'!$E$10+1,1))</f>
        <v>277.7918215389401</v>
      </c>
      <c r="AO33" s="60">
        <f t="shared" si="36"/>
        <v>164.65640238394164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85.897435897435898</v>
      </c>
      <c r="BB33" s="13">
        <f>VLOOKUP(A33,'Données projet'!$A$87:$I$107,9,0)</f>
        <v>6.0256410256410247</v>
      </c>
      <c r="BC33" s="13">
        <f t="array" ref="BC33">INDEX(BB:BB,MIN(IF(ISNUMBER(BB33:BB229),ROW(BB33:BB229),"")))</f>
        <v>6.0256410256410247</v>
      </c>
      <c r="BD33" s="13">
        <f>IF('Données projet'!$A$88&gt;35,BD32+BC33-BL32,IF(A33&lt;'Données projet'!$A$88,$BA$205^A33,IF(A33='Données projet'!$A$88,'Données projet'!$B$88,BD32+BC33-BL32)))</f>
        <v>85.897435897435869</v>
      </c>
      <c r="BE33" s="14">
        <f>BD33*VLOOKUP('Données projet'!$B$11,Paramètres!$A$1:$I$89,3,0)*VLOOKUP('Données projet'!$B$11,Paramètres!$A$1:$I$89,5,0)</f>
        <v>81.739999999999966</v>
      </c>
      <c r="BF33" s="14">
        <f t="shared" si="37"/>
        <v>22.562088941798432</v>
      </c>
      <c r="BG33" s="22">
        <f t="shared" si="7"/>
        <v>181.6594715736322</v>
      </c>
      <c r="BH33" s="60">
        <f t="shared" si="8"/>
        <v>420.76689650667419</v>
      </c>
      <c r="BI33" s="60">
        <f ca="1">AVERAGE(OFFSET($BH$3,0,0,'Données projet'!$E$11+1,1))-AVERAGE(OFFSET($H$3,0,0,'Données projet'!$E$11+1,1))</f>
        <v>366.21371543563254</v>
      </c>
      <c r="BJ33" s="60">
        <f t="shared" si="38"/>
        <v>237.43356317334084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107.05128205128204</v>
      </c>
      <c r="BW33" s="13">
        <f>VLOOKUP(A33,'Données projet'!$A$113:$I$133,9,0)</f>
        <v>6.7948717948717956</v>
      </c>
      <c r="BX33" s="13">
        <f t="array" ref="BX33">INDEX(BW:BW,MIN(IF(ISNUMBER(BW33:BW229),ROW(BW33:BW229),"")))</f>
        <v>6.7948717948717956</v>
      </c>
      <c r="BY33" s="13">
        <f>IF('Données projet'!$A$114&gt;35,BY32+BX33-CG32,IF(A33&lt;'Données projet'!$A$114,$BV$205^A33,IF(A33='Données projet'!$A$114,'Données projet'!$B$114,BY32+BX33-CG32)))</f>
        <v>107.05128205128202</v>
      </c>
      <c r="BZ33" s="14">
        <f>BY33*VLOOKUP('Données projet'!$B$12,Paramètres!$A$1:$I$89,3,0)*VLOOKUP('Données projet'!$B$12,Paramètres!$A$1:$I$89,5,0)</f>
        <v>111.88999999999997</v>
      </c>
      <c r="CA33" s="14">
        <f t="shared" si="39"/>
        <v>29.775840844916228</v>
      </c>
      <c r="CB33" s="22">
        <f t="shared" si="10"/>
        <v>246.73467280489569</v>
      </c>
      <c r="CC33" s="60">
        <f t="shared" si="11"/>
        <v>485.84209773793771</v>
      </c>
      <c r="CD33" s="60">
        <f ca="1">AVERAGE(OFFSET($CC$3,0,0,'Données projet'!$E$12+1,1))-AVERAGE(OFFSET($H$3,0,0,'Données projet'!$E$12+1,1))</f>
        <v>530.79860063513229</v>
      </c>
      <c r="CE33" s="60">
        <f t="shared" si="40"/>
        <v>302.50876440460434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95.004000000000005</v>
      </c>
      <c r="CV33" s="14">
        <f t="shared" si="41"/>
        <v>25.768242550600785</v>
      </c>
      <c r="CW33" s="22">
        <f t="shared" si="13"/>
        <v>210.34498910896306</v>
      </c>
      <c r="CX33" s="60">
        <f t="shared" si="14"/>
        <v>449.45241404200505</v>
      </c>
      <c r="CY33" s="60">
        <f ca="1">AVERAGE(OFFSET($CX$3,0,0,'Données projet'!$E$13+1,1))-AVERAGE(OFFSET($H$3,0,0,'Données projet'!$E$13+1,1))</f>
        <v>469.67944008675863</v>
      </c>
      <c r="CZ33" s="60">
        <f t="shared" si="42"/>
        <v>266.11908070867173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105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105</v>
      </c>
      <c r="DP33" s="18">
        <f>DO33*VLOOKUP('Données projet'!$B$14,Paramètres!$A$1:$I$89,3,0)*VLOOKUP('Données projet'!$B$14,Paramètres!$A$1:$I$89,5,0)</f>
        <v>113.02199999999999</v>
      </c>
      <c r="DQ33" s="14">
        <f t="shared" si="43"/>
        <v>30.041864379091852</v>
      </c>
      <c r="DR33" s="22">
        <f t="shared" si="16"/>
        <v>249.16956379358496</v>
      </c>
      <c r="DS33" s="60">
        <f t="shared" si="17"/>
        <v>488.27698872662694</v>
      </c>
      <c r="DT33" s="60">
        <f ca="1">AVERAGE(OFFSET($DS$3,0,0,'Données projet'!$E$14+1,1))-AVERAGE(OFFSET($H$3,0,0,'Données projet'!$E$14+1,1))</f>
        <v>542.90832990875208</v>
      </c>
      <c r="DU33" s="60">
        <f t="shared" si="44"/>
        <v>304.94365539329362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134.5</v>
      </c>
      <c r="EH33" s="13">
        <f>VLOOKUP(A33,'Données projet'!$A$191:$I$211,9,0)</f>
        <v>9.64</v>
      </c>
      <c r="EI33" s="13">
        <f t="array" ref="EI33">INDEX(EH:EH,MIN(IF(ISNUMBER(EH33:EH229),ROW(EH33:EH229),"")))</f>
        <v>9.64</v>
      </c>
      <c r="EJ33" s="13">
        <f>IF('Données projet'!$A$192&gt;35,EJ32+EI33-ER32,IF(A33&lt;'Données projet'!$A$192,$EG$205^A33,IF(A33='Données projet'!$A$192,'Données projet'!$B$192,EJ32+EI33-ER32)))</f>
        <v>134.5</v>
      </c>
      <c r="EK33" s="18">
        <f>EJ33*VLOOKUP('Données projet'!$B$15,Paramètres!$A$1:$I$89,3,0)*VLOOKUP('Données projet'!$B$15,Paramètres!$A$1:$I$89,5,0)</f>
        <v>107.0082</v>
      </c>
      <c r="EL33" s="14">
        <f t="shared" si="45"/>
        <v>28.624965901970803</v>
      </c>
      <c r="EM33" s="22">
        <f t="shared" si="19"/>
        <v>236.22776394593248</v>
      </c>
      <c r="EN33" s="60">
        <f t="shared" si="20"/>
        <v>475.33518887897446</v>
      </c>
      <c r="EO33" s="60">
        <f ca="1">AVERAGE(OFFSET($EN$3,0,0,'Données projet'!$E$15+1,1))-AVERAGE(OFFSET($H$3,0,0,'Données projet'!$E$15+1,1))</f>
        <v>273.72403794510291</v>
      </c>
      <c r="EP33" s="60">
        <f t="shared" si="46"/>
        <v>292.00185554564109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42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11.5</v>
      </c>
      <c r="FE33" s="13">
        <f>IF('Données projet'!$A$218&gt;35,FE32+FD33-FM32,IF(A33&lt;'Données projet'!$A$218,$FB$205^A33,IF(A33='Données projet'!$A$218,'Données projet'!$B$218,FE32+FD33-FM32)))</f>
        <v>143.49999999999994</v>
      </c>
      <c r="FF33" s="18">
        <f>FE33*VLOOKUP('Données projet'!$B$16,Paramètres!$A$1:$I$89,3,0)*VLOOKUP('Données projet'!$B$16,Paramètres!$A$1:$I$89,5,0)</f>
        <v>111.92999999999996</v>
      </c>
      <c r="FG33" s="14">
        <f t="shared" si="47"/>
        <v>29.785246291563833</v>
      </c>
      <c r="FH33" s="22">
        <f t="shared" si="22"/>
        <v>246.82072062447358</v>
      </c>
      <c r="FI33" s="60">
        <f t="shared" si="23"/>
        <v>485.92814555751556</v>
      </c>
      <c r="FJ33" s="60">
        <f ca="1">AVERAGE(OFFSET($FI$3,0,0,'Données projet'!$E$16+1,1))-AVERAGE(OFFSET($H$3,0,0,'Données projet'!$E$16+1,1))</f>
        <v>309.21625451786218</v>
      </c>
      <c r="FK33" s="60">
        <f t="shared" si="48"/>
        <v>302.59481222418219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211.072</v>
      </c>
      <c r="FX33" s="13">
        <f>VLOOKUP(A33,'Données projet'!$A$243:$I$263,9,0)</f>
        <v>15.74200000000001</v>
      </c>
      <c r="FY33" s="13">
        <f t="array" ref="FY33">INDEX(FX:FX,MIN(IF(ISNUMBER(FX33:FX229),ROW(FX33:FX229),"")))</f>
        <v>15.74200000000001</v>
      </c>
      <c r="FZ33" s="13">
        <f>IF('Données projet'!$A$244&gt;35,FZ32+FY33-GH32,IF(A33&lt;'Données projet'!$A$244,$FW$205^A33,IF(A33='Données projet'!$A$244,'Données projet'!$B$244,FZ32+FY33-GH32)))</f>
        <v>211.072</v>
      </c>
      <c r="GA33" s="18">
        <f>FZ33*VLOOKUP('Données projet'!$B$17,Paramètres!$A$1:$I$89,3,0)*VLOOKUP('Données projet'!$B$17,Paramètres!$A$1:$I$89,5,0)</f>
        <v>126.221056</v>
      </c>
      <c r="GB33" s="14">
        <f t="shared" si="49"/>
        <v>33.121662807146215</v>
      </c>
      <c r="GC33" s="22">
        <f t="shared" si="25"/>
        <v>277.52190192244632</v>
      </c>
      <c r="GD33" s="60">
        <f t="shared" si="26"/>
        <v>516.62932685548833</v>
      </c>
      <c r="GE33" s="60">
        <f ca="1">AVERAGE(OFFSET($GD$3,0,0,'Données projet'!$E$17+1,1))-AVERAGE(OFFSET($H$3,0,0,'Données projet'!$E$17+1,1))</f>
        <v>216.36762889365235</v>
      </c>
      <c r="GF33" s="60">
        <f t="shared" si="50"/>
        <v>333.29599352215496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13.500944240388591</v>
      </c>
      <c r="GM33" s="23">
        <f>EXP(-LN(2)/25)*GM32+(1-EXP(-LN(2)/25))/(LN(2)/25)*Calculateur!GH33*Calculateur!GJ33*VLOOKUP('Données projet'!$B$17,Paramètres!$A$1:$I$89,3,0)*0.475*44/12</f>
        <v>9.7494136314598201</v>
      </c>
      <c r="GN33" s="23">
        <f>EXP(-LN(2)/2)*GN32+(1-EXP(-LN(2)/2))/(LN(2)/2)*GH33*GK33*VLOOKUP('Données projet'!$B$17,Paramètres!$A$1:$I$89,3,0)*0.475*44/12</f>
        <v>2.924427696912808</v>
      </c>
      <c r="GO33" s="23">
        <f t="shared" si="27"/>
        <v>26.174785568761219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4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81.244799999999998</v>
      </c>
      <c r="P34" s="14">
        <f t="shared" si="33"/>
        <v>22.441270156928962</v>
      </c>
      <c r="Q34" s="22">
        <f t="shared" si="2"/>
        <v>180.58657218998462</v>
      </c>
      <c r="R34" s="60">
        <f t="shared" si="0"/>
        <v>420.63469540280221</v>
      </c>
      <c r="S34" s="60">
        <f ca="1">AVERAGE(OFFSET($R$3,0,0,'Données projet'!$E$9+1,1))-AVERAGE(OFFSET($H$3,0,0,'Données projet'!$E$9+1,1))</f>
        <v>496.33873798282525</v>
      </c>
      <c r="T34" s="60">
        <f t="shared" si="34"/>
        <v>280.25465074992246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8.9230769230769198</v>
      </c>
      <c r="AI34" s="14">
        <f>IF('Données projet'!$A$62&gt;35,AI33+AH34-AQ33,IF(A34&lt;'Données projet'!$A$62,$AF$205^A34,IF(A34='Données projet'!$A$62,'Données projet'!$B$62,AI33+AH34-AQ33)))</f>
        <v>112.19999999999999</v>
      </c>
      <c r="AJ34" s="14">
        <f>AI34*VLOOKUP('Données projet'!$B$10,Paramètres!$A$1:$I$89,3,0)*VLOOKUP('Données projet'!$B$10,Paramètres!$A$1:$I$89,5,0)</f>
        <v>52.509599999999999</v>
      </c>
      <c r="AK34" s="14">
        <f t="shared" si="35"/>
        <v>15.260016001659478</v>
      </c>
      <c r="AL34" s="22">
        <f t="shared" si="4"/>
        <v>118.03208120289025</v>
      </c>
      <c r="AM34" s="60">
        <f t="shared" si="5"/>
        <v>358.08020441570784</v>
      </c>
      <c r="AN34" s="60">
        <f ca="1">AVERAGE(OFFSET($AM$3,0,0,'Données projet'!$E$10+1,1))-AVERAGE(OFFSET($H$3,0,0,'Données projet'!$E$10+1,1))</f>
        <v>277.7918215389401</v>
      </c>
      <c r="AO34" s="60">
        <f t="shared" si="36"/>
        <v>164.65640238394164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6.0256410256410247</v>
      </c>
      <c r="BD34" s="13">
        <f>IF('Données projet'!$A$88&gt;35,BD33+BC34-BL33,IF(A34&lt;'Données projet'!$A$88,$BA$205^A34,IF(A34='Données projet'!$A$88,'Données projet'!$B$88,BD33+BC34-BL33)))</f>
        <v>91.923076923076891</v>
      </c>
      <c r="BE34" s="14">
        <f>BD34*VLOOKUP('Données projet'!$B$11,Paramètres!$A$1:$I$89,3,0)*VLOOKUP('Données projet'!$B$11,Paramètres!$A$1:$I$89,5,0)</f>
        <v>87.473999999999975</v>
      </c>
      <c r="BF34" s="14">
        <f t="shared" si="37"/>
        <v>23.955008936089296</v>
      </c>
      <c r="BG34" s="22">
        <f t="shared" si="7"/>
        <v>194.07219056368885</v>
      </c>
      <c r="BH34" s="60">
        <f t="shared" si="8"/>
        <v>434.12031377650641</v>
      </c>
      <c r="BI34" s="60">
        <f ca="1">AVERAGE(OFFSET($BH$3,0,0,'Données projet'!$E$11+1,1))-AVERAGE(OFFSET($H$3,0,0,'Données projet'!$E$11+1,1))</f>
        <v>366.21371543563254</v>
      </c>
      <c r="BJ34" s="60">
        <f t="shared" si="38"/>
        <v>237.43356317334084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6.7948717948717956</v>
      </c>
      <c r="BY34" s="13">
        <f>IF('Données projet'!$A$114&gt;35,BY33+BX34-CG33,IF(A34&lt;'Données projet'!$A$114,$BV$205^A34,IF(A34='Données projet'!$A$114,'Données projet'!$B$114,BY33+BX34-CG33)))</f>
        <v>113.84615384615381</v>
      </c>
      <c r="BZ34" s="14">
        <f>BY34*VLOOKUP('Données projet'!$B$12,Paramètres!$A$1:$I$89,3,0)*VLOOKUP('Données projet'!$B$12,Paramètres!$A$1:$I$89,5,0)</f>
        <v>118.99199999999998</v>
      </c>
      <c r="CA34" s="14">
        <f t="shared" si="39"/>
        <v>31.439784551060573</v>
      </c>
      <c r="CB34" s="22">
        <f t="shared" si="10"/>
        <v>262.0020247597638</v>
      </c>
      <c r="CC34" s="60">
        <f t="shared" si="11"/>
        <v>502.05014797258139</v>
      </c>
      <c r="CD34" s="60">
        <f ca="1">AVERAGE(OFFSET($CC$3,0,0,'Données projet'!$E$12+1,1))-AVERAGE(OFFSET($H$3,0,0,'Données projet'!$E$12+1,1))</f>
        <v>530.79860063513229</v>
      </c>
      <c r="CE34" s="60">
        <f t="shared" si="40"/>
        <v>302.50876440460434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76.003200000000007</v>
      </c>
      <c r="CV34" s="14">
        <f t="shared" si="41"/>
        <v>21.157049992000456</v>
      </c>
      <c r="CW34" s="22">
        <f t="shared" si="13"/>
        <v>169.22076873606747</v>
      </c>
      <c r="CX34" s="60">
        <f t="shared" si="14"/>
        <v>409.26889194888503</v>
      </c>
      <c r="CY34" s="60">
        <f ca="1">AVERAGE(OFFSET($CX$3,0,0,'Données projet'!$E$13+1,1))-AVERAGE(OFFSET($H$3,0,0,'Données projet'!$E$13+1,1))</f>
        <v>469.67944008675863</v>
      </c>
      <c r="CZ34" s="60">
        <f t="shared" si="42"/>
        <v>266.11908070867173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84</v>
      </c>
      <c r="DP34" s="18">
        <f>DO34*VLOOKUP('Données projet'!$B$14,Paramètres!$A$1:$I$89,3,0)*VLOOKUP('Données projet'!$B$14,Paramètres!$A$1:$I$89,5,0)</f>
        <v>90.417599999999993</v>
      </c>
      <c r="DQ34" s="14">
        <f t="shared" si="43"/>
        <v>24.665912907068826</v>
      </c>
      <c r="DR34" s="22">
        <f t="shared" si="16"/>
        <v>200.43711831314488</v>
      </c>
      <c r="DS34" s="60">
        <f t="shared" si="17"/>
        <v>440.48524152596246</v>
      </c>
      <c r="DT34" s="60">
        <f ca="1">AVERAGE(OFFSET($DS$3,0,0,'Données projet'!$E$14+1,1))-AVERAGE(OFFSET($H$3,0,0,'Données projet'!$E$14+1,1))</f>
        <v>542.90832990875208</v>
      </c>
      <c r="DU34" s="60">
        <f t="shared" si="44"/>
        <v>304.94365539329362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8.7199999999999989</v>
      </c>
      <c r="EJ34" s="13">
        <f>IF('Données projet'!$A$192&gt;35,EJ33+EI34-ER33,IF(A34&lt;'Données projet'!$A$192,$EG$205^A34,IF(A34='Données projet'!$A$192,'Données projet'!$B$192,EJ33+EI34-ER33)))</f>
        <v>101.22</v>
      </c>
      <c r="EK34" s="18">
        <f>EJ34*VLOOKUP('Données projet'!$B$15,Paramètres!$A$1:$I$89,3,0)*VLOOKUP('Données projet'!$B$15,Paramètres!$A$1:$I$89,5,0)</f>
        <v>80.530631999999997</v>
      </c>
      <c r="EL34" s="14">
        <f t="shared" si="45"/>
        <v>22.266876449418945</v>
      </c>
      <c r="EM34" s="22">
        <f t="shared" si="19"/>
        <v>179.03899388273797</v>
      </c>
      <c r="EN34" s="60">
        <f t="shared" si="20"/>
        <v>419.08711709555553</v>
      </c>
      <c r="EO34" s="60">
        <f ca="1">AVERAGE(OFFSET($EN$3,0,0,'Données projet'!$E$15+1,1))-AVERAGE(OFFSET($H$3,0,0,'Données projet'!$E$15+1,1))</f>
        <v>273.72403794510291</v>
      </c>
      <c r="EP34" s="60">
        <f t="shared" si="46"/>
        <v>292.00185554564109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>
        <f>VLOOKUP(A34,'Données projet'!$A$217:$I$237,2,0)</f>
        <v>155</v>
      </c>
      <c r="FC34" s="13">
        <f>VLOOKUP(A34,'Données projet'!$A$217:$I$237,9,0)</f>
        <v>11.5</v>
      </c>
      <c r="FD34" s="13">
        <f t="array" ref="FD34">INDEX(FC:FC,MIN(IF(ISNUMBER(FC34:FC230),ROW(FC34:FC230),"")))</f>
        <v>11.5</v>
      </c>
      <c r="FE34" s="13">
        <f>IF('Données projet'!$A$218&gt;35,FE33+FD34-FM33,IF(A34&lt;'Données projet'!$A$218,$FB$205^A34,IF(A34='Données projet'!$A$218,'Données projet'!$B$218,FE33+FD34-FM33)))</f>
        <v>154.99999999999994</v>
      </c>
      <c r="FF34" s="18">
        <f>FE34*VLOOKUP('Données projet'!$B$16,Paramètres!$A$1:$I$89,3,0)*VLOOKUP('Données projet'!$B$16,Paramètres!$A$1:$I$89,5,0)</f>
        <v>120.89999999999996</v>
      </c>
      <c r="FG34" s="14">
        <f t="shared" si="47"/>
        <v>31.884818143351602</v>
      </c>
      <c r="FH34" s="22">
        <f t="shared" si="22"/>
        <v>266.10022493300397</v>
      </c>
      <c r="FI34" s="60">
        <f t="shared" si="23"/>
        <v>506.1483481458215</v>
      </c>
      <c r="FJ34" s="60">
        <f ca="1">AVERAGE(OFFSET($FI$3,0,0,'Données projet'!$E$16+1,1))-AVERAGE(OFFSET($H$3,0,0,'Données projet'!$E$16+1,1))</f>
        <v>309.21625451786218</v>
      </c>
      <c r="FK34" s="60">
        <f t="shared" si="48"/>
        <v>302.59481222418219</v>
      </c>
      <c r="FL34" s="16">
        <f>IF(ISNA(VLOOKUP(A34,'Données projet'!$A$217:$I$237,3,0)),0,VLOOKUP(A34,'Données projet'!$A$217:$I$237,3,0))</f>
        <v>3</v>
      </c>
      <c r="FM34" s="16">
        <f>IF(ISNA(VLOOKUP(A34,'Données projet'!$A$217:$I$237,4,0)),0,VLOOKUP(A34,'Données projet'!$A$217:$I$237,4,0))</f>
        <v>36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16.145750000000007</v>
      </c>
      <c r="FZ34" s="13">
        <f>IF('Données projet'!$A$244&gt;35,FZ33+FY34-GH33,IF(A34&lt;'Données projet'!$A$244,$FW$205^A34,IF(A34='Données projet'!$A$244,'Données projet'!$B$244,FZ33+FY34-GH33)))</f>
        <v>227.21775000000002</v>
      </c>
      <c r="GA34" s="18">
        <f>FZ34*VLOOKUP('Données projet'!$B$17,Paramètres!$A$1:$I$89,3,0)*VLOOKUP('Données projet'!$B$17,Paramètres!$A$1:$I$89,5,0)</f>
        <v>135.87621450000003</v>
      </c>
      <c r="GB34" s="14">
        <f t="shared" si="49"/>
        <v>35.350666593853582</v>
      </c>
      <c r="GC34" s="22">
        <f t="shared" si="25"/>
        <v>298.22015123846171</v>
      </c>
      <c r="GD34" s="60">
        <f t="shared" si="26"/>
        <v>538.26827445127924</v>
      </c>
      <c r="GE34" s="60">
        <f ca="1">AVERAGE(OFFSET($GD$3,0,0,'Données projet'!$E$17+1,1))-AVERAGE(OFFSET($H$3,0,0,'Données projet'!$E$17+1,1))</f>
        <v>216.36762889365235</v>
      </c>
      <c r="GF34" s="60">
        <f t="shared" si="50"/>
        <v>333.29599352215496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13.236198958597443</v>
      </c>
      <c r="GM34" s="23">
        <f>EXP(-LN(2)/25)*GM33+(1-EXP(-LN(2)/25))/(LN(2)/25)*Calculateur!GH34*Calculateur!GJ34*VLOOKUP('Données projet'!$B$17,Paramètres!$A$1:$I$89,3,0)*0.475*44/12</f>
        <v>9.4828154030081713</v>
      </c>
      <c r="GN34" s="23">
        <f>EXP(-LN(2)/2)*GN33+(1-EXP(-LN(2)/2))/(LN(2)/2)*GH34*GK34*VLOOKUP('Données projet'!$B$17,Paramètres!$A$1:$I$89,3,0)*0.475*44/12</f>
        <v>2.0678826555768044</v>
      </c>
      <c r="GO34" s="23">
        <f t="shared" si="27"/>
        <v>24.786897017182419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4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88.982399999999998</v>
      </c>
      <c r="P35" s="14">
        <f t="shared" si="33"/>
        <v>24.31964219550628</v>
      </c>
      <c r="Q35" s="22">
        <f t="shared" ref="Q35:Q66" si="53">(O35+P35)*0.475*44/12</f>
        <v>197.3343901571734</v>
      </c>
      <c r="R35" s="60">
        <f t="shared" si="0"/>
        <v>438.30689263769875</v>
      </c>
      <c r="S35" s="60">
        <f ca="1">AVERAGE(OFFSET($R$3,0,0,'Données projet'!$E$9+1,1))-AVERAGE(OFFSET($H$3,0,0,'Données projet'!$E$9+1,1))</f>
        <v>496.33873798282525</v>
      </c>
      <c r="T35" s="60">
        <f t="shared" si="34"/>
        <v>280.25465074992246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8.9230769230769198</v>
      </c>
      <c r="AI35" s="14">
        <f>IF('Données projet'!$A$62&gt;35,AI34+AH35-AQ34,IF(A35&lt;'Données projet'!$A$62,$AF$205^A35,IF(A35='Données projet'!$A$62,'Données projet'!$B$62,AI34+AH35-AQ34)))</f>
        <v>121.12307692307691</v>
      </c>
      <c r="AJ35" s="14">
        <f>AI35*VLOOKUP('Données projet'!$B$10,Paramètres!$A$1:$I$89,3,0)*VLOOKUP('Données projet'!$B$10,Paramètres!$A$1:$I$89,5,0)</f>
        <v>56.685599999999994</v>
      </c>
      <c r="AK35" s="14">
        <f t="shared" si="35"/>
        <v>16.327533552386551</v>
      </c>
      <c r="AL35" s="22">
        <f t="shared" si="4"/>
        <v>127.16454093707324</v>
      </c>
      <c r="AM35" s="60">
        <f t="shared" si="5"/>
        <v>368.13704341759853</v>
      </c>
      <c r="AN35" s="60">
        <f ca="1">AVERAGE(OFFSET($AM$3,0,0,'Données projet'!$E$10+1,1))-AVERAGE(OFFSET($H$3,0,0,'Données projet'!$E$10+1,1))</f>
        <v>277.7918215389401</v>
      </c>
      <c r="AO35" s="60">
        <f t="shared" si="36"/>
        <v>164.65640238394164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6.0256410256410247</v>
      </c>
      <c r="BD35" s="13">
        <f>IF('Données projet'!$A$88&gt;35,BD34+BC35-BL34,IF(A35&lt;'Données projet'!$A$88,$BA$205^A35,IF(A35='Données projet'!$A$88,'Données projet'!$B$88,BD34+BC35-BL34)))</f>
        <v>97.948717948717913</v>
      </c>
      <c r="BE35" s="14">
        <f>BD35*VLOOKUP('Données projet'!$B$11,Paramètres!$A$1:$I$89,3,0)*VLOOKUP('Données projet'!$B$11,Paramètres!$A$1:$I$89,5,0)</f>
        <v>93.20799999999997</v>
      </c>
      <c r="BF35" s="14">
        <f t="shared" si="37"/>
        <v>25.337333212581303</v>
      </c>
      <c r="BG35" s="22">
        <f t="shared" si="7"/>
        <v>206.46645534524569</v>
      </c>
      <c r="BH35" s="60">
        <f t="shared" si="8"/>
        <v>447.43895782577101</v>
      </c>
      <c r="BI35" s="60">
        <f ca="1">AVERAGE(OFFSET($BH$3,0,0,'Données projet'!$E$11+1,1))-AVERAGE(OFFSET($H$3,0,0,'Données projet'!$E$11+1,1))</f>
        <v>366.21371543563254</v>
      </c>
      <c r="BJ35" s="60">
        <f t="shared" si="38"/>
        <v>237.43356317334084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6.7948717948717956</v>
      </c>
      <c r="BY35" s="13">
        <f>IF('Données projet'!$A$114&gt;35,BY34+BX35-CG34,IF(A35&lt;'Données projet'!$A$114,$BV$205^A35,IF(A35='Données projet'!$A$114,'Données projet'!$B$114,BY34+BX35-CG34)))</f>
        <v>120.64102564102561</v>
      </c>
      <c r="BZ35" s="14">
        <f>BY35*VLOOKUP('Données projet'!$B$12,Paramètres!$A$1:$I$89,3,0)*VLOOKUP('Données projet'!$B$12,Paramètres!$A$1:$I$89,5,0)</f>
        <v>126.09399999999998</v>
      </c>
      <c r="CA35" s="14">
        <f t="shared" si="39"/>
        <v>33.092201184673563</v>
      </c>
      <c r="CB35" s="22">
        <f t="shared" si="10"/>
        <v>277.24930039663974</v>
      </c>
      <c r="CC35" s="60">
        <f t="shared" si="11"/>
        <v>518.22180287716503</v>
      </c>
      <c r="CD35" s="60">
        <f ca="1">AVERAGE(OFFSET($CC$3,0,0,'Données projet'!$E$12+1,1))-AVERAGE(OFFSET($H$3,0,0,'Données projet'!$E$12+1,1))</f>
        <v>530.79860063513229</v>
      </c>
      <c r="CE35" s="60">
        <f t="shared" si="40"/>
        <v>302.50876440460434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83.241600000000005</v>
      </c>
      <c r="CV35" s="14">
        <f t="shared" si="41"/>
        <v>22.927930643846508</v>
      </c>
      <c r="CW35" s="22">
        <f t="shared" si="13"/>
        <v>184.91193253803269</v>
      </c>
      <c r="CX35" s="60">
        <f t="shared" si="14"/>
        <v>425.88443501855801</v>
      </c>
      <c r="CY35" s="60">
        <f ca="1">AVERAGE(OFFSET($CX$3,0,0,'Données projet'!$E$13+1,1))-AVERAGE(OFFSET($H$3,0,0,'Données projet'!$E$13+1,1))</f>
        <v>469.67944008675863</v>
      </c>
      <c r="CZ35" s="60">
        <f t="shared" si="42"/>
        <v>266.11908070867173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92</v>
      </c>
      <c r="DP35" s="18">
        <f>DO35*VLOOKUP('Données projet'!$B$14,Paramètres!$A$1:$I$89,3,0)*VLOOKUP('Données projet'!$B$14,Paramètres!$A$1:$I$89,5,0)</f>
        <v>99.028800000000004</v>
      </c>
      <c r="DQ35" s="14">
        <f t="shared" si="43"/>
        <v>26.730491283721712</v>
      </c>
      <c r="DR35" s="22">
        <f t="shared" si="16"/>
        <v>219.03076565248196</v>
      </c>
      <c r="DS35" s="60">
        <f t="shared" si="17"/>
        <v>460.00326813300728</v>
      </c>
      <c r="DT35" s="60">
        <f ca="1">AVERAGE(OFFSET($DS$3,0,0,'Données projet'!$E$14+1,1))-AVERAGE(OFFSET($H$3,0,0,'Données projet'!$E$14+1,1))</f>
        <v>542.90832990875208</v>
      </c>
      <c r="DU35" s="60">
        <f t="shared" si="44"/>
        <v>304.94365539329362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8.7199999999999989</v>
      </c>
      <c r="EJ35" s="13">
        <f>IF('Données projet'!$A$192&gt;35,EJ34+EI35-ER34,IF(A35&lt;'Données projet'!$A$192,$EG$205^A35,IF(A35='Données projet'!$A$192,'Données projet'!$B$192,EJ34+EI35-ER34)))</f>
        <v>109.94</v>
      </c>
      <c r="EK35" s="18">
        <f>EJ35*VLOOKUP('Données projet'!$B$15,Paramètres!$A$1:$I$89,3,0)*VLOOKUP('Données projet'!$B$15,Paramètres!$A$1:$I$89,5,0)</f>
        <v>87.468264000000005</v>
      </c>
      <c r="EL35" s="14">
        <f t="shared" si="45"/>
        <v>23.953620954012063</v>
      </c>
      <c r="EM35" s="22">
        <f t="shared" si="19"/>
        <v>194.05978296157102</v>
      </c>
      <c r="EN35" s="60">
        <f t="shared" si="20"/>
        <v>435.03228544209634</v>
      </c>
      <c r="EO35" s="60">
        <f ca="1">AVERAGE(OFFSET($EN$3,0,0,'Données projet'!$E$15+1,1))-AVERAGE(OFFSET($H$3,0,0,'Données projet'!$E$15+1,1))</f>
        <v>273.72403794510291</v>
      </c>
      <c r="EP35" s="60">
        <f t="shared" si="46"/>
        <v>292.00185554564109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11.5</v>
      </c>
      <c r="FE35" s="13">
        <f>IF('Données projet'!$A$218&gt;35,FE34+FD35-FM34,IF(A35&lt;'Données projet'!$A$218,$FB$205^A35,IF(A35='Données projet'!$A$218,'Données projet'!$B$218,FE34+FD35-FM34)))</f>
        <v>130.49999999999994</v>
      </c>
      <c r="FF35" s="18">
        <f>FE35*VLOOKUP('Données projet'!$B$16,Paramètres!$A$1:$I$89,3,0)*VLOOKUP('Données projet'!$B$16,Paramètres!$A$1:$I$89,5,0)</f>
        <v>101.78999999999996</v>
      </c>
      <c r="FG35" s="14">
        <f t="shared" si="47"/>
        <v>27.38799903683508</v>
      </c>
      <c r="FH35" s="22">
        <f t="shared" si="22"/>
        <v>224.98501498915437</v>
      </c>
      <c r="FI35" s="60">
        <f t="shared" si="23"/>
        <v>465.95751746967971</v>
      </c>
      <c r="FJ35" s="60">
        <f ca="1">AVERAGE(OFFSET($FI$3,0,0,'Données projet'!$E$16+1,1))-AVERAGE(OFFSET($H$3,0,0,'Données projet'!$E$16+1,1))</f>
        <v>309.21625451786218</v>
      </c>
      <c r="FK35" s="60">
        <f t="shared" si="48"/>
        <v>302.59481222418219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>
        <f>VLOOKUP(A35,'Données projet'!$A$243:$I$263,2,0)</f>
        <v>243.36350000000002</v>
      </c>
      <c r="FX35" s="13">
        <f>VLOOKUP(A35,'Données projet'!$A$243:$I$263,9,0)</f>
        <v>16.145750000000007</v>
      </c>
      <c r="FY35" s="13">
        <f t="array" ref="FY35">INDEX(FX:FX,MIN(IF(ISNUMBER(FX35:FX231),ROW(FX35:FX231),"")))</f>
        <v>16.145750000000007</v>
      </c>
      <c r="FZ35" s="13">
        <f>IF('Données projet'!$A$244&gt;35,FZ34+FY35-GH34,IF(A35&lt;'Données projet'!$A$244,$FW$205^A35,IF(A35='Données projet'!$A$244,'Données projet'!$B$244,FZ34+FY35-GH34)))</f>
        <v>243.36350000000004</v>
      </c>
      <c r="GA35" s="18">
        <f>FZ35*VLOOKUP('Données projet'!$B$17,Paramètres!$A$1:$I$89,3,0)*VLOOKUP('Données projet'!$B$17,Paramètres!$A$1:$I$89,5,0)</f>
        <v>145.53137300000003</v>
      </c>
      <c r="GB35" s="14">
        <f t="shared" si="49"/>
        <v>37.561293545308772</v>
      </c>
      <c r="GC35" s="22">
        <f t="shared" si="25"/>
        <v>318.8863942330795</v>
      </c>
      <c r="GD35" s="60">
        <f t="shared" si="26"/>
        <v>559.85889671360485</v>
      </c>
      <c r="GE35" s="60">
        <f ca="1">AVERAGE(OFFSET($GD$3,0,0,'Données projet'!$E$17+1,1))-AVERAGE(OFFSET($H$3,0,0,'Données projet'!$E$17+1,1))</f>
        <v>216.36762889365235</v>
      </c>
      <c r="GF35" s="60">
        <f t="shared" si="50"/>
        <v>333.29599352215496</v>
      </c>
      <c r="GG35" s="16">
        <f>IF(ISNA(VLOOKUP(A35,'Données projet'!$A$243:$I$263,3,0)),0,VLOOKUP(A35,'Données projet'!$A$243:$I$263,3,0))</f>
        <v>4</v>
      </c>
      <c r="GH35" s="16">
        <f>IF(ISNA(VLOOKUP(A35,'Données projet'!$A$243:$I$263,4,0)),0,VLOOKUP(A35,'Données projet'!$A$243:$I$263,4,0))</f>
        <v>62.73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12.976645170303541</v>
      </c>
      <c r="GM35" s="23">
        <f>EXP(-LN(2)/25)*GM34+(1-EXP(-LN(2)/25))/(LN(2)/25)*Calculateur!GH35*Calculateur!GJ35*VLOOKUP('Données projet'!$B$17,Paramètres!$A$1:$I$89,3,0)*0.475*44/12</f>
        <v>9.2235073171333237</v>
      </c>
      <c r="GN35" s="23">
        <f>EXP(-LN(2)/2)*GN34+(1-EXP(-LN(2)/2))/(LN(2)/2)*GH35*GK35*VLOOKUP('Données projet'!$B$17,Paramètres!$A$1:$I$89,3,0)*0.475*44/12</f>
        <v>1.4622138484564045</v>
      </c>
      <c r="GO35" s="23">
        <f t="shared" si="27"/>
        <v>23.662366335893271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4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96.72</v>
      </c>
      <c r="P36" s="14">
        <f t="shared" si="33"/>
        <v>26.179072558792139</v>
      </c>
      <c r="Q36" s="22">
        <f t="shared" si="53"/>
        <v>214.04921803989632</v>
      </c>
      <c r="R36" s="60">
        <f t="shared" si="0"/>
        <v>455.93006387443705</v>
      </c>
      <c r="S36" s="60">
        <f ca="1">AVERAGE(OFFSET($R$3,0,0,'Données projet'!$E$9+1,1))-AVERAGE(OFFSET($H$3,0,0,'Données projet'!$E$9+1,1))</f>
        <v>496.33873798282525</v>
      </c>
      <c r="T36" s="60">
        <f t="shared" si="34"/>
        <v>280.25465074992246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8.9230769230769198</v>
      </c>
      <c r="AI36" s="14">
        <f>IF('Données projet'!$A$62&gt;35,AI35+AH36-AQ35,IF(A36&lt;'Données projet'!$A$62,$AF$205^A36,IF(A36='Données projet'!$A$62,'Données projet'!$B$62,AI35+AH36-AQ35)))</f>
        <v>130.04615384615383</v>
      </c>
      <c r="AJ36" s="14">
        <f>AI36*VLOOKUP('Données projet'!$B$10,Paramètres!$A$1:$I$89,3,0)*VLOOKUP('Données projet'!$B$10,Paramètres!$A$1:$I$89,5,0)</f>
        <v>60.861599999999989</v>
      </c>
      <c r="AK36" s="14">
        <f t="shared" si="35"/>
        <v>17.385927430951966</v>
      </c>
      <c r="AL36" s="22">
        <f t="shared" si="4"/>
        <v>136.28111027557466</v>
      </c>
      <c r="AM36" s="60">
        <f t="shared" si="5"/>
        <v>378.1619561101154</v>
      </c>
      <c r="AN36" s="60">
        <f ca="1">AVERAGE(OFFSET($AM$3,0,0,'Données projet'!$E$10+1,1))-AVERAGE(OFFSET($H$3,0,0,'Données projet'!$E$10+1,1))</f>
        <v>277.7918215389401</v>
      </c>
      <c r="AO36" s="60">
        <f t="shared" si="36"/>
        <v>164.65640238394164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6.0256410256410247</v>
      </c>
      <c r="BD36" s="13">
        <f>IF('Données projet'!$A$88&gt;35,BD35+BC36-BL35,IF(A36&lt;'Données projet'!$A$88,$BA$205^A36,IF(A36='Données projet'!$A$88,'Données projet'!$B$88,BD35+BC36-BL35)))</f>
        <v>103.97435897435894</v>
      </c>
      <c r="BE36" s="14">
        <f>BD36*VLOOKUP('Données projet'!$B$11,Paramètres!$A$1:$I$89,3,0)*VLOOKUP('Données projet'!$B$11,Paramètres!$A$1:$I$89,5,0)</f>
        <v>98.941999999999965</v>
      </c>
      <c r="BF36" s="14">
        <f t="shared" si="37"/>
        <v>26.70978781959958</v>
      </c>
      <c r="BG36" s="22">
        <f t="shared" si="7"/>
        <v>218.8435304524692</v>
      </c>
      <c r="BH36" s="60">
        <f t="shared" si="8"/>
        <v>460.72437628700993</v>
      </c>
      <c r="BI36" s="60">
        <f ca="1">AVERAGE(OFFSET($BH$3,0,0,'Données projet'!$E$11+1,1))-AVERAGE(OFFSET($H$3,0,0,'Données projet'!$E$11+1,1))</f>
        <v>366.21371543563254</v>
      </c>
      <c r="BJ36" s="60">
        <f t="shared" si="38"/>
        <v>237.43356317334084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6.7948717948717956</v>
      </c>
      <c r="BY36" s="13">
        <f>IF('Données projet'!$A$114&gt;35,BY35+BX36-CG35,IF(A36&lt;'Données projet'!$A$114,$BV$205^A36,IF(A36='Données projet'!$A$114,'Données projet'!$B$114,BY35+BX36-CG35)))</f>
        <v>127.4358974358974</v>
      </c>
      <c r="BZ36" s="14">
        <f>BY36*VLOOKUP('Données projet'!$B$12,Paramètres!$A$1:$I$89,3,0)*VLOOKUP('Données projet'!$B$12,Paramètres!$A$1:$I$89,5,0)</f>
        <v>133.19599999999997</v>
      </c>
      <c r="CA36" s="14">
        <f t="shared" si="39"/>
        <v>34.733813972308901</v>
      </c>
      <c r="CB36" s="22">
        <f t="shared" si="10"/>
        <v>292.47775933510462</v>
      </c>
      <c r="CC36" s="60">
        <f t="shared" si="11"/>
        <v>534.35860516964533</v>
      </c>
      <c r="CD36" s="60">
        <f ca="1">AVERAGE(OFFSET($CC$3,0,0,'Données projet'!$E$12+1,1))-AVERAGE(OFFSET($H$3,0,0,'Données projet'!$E$12+1,1))</f>
        <v>530.79860063513229</v>
      </c>
      <c r="CE36" s="60">
        <f t="shared" si="40"/>
        <v>302.50876440460434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90.47999999999999</v>
      </c>
      <c r="CV36" s="14">
        <f t="shared" si="41"/>
        <v>24.680953573367994</v>
      </c>
      <c r="CW36" s="22">
        <f t="shared" si="13"/>
        <v>200.57199414028256</v>
      </c>
      <c r="CX36" s="60">
        <f t="shared" si="14"/>
        <v>442.45283997482329</v>
      </c>
      <c r="CY36" s="60">
        <f ca="1">AVERAGE(OFFSET($CX$3,0,0,'Données projet'!$E$13+1,1))-AVERAGE(OFFSET($H$3,0,0,'Données projet'!$E$13+1,1))</f>
        <v>469.67944008675863</v>
      </c>
      <c r="CZ36" s="60">
        <f t="shared" si="42"/>
        <v>266.11908070867173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100</v>
      </c>
      <c r="DP36" s="18">
        <f>DO36*VLOOKUP('Données projet'!$B$14,Paramètres!$A$1:$I$89,3,0)*VLOOKUP('Données projet'!$B$14,Paramètres!$A$1:$I$89,5,0)</f>
        <v>107.64</v>
      </c>
      <c r="DQ36" s="14">
        <f t="shared" si="43"/>
        <v>28.774250263353583</v>
      </c>
      <c r="DR36" s="22">
        <f t="shared" si="16"/>
        <v>237.58815254200749</v>
      </c>
      <c r="DS36" s="60">
        <f t="shared" si="17"/>
        <v>479.46899837654826</v>
      </c>
      <c r="DT36" s="60">
        <f ca="1">AVERAGE(OFFSET($DS$3,0,0,'Données projet'!$E$14+1,1))-AVERAGE(OFFSET($H$3,0,0,'Données projet'!$E$14+1,1))</f>
        <v>542.90832990875208</v>
      </c>
      <c r="DU36" s="60">
        <f t="shared" si="44"/>
        <v>304.94365539329362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8.7199999999999989</v>
      </c>
      <c r="EJ36" s="13">
        <f>IF('Données projet'!$A$192&gt;35,EJ35+EI36-ER35,IF(A36&lt;'Données projet'!$A$192,$EG$205^A36,IF(A36='Données projet'!$A$192,'Données projet'!$B$192,EJ35+EI36-ER35)))</f>
        <v>118.66</v>
      </c>
      <c r="EK36" s="18">
        <f>EJ36*VLOOKUP('Données projet'!$B$15,Paramètres!$A$1:$I$89,3,0)*VLOOKUP('Données projet'!$B$15,Paramètres!$A$1:$I$89,5,0)</f>
        <v>94.405895999999998</v>
      </c>
      <c r="EL36" s="14">
        <f t="shared" si="45"/>
        <v>25.624847291188917</v>
      </c>
      <c r="EM36" s="22">
        <f t="shared" si="19"/>
        <v>209.05354456548733</v>
      </c>
      <c r="EN36" s="60">
        <f t="shared" si="20"/>
        <v>450.93439040002806</v>
      </c>
      <c r="EO36" s="60">
        <f ca="1">AVERAGE(OFFSET($EN$3,0,0,'Données projet'!$E$15+1,1))-AVERAGE(OFFSET($H$3,0,0,'Données projet'!$E$15+1,1))</f>
        <v>273.72403794510291</v>
      </c>
      <c r="EP36" s="60">
        <f t="shared" si="46"/>
        <v>292.00185554564109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11.5</v>
      </c>
      <c r="FE36" s="13">
        <f>IF('Données projet'!$A$218&gt;35,FE35+FD36-FM35,IF(A36&lt;'Données projet'!$A$218,$FB$205^A36,IF(A36='Données projet'!$A$218,'Données projet'!$B$218,FE35+FD36-FM35)))</f>
        <v>141.99999999999994</v>
      </c>
      <c r="FF36" s="18">
        <f>FE36*VLOOKUP('Données projet'!$B$16,Paramètres!$A$1:$I$89,3,0)*VLOOKUP('Données projet'!$B$16,Paramètres!$A$1:$I$89,5,0)</f>
        <v>110.75999999999996</v>
      </c>
      <c r="FG36" s="14">
        <f t="shared" si="47"/>
        <v>29.509974682362923</v>
      </c>
      <c r="FH36" s="22">
        <f t="shared" si="22"/>
        <v>244.30353923844871</v>
      </c>
      <c r="FI36" s="60">
        <f t="shared" si="23"/>
        <v>486.18438507298947</v>
      </c>
      <c r="FJ36" s="60">
        <f ca="1">AVERAGE(OFFSET($FI$3,0,0,'Données projet'!$E$16+1,1))-AVERAGE(OFFSET($H$3,0,0,'Données projet'!$E$16+1,1))</f>
        <v>309.21625451786218</v>
      </c>
      <c r="FK36" s="60">
        <f t="shared" si="48"/>
        <v>302.59481222418219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12.938699999999994</v>
      </c>
      <c r="FZ36" s="13">
        <f>IF('Données projet'!$A$244&gt;35,FZ35+FY36-GH35,IF(A36&lt;'Données projet'!$A$244,$FW$205^A36,IF(A36='Données projet'!$A$244,'Données projet'!$B$244,FZ35+FY36-GH35)))</f>
        <v>193.57220000000004</v>
      </c>
      <c r="GA36" s="18">
        <f>FZ36*VLOOKUP('Données projet'!$B$17,Paramètres!$A$1:$I$89,3,0)*VLOOKUP('Données projet'!$B$17,Paramètres!$A$1:$I$89,5,0)</f>
        <v>115.75617560000003</v>
      </c>
      <c r="GB36" s="14">
        <f t="shared" si="49"/>
        <v>30.683132354258433</v>
      </c>
      <c r="GC36" s="22">
        <f t="shared" si="25"/>
        <v>255.0484613536668</v>
      </c>
      <c r="GD36" s="60">
        <f t="shared" si="26"/>
        <v>496.92930718820753</v>
      </c>
      <c r="GE36" s="60">
        <f ca="1">AVERAGE(OFFSET($GD$3,0,0,'Données projet'!$E$17+1,1))-AVERAGE(OFFSET($H$3,0,0,'Données projet'!$E$17+1,1))</f>
        <v>216.36762889365235</v>
      </c>
      <c r="GF36" s="60">
        <f t="shared" si="50"/>
        <v>333.29599352215496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12.722181073485904</v>
      </c>
      <c r="GM36" s="23">
        <f>EXP(-LN(2)/25)*GM35+(1-EXP(-LN(2)/25))/(LN(2)/25)*Calculateur!GH36*Calculateur!GJ36*VLOOKUP('Données projet'!$B$17,Paramètres!$A$1:$I$89,3,0)*0.475*44/12</f>
        <v>8.9712900245031442</v>
      </c>
      <c r="GN36" s="23">
        <f>EXP(-LN(2)/2)*GN35+(1-EXP(-LN(2)/2))/(LN(2)/2)*GH36*GK36*VLOOKUP('Données projet'!$B$17,Paramètres!$A$1:$I$89,3,0)*0.475*44/12</f>
        <v>1.0339413277884024</v>
      </c>
      <c r="GO36" s="23">
        <f t="shared" si="27"/>
        <v>22.727412425777448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4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104.4576</v>
      </c>
      <c r="P37" s="14">
        <f t="shared" si="33"/>
        <v>28.021248860498272</v>
      </c>
      <c r="Q37" s="22">
        <f t="shared" si="53"/>
        <v>230.73399509870114</v>
      </c>
      <c r="R37" s="60">
        <f t="shared" si="0"/>
        <v>473.50742656081673</v>
      </c>
      <c r="S37" s="60">
        <f ca="1">AVERAGE(OFFSET($R$3,0,0,'Données projet'!$E$9+1,1))-AVERAGE(OFFSET($H$3,0,0,'Données projet'!$E$9+1,1))</f>
        <v>496.33873798282525</v>
      </c>
      <c r="T37" s="60">
        <f t="shared" si="34"/>
        <v>280.25465074992246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8.9230769230769198</v>
      </c>
      <c r="AI37" s="14">
        <f>IF('Données projet'!$A$62&gt;35,AI36+AH37-AQ36,IF(A37&lt;'Données projet'!$A$62,$AF$205^A37,IF(A37='Données projet'!$A$62,'Données projet'!$B$62,AI36+AH37-AQ36)))</f>
        <v>138.96923076923076</v>
      </c>
      <c r="AJ37" s="14">
        <f>AI37*VLOOKUP('Données projet'!$B$10,Paramètres!$A$1:$I$89,3,0)*VLOOKUP('Données projet'!$B$10,Paramètres!$A$1:$I$89,5,0)</f>
        <v>65.037599999999998</v>
      </c>
      <c r="AK37" s="14">
        <f t="shared" si="35"/>
        <v>18.435894871955274</v>
      </c>
      <c r="AL37" s="22">
        <f t="shared" si="4"/>
        <v>145.38300356865543</v>
      </c>
      <c r="AM37" s="60">
        <f t="shared" si="5"/>
        <v>388.15643503077104</v>
      </c>
      <c r="AN37" s="60">
        <f ca="1">AVERAGE(OFFSET($AM$3,0,0,'Données projet'!$E$10+1,1))-AVERAGE(OFFSET($H$3,0,0,'Données projet'!$E$10+1,1))</f>
        <v>277.7918215389401</v>
      </c>
      <c r="AO37" s="60">
        <f t="shared" si="36"/>
        <v>164.65640238394164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6.0256410256410247</v>
      </c>
      <c r="BD37" s="13">
        <f>IF('Données projet'!$A$88&gt;35,BD36+BC37-BL36,IF(A37&lt;'Données projet'!$A$88,$BA$205^A37,IF(A37='Données projet'!$A$88,'Données projet'!$B$88,BD36+BC37-BL36)))</f>
        <v>109.99999999999996</v>
      </c>
      <c r="BE37" s="14">
        <f>BD37*VLOOKUP('Données projet'!$B$11,Paramètres!$A$1:$I$89,3,0)*VLOOKUP('Données projet'!$B$11,Paramètres!$A$1:$I$89,5,0)</f>
        <v>104.67599999999995</v>
      </c>
      <c r="BF37" s="14">
        <f t="shared" si="37"/>
        <v>28.07300989838113</v>
      </c>
      <c r="BG37" s="22">
        <f t="shared" si="7"/>
        <v>231.20452557301368</v>
      </c>
      <c r="BH37" s="60">
        <f t="shared" si="8"/>
        <v>473.97795703512929</v>
      </c>
      <c r="BI37" s="60">
        <f ca="1">AVERAGE(OFFSET($BH$3,0,0,'Données projet'!$E$11+1,1))-AVERAGE(OFFSET($H$3,0,0,'Données projet'!$E$11+1,1))</f>
        <v>366.21371543563254</v>
      </c>
      <c r="BJ37" s="60">
        <f t="shared" si="38"/>
        <v>237.43356317334084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6.7948717948717956</v>
      </c>
      <c r="BY37" s="13">
        <f>IF('Données projet'!$A$114&gt;35,BY36+BX37-CG36,IF(A37&lt;'Données projet'!$A$114,$BV$205^A37,IF(A37='Données projet'!$A$114,'Données projet'!$B$114,BY36+BX37-CG36)))</f>
        <v>134.2307692307692</v>
      </c>
      <c r="BZ37" s="14">
        <f>BY37*VLOOKUP('Données projet'!$B$12,Paramètres!$A$1:$I$89,3,0)*VLOOKUP('Données projet'!$B$12,Paramètres!$A$1:$I$89,5,0)</f>
        <v>140.29799999999997</v>
      </c>
      <c r="CA37" s="14">
        <f t="shared" si="39"/>
        <v>36.365264659858738</v>
      </c>
      <c r="CB37" s="22">
        <f t="shared" si="10"/>
        <v>307.68851928258727</v>
      </c>
      <c r="CC37" s="60">
        <f t="shared" si="11"/>
        <v>550.46195074470279</v>
      </c>
      <c r="CD37" s="60">
        <f ca="1">AVERAGE(OFFSET($CC$3,0,0,'Données projet'!$E$12+1,1))-AVERAGE(OFFSET($H$3,0,0,'Données projet'!$E$12+1,1))</f>
        <v>530.79860063513229</v>
      </c>
      <c r="CE37" s="60">
        <f t="shared" si="40"/>
        <v>302.50876440460434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97.718399999999988</v>
      </c>
      <c r="CV37" s="14">
        <f t="shared" si="41"/>
        <v>26.417709819192194</v>
      </c>
      <c r="CW37" s="22">
        <f t="shared" si="13"/>
        <v>216.20372460175972</v>
      </c>
      <c r="CX37" s="60">
        <f t="shared" si="14"/>
        <v>458.97715606387533</v>
      </c>
      <c r="CY37" s="60">
        <f ca="1">AVERAGE(OFFSET($CX$3,0,0,'Données projet'!$E$13+1,1))-AVERAGE(OFFSET($H$3,0,0,'Données projet'!$E$13+1,1))</f>
        <v>469.67944008675863</v>
      </c>
      <c r="CZ37" s="60">
        <f t="shared" si="42"/>
        <v>266.11908070867173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108</v>
      </c>
      <c r="DP37" s="18">
        <f>DO37*VLOOKUP('Données projet'!$B$14,Paramètres!$A$1:$I$89,3,0)*VLOOKUP('Données projet'!$B$14,Paramètres!$A$1:$I$89,5,0)</f>
        <v>116.2512</v>
      </c>
      <c r="DQ37" s="14">
        <f t="shared" si="43"/>
        <v>30.799044755804328</v>
      </c>
      <c r="DR37" s="22">
        <f t="shared" si="16"/>
        <v>256.1125096163592</v>
      </c>
      <c r="DS37" s="60">
        <f t="shared" si="17"/>
        <v>498.88594107847479</v>
      </c>
      <c r="DT37" s="60">
        <f ca="1">AVERAGE(OFFSET($DS$3,0,0,'Données projet'!$E$14+1,1))-AVERAGE(OFFSET($H$3,0,0,'Données projet'!$E$14+1,1))</f>
        <v>542.90832990875208</v>
      </c>
      <c r="DU37" s="60">
        <f t="shared" si="44"/>
        <v>304.94365539329362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8.7199999999999989</v>
      </c>
      <c r="EJ37" s="13">
        <f>IF('Données projet'!$A$192&gt;35,EJ36+EI37-ER36,IF(A37&lt;'Données projet'!$A$192,$EG$205^A37,IF(A37='Données projet'!$A$192,'Données projet'!$B$192,EJ36+EI37-ER36)))</f>
        <v>127.38</v>
      </c>
      <c r="EK37" s="18">
        <f>EJ37*VLOOKUP('Données projet'!$B$15,Paramètres!$A$1:$I$89,3,0)*VLOOKUP('Données projet'!$B$15,Paramètres!$A$1:$I$89,5,0)</f>
        <v>101.34352799999999</v>
      </c>
      <c r="EL37" s="14">
        <f t="shared" si="45"/>
        <v>27.281825531176178</v>
      </c>
      <c r="EM37" s="22">
        <f t="shared" si="19"/>
        <v>224.02249073346513</v>
      </c>
      <c r="EN37" s="60">
        <f t="shared" si="20"/>
        <v>466.79592219558072</v>
      </c>
      <c r="EO37" s="60">
        <f ca="1">AVERAGE(OFFSET($EN$3,0,0,'Données projet'!$E$15+1,1))-AVERAGE(OFFSET($H$3,0,0,'Données projet'!$E$15+1,1))</f>
        <v>273.72403794510291</v>
      </c>
      <c r="EP37" s="60">
        <f t="shared" si="46"/>
        <v>292.00185554564109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11.5</v>
      </c>
      <c r="FE37" s="13">
        <f>IF('Données projet'!$A$218&gt;35,FE36+FD37-FM36,IF(A37&lt;'Données projet'!$A$218,$FB$205^A37,IF(A37='Données projet'!$A$218,'Données projet'!$B$218,FE36+FD37-FM36)))</f>
        <v>153.49999999999994</v>
      </c>
      <c r="FF37" s="18">
        <f>FE37*VLOOKUP('Données projet'!$B$16,Paramètres!$A$1:$I$89,3,0)*VLOOKUP('Données projet'!$B$16,Paramètres!$A$1:$I$89,5,0)</f>
        <v>119.72999999999996</v>
      </c>
      <c r="FG37" s="14">
        <f t="shared" si="47"/>
        <v>31.612017974790529</v>
      </c>
      <c r="FH37" s="22">
        <f t="shared" si="22"/>
        <v>263.58734797276003</v>
      </c>
      <c r="FI37" s="60">
        <f t="shared" si="23"/>
        <v>506.36077943487561</v>
      </c>
      <c r="FJ37" s="60">
        <f ca="1">AVERAGE(OFFSET($FI$3,0,0,'Données projet'!$E$16+1,1))-AVERAGE(OFFSET($H$3,0,0,'Données projet'!$E$16+1,1))</f>
        <v>309.21625451786218</v>
      </c>
      <c r="FK37" s="60">
        <f t="shared" si="48"/>
        <v>302.59481222418219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12.938699999999994</v>
      </c>
      <c r="FZ37" s="13">
        <f>IF('Données projet'!$A$244&gt;35,FZ36+FY37-GH36,IF(A37&lt;'Données projet'!$A$244,$FW$205^A37,IF(A37='Données projet'!$A$244,'Données projet'!$B$244,FZ36+FY37-GH36)))</f>
        <v>206.51090000000002</v>
      </c>
      <c r="GA37" s="18">
        <f>FZ37*VLOOKUP('Données projet'!$B$17,Paramètres!$A$1:$I$89,3,0)*VLOOKUP('Données projet'!$B$17,Paramètres!$A$1:$I$89,5,0)</f>
        <v>123.49351820000003</v>
      </c>
      <c r="GB37" s="14">
        <f t="shared" si="49"/>
        <v>32.488439203441445</v>
      </c>
      <c r="GC37" s="22">
        <f t="shared" si="25"/>
        <v>271.66857581099384</v>
      </c>
      <c r="GD37" s="60">
        <f t="shared" si="26"/>
        <v>514.44200727310943</v>
      </c>
      <c r="GE37" s="60">
        <f ca="1">AVERAGE(OFFSET($GD$3,0,0,'Données projet'!$E$17+1,1))-AVERAGE(OFFSET($H$3,0,0,'Données projet'!$E$17+1,1))</f>
        <v>216.36762889365235</v>
      </c>
      <c r="GF37" s="60">
        <f t="shared" si="50"/>
        <v>333.29599352215496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12.472706862399088</v>
      </c>
      <c r="GM37" s="23">
        <f>EXP(-LN(2)/25)*GM36+(1-EXP(-LN(2)/25))/(LN(2)/25)*Calculateur!GH37*Calculateur!GJ37*VLOOKUP('Données projet'!$B$17,Paramètres!$A$1:$I$89,3,0)*0.475*44/12</f>
        <v>8.725969627003467</v>
      </c>
      <c r="GN37" s="23">
        <f>EXP(-LN(2)/2)*GN36+(1-EXP(-LN(2)/2))/(LN(2)/2)*GH37*GK37*VLOOKUP('Données projet'!$B$17,Paramètres!$A$1:$I$89,3,0)*0.475*44/12</f>
        <v>0.73110692422820234</v>
      </c>
      <c r="GO37" s="23">
        <f t="shared" si="27"/>
        <v>21.929783413630759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4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112.1952</v>
      </c>
      <c r="P38" s="14">
        <f t="shared" si="33"/>
        <v>29.847594514573263</v>
      </c>
      <c r="Q38" s="22">
        <f t="shared" si="53"/>
        <v>247.39120044621509</v>
      </c>
      <c r="R38" s="60">
        <f t="shared" si="0"/>
        <v>491.0417331707896</v>
      </c>
      <c r="S38" s="60">
        <f ca="1">AVERAGE(OFFSET($R$3,0,0,'Données projet'!$E$9+1,1))-AVERAGE(OFFSET($H$3,0,0,'Données projet'!$E$9+1,1))</f>
        <v>496.33873798282525</v>
      </c>
      <c r="T38" s="60">
        <f t="shared" si="34"/>
        <v>280.25465074992246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147.89230769230767</v>
      </c>
      <c r="AG38" s="13">
        <f>VLOOKUP(A38,'Données projet'!$A$61:$I$81,9,0)</f>
        <v>8.9230769230769198</v>
      </c>
      <c r="AH38" s="13">
        <f t="array" ref="AH38">INDEX(AG:AG,MIN(IF(ISNUMBER(AG38:AG234),ROW(AG38:AG234),"")))</f>
        <v>8.9230769230769198</v>
      </c>
      <c r="AI38" s="14">
        <f>IF('Données projet'!$A$62&gt;35,AI37+AH38-AQ37,IF(A38&lt;'Données projet'!$A$62,$AF$205^A38,IF(A38='Données projet'!$A$62,'Données projet'!$B$62,AI37+AH38-AQ37)))</f>
        <v>147.89230769230767</v>
      </c>
      <c r="AJ38" s="14">
        <f>AI38*VLOOKUP('Données projet'!$B$10,Paramètres!$A$1:$I$89,3,0)*VLOOKUP('Données projet'!$B$10,Paramètres!$A$1:$I$89,5,0)</f>
        <v>69.213599999999985</v>
      </c>
      <c r="AK38" s="14">
        <f t="shared" si="35"/>
        <v>19.478038510077166</v>
      </c>
      <c r="AL38" s="22">
        <f t="shared" si="4"/>
        <v>154.47127040505103</v>
      </c>
      <c r="AM38" s="60">
        <f t="shared" si="5"/>
        <v>398.1218031296255</v>
      </c>
      <c r="AN38" s="60">
        <f ca="1">AVERAGE(OFFSET($AM$3,0,0,'Données projet'!$E$10+1,1))-AVERAGE(OFFSET($H$3,0,0,'Données projet'!$E$10+1,1))</f>
        <v>277.7918215389401</v>
      </c>
      <c r="AO38" s="60">
        <f t="shared" si="36"/>
        <v>164.65640238394164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116.02564102564102</v>
      </c>
      <c r="BB38" s="13">
        <f>VLOOKUP(A38,'Données projet'!$A$87:$I$107,9,0)</f>
        <v>6.0256410256410247</v>
      </c>
      <c r="BC38" s="13">
        <f t="array" ref="BC38">INDEX(BB:BB,MIN(IF(ISNUMBER(BB38:BB234),ROW(BB38:BB234),"")))</f>
        <v>6.0256410256410247</v>
      </c>
      <c r="BD38" s="13">
        <f>IF('Données projet'!$A$88&gt;35,BD37+BC38-BL37,IF(A38&lt;'Données projet'!$A$88,$BA$205^A38,IF(A38='Données projet'!$A$88,'Données projet'!$B$88,BD37+BC38-BL37)))</f>
        <v>116.02564102564098</v>
      </c>
      <c r="BE38" s="14">
        <f>BD38*VLOOKUP('Données projet'!$B$11,Paramètres!$A$1:$I$89,3,0)*VLOOKUP('Données projet'!$B$11,Paramètres!$A$1:$I$89,5,0)</f>
        <v>110.40999999999995</v>
      </c>
      <c r="BF38" s="14">
        <f t="shared" si="37"/>
        <v>29.427562844448662</v>
      </c>
      <c r="BG38" s="22">
        <f t="shared" si="7"/>
        <v>243.55042195408134</v>
      </c>
      <c r="BH38" s="60">
        <f t="shared" si="8"/>
        <v>487.20095467865588</v>
      </c>
      <c r="BI38" s="60">
        <f ca="1">AVERAGE(OFFSET($BH$3,0,0,'Données projet'!$E$11+1,1))-AVERAGE(OFFSET($H$3,0,0,'Données projet'!$E$11+1,1))</f>
        <v>366.21371543563254</v>
      </c>
      <c r="BJ38" s="60">
        <f t="shared" si="38"/>
        <v>237.43356317334084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26.282051282051281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141.02564102564102</v>
      </c>
      <c r="BW38" s="13">
        <f>VLOOKUP(A38,'Données projet'!$A$113:$I$133,9,0)</f>
        <v>6.7948717948717956</v>
      </c>
      <c r="BX38" s="13">
        <f t="array" ref="BX38">INDEX(BW:BW,MIN(IF(ISNUMBER(BW38:BW234),ROW(BW38:BW234),"")))</f>
        <v>6.7948717948717956</v>
      </c>
      <c r="BY38" s="13">
        <f>IF('Données projet'!$A$114&gt;35,BY37+BX38-CG37,IF(A38&lt;'Données projet'!$A$114,$BV$205^A38,IF(A38='Données projet'!$A$114,'Données projet'!$B$114,BY37+BX38-CG37)))</f>
        <v>141.02564102564099</v>
      </c>
      <c r="BZ38" s="14">
        <f>BY38*VLOOKUP('Données projet'!$B$12,Paramètres!$A$1:$I$89,3,0)*VLOOKUP('Données projet'!$B$12,Paramètres!$A$1:$I$89,5,0)</f>
        <v>147.39999999999998</v>
      </c>
      <c r="CA38" s="14">
        <f t="shared" si="39"/>
        <v>37.987126351804257</v>
      </c>
      <c r="CB38" s="22">
        <f t="shared" si="10"/>
        <v>322.88257839605899</v>
      </c>
      <c r="CC38" s="60">
        <f t="shared" si="11"/>
        <v>566.53311112063352</v>
      </c>
      <c r="CD38" s="60">
        <f ca="1">AVERAGE(OFFSET($CC$3,0,0,'Données projet'!$E$12+1,1))-AVERAGE(OFFSET($H$3,0,0,'Données projet'!$E$12+1,1))</f>
        <v>530.79860063513229</v>
      </c>
      <c r="CE38" s="60">
        <f t="shared" si="40"/>
        <v>302.50876440460434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20.512820512820511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104.9568</v>
      </c>
      <c r="CV38" s="14">
        <f t="shared" si="41"/>
        <v>28.139541339232373</v>
      </c>
      <c r="CW38" s="22">
        <f t="shared" si="13"/>
        <v>231.8094611658297</v>
      </c>
      <c r="CX38" s="60">
        <f t="shared" si="14"/>
        <v>475.45999389040423</v>
      </c>
      <c r="CY38" s="60">
        <f ca="1">AVERAGE(OFFSET($CX$3,0,0,'Données projet'!$E$13+1,1))-AVERAGE(OFFSET($H$3,0,0,'Données projet'!$E$13+1,1))</f>
        <v>469.67944008675863</v>
      </c>
      <c r="CZ38" s="60">
        <f t="shared" si="42"/>
        <v>266.11908070867173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116</v>
      </c>
      <c r="DP38" s="18">
        <f>DO38*VLOOKUP('Données projet'!$B$14,Paramètres!$A$1:$I$89,3,0)*VLOOKUP('Données projet'!$B$14,Paramètres!$A$1:$I$89,5,0)</f>
        <v>124.86239999999999</v>
      </c>
      <c r="DQ38" s="14">
        <f t="shared" si="43"/>
        <v>32.806439280561598</v>
      </c>
      <c r="DR38" s="22">
        <f t="shared" si="16"/>
        <v>274.60656174697812</v>
      </c>
      <c r="DS38" s="60">
        <f t="shared" si="17"/>
        <v>518.25709447155259</v>
      </c>
      <c r="DT38" s="60">
        <f ca="1">AVERAGE(OFFSET($DS$3,0,0,'Données projet'!$E$14+1,1))-AVERAGE(OFFSET($H$3,0,0,'Données projet'!$E$14+1,1))</f>
        <v>542.90832990875208</v>
      </c>
      <c r="DU38" s="60">
        <f t="shared" si="44"/>
        <v>304.94365539329362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136.1</v>
      </c>
      <c r="EH38" s="13">
        <f>VLOOKUP(A38,'Données projet'!$A$191:$I$211,9,0)</f>
        <v>8.7199999999999989</v>
      </c>
      <c r="EI38" s="13">
        <f t="array" ref="EI38">INDEX(EH:EH,MIN(IF(ISNUMBER(EH38:EH234),ROW(EH38:EH234),"")))</f>
        <v>8.7199999999999989</v>
      </c>
      <c r="EJ38" s="13">
        <f>IF('Données projet'!$A$192&gt;35,EJ37+EI38-ER37,IF(A38&lt;'Données projet'!$A$192,$EG$205^A38,IF(A38='Données projet'!$A$192,'Données projet'!$B$192,EJ37+EI38-ER37)))</f>
        <v>136.1</v>
      </c>
      <c r="EK38" s="18">
        <f>EJ38*VLOOKUP('Données projet'!$B$15,Paramètres!$A$1:$I$89,3,0)*VLOOKUP('Données projet'!$B$15,Paramètres!$A$1:$I$89,5,0)</f>
        <v>108.28116</v>
      </c>
      <c r="EL38" s="14">
        <f t="shared" si="45"/>
        <v>28.925642011855526</v>
      </c>
      <c r="EM38" s="22">
        <f t="shared" si="19"/>
        <v>238.96851350398165</v>
      </c>
      <c r="EN38" s="60">
        <f t="shared" si="20"/>
        <v>482.61904622855616</v>
      </c>
      <c r="EO38" s="60">
        <f ca="1">AVERAGE(OFFSET($EN$3,0,0,'Données projet'!$E$15+1,1))-AVERAGE(OFFSET($H$3,0,0,'Données projet'!$E$15+1,1))</f>
        <v>273.72403794510291</v>
      </c>
      <c r="EP38" s="60">
        <f t="shared" si="46"/>
        <v>292.00185554564109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11.5</v>
      </c>
      <c r="FE38" s="13">
        <f>IF('Données projet'!$A$218&gt;35,FE37+FD38-FM37,IF(A38&lt;'Données projet'!$A$218,$FB$205^A38,IF(A38='Données projet'!$A$218,'Données projet'!$B$218,FE37+FD38-FM37)))</f>
        <v>164.99999999999994</v>
      </c>
      <c r="FF38" s="18">
        <f>FE38*VLOOKUP('Données projet'!$B$16,Paramètres!$A$1:$I$89,3,0)*VLOOKUP('Données projet'!$B$16,Paramètres!$A$1:$I$89,5,0)</f>
        <v>128.69999999999996</v>
      </c>
      <c r="FG38" s="14">
        <f t="shared" si="47"/>
        <v>33.695792019186115</v>
      </c>
      <c r="FH38" s="22">
        <f t="shared" si="22"/>
        <v>282.83933776674911</v>
      </c>
      <c r="FI38" s="60">
        <f t="shared" si="23"/>
        <v>526.48987049132359</v>
      </c>
      <c r="FJ38" s="60">
        <f ca="1">AVERAGE(OFFSET($FI$3,0,0,'Données projet'!$E$16+1,1))-AVERAGE(OFFSET($H$3,0,0,'Données projet'!$E$16+1,1))</f>
        <v>309.21625451786218</v>
      </c>
      <c r="FK38" s="60">
        <f t="shared" si="48"/>
        <v>302.59481222418219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12.938699999999994</v>
      </c>
      <c r="FZ38" s="13">
        <f>IF('Données projet'!$A$244&gt;35,FZ37+FY38-GH37,IF(A38&lt;'Données projet'!$A$244,$FW$205^A38,IF(A38='Données projet'!$A$244,'Données projet'!$B$244,FZ37+FY38-GH37)))</f>
        <v>219.4496</v>
      </c>
      <c r="GA38" s="18">
        <f>FZ38*VLOOKUP('Données projet'!$B$17,Paramètres!$A$1:$I$89,3,0)*VLOOKUP('Données projet'!$B$17,Paramètres!$A$1:$I$89,5,0)</f>
        <v>131.23086080000002</v>
      </c>
      <c r="GB38" s="14">
        <f t="shared" si="49"/>
        <v>34.280618947286037</v>
      </c>
      <c r="GC38" s="22">
        <f t="shared" si="25"/>
        <v>288.26582722652319</v>
      </c>
      <c r="GD38" s="60">
        <f t="shared" si="26"/>
        <v>531.91635995109766</v>
      </c>
      <c r="GE38" s="60">
        <f ca="1">AVERAGE(OFFSET($GD$3,0,0,'Données projet'!$E$17+1,1))-AVERAGE(OFFSET($H$3,0,0,'Données projet'!$E$17+1,1))</f>
        <v>216.36762889365235</v>
      </c>
      <c r="GF38" s="60">
        <f t="shared" si="50"/>
        <v>333.29599352215496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12.228124688427439</v>
      </c>
      <c r="GM38" s="23">
        <f>EXP(-LN(2)/25)*GM37+(1-EXP(-LN(2)/25))/(LN(2)/25)*Calculateur!GH38*Calculateur!GJ38*VLOOKUP('Données projet'!$B$17,Paramètres!$A$1:$I$89,3,0)*0.475*44/12</f>
        <v>8.4873575286742575</v>
      </c>
      <c r="GN38" s="23">
        <f>EXP(-LN(2)/2)*GN37+(1-EXP(-LN(2)/2))/(LN(2)/2)*GH38*GK38*VLOOKUP('Données projet'!$B$17,Paramètres!$A$1:$I$89,3,0)*0.475*44/12</f>
        <v>0.51697066389420132</v>
      </c>
      <c r="GO38" s="23">
        <f t="shared" si="27"/>
        <v>21.232452880995897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4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120.31968000000001</v>
      </c>
      <c r="P39" s="14">
        <f t="shared" si="33"/>
        <v>31.74954785566829</v>
      </c>
      <c r="Q39" s="22">
        <f t="shared" si="53"/>
        <v>264.85390518195555</v>
      </c>
      <c r="R39" s="60">
        <f t="shared" si="0"/>
        <v>509.36632342298998</v>
      </c>
      <c r="S39" s="60">
        <f ca="1">AVERAGE(OFFSET($R$3,0,0,'Données projet'!$E$9+1,1))-AVERAGE(OFFSET($H$3,0,0,'Données projet'!$E$9+1,1))</f>
        <v>496.33873798282525</v>
      </c>
      <c r="T39" s="60">
        <f t="shared" si="34"/>
        <v>280.25465074992246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9.981538461538463</v>
      </c>
      <c r="AI39" s="14">
        <f>IF('Données projet'!$A$62&gt;35,AI38+AH39-AQ38,IF(A39&lt;'Données projet'!$A$62,$AF$205^A39,IF(A39='Données projet'!$A$62,'Données projet'!$B$62,AI38+AH39-AQ38)))</f>
        <v>157.87384615384613</v>
      </c>
      <c r="AJ39" s="14">
        <f>AI39*VLOOKUP('Données projet'!$B$10,Paramètres!$A$1:$I$89,3,0)*VLOOKUP('Données projet'!$B$10,Paramètres!$A$1:$I$89,5,0)</f>
        <v>73.884959999999992</v>
      </c>
      <c r="AK39" s="14">
        <f t="shared" si="35"/>
        <v>20.635176317181511</v>
      </c>
      <c r="AL39" s="22">
        <f t="shared" si="4"/>
        <v>164.62257075242445</v>
      </c>
      <c r="AM39" s="60">
        <f t="shared" si="5"/>
        <v>409.13498899345888</v>
      </c>
      <c r="AN39" s="60">
        <f ca="1">AVERAGE(OFFSET($AM$3,0,0,'Données projet'!$E$10+1,1))-AVERAGE(OFFSET($H$3,0,0,'Données projet'!$E$10+1,1))</f>
        <v>277.7918215389401</v>
      </c>
      <c r="AO39" s="60">
        <f t="shared" si="36"/>
        <v>164.65640238394164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5.6410256410256405</v>
      </c>
      <c r="BD39" s="13">
        <f>IF('Données projet'!$A$88&gt;35,BD38+BC39-BL38,IF(A39&lt;'Données projet'!$A$88,$BA$205^A39,IF(A39='Données projet'!$A$88,'Données projet'!$B$88,BD38+BC39-BL38)))</f>
        <v>95.38461538461533</v>
      </c>
      <c r="BE39" s="14">
        <f>BD39*VLOOKUP('Données projet'!$B$11,Paramètres!$A$1:$I$89,3,0)*VLOOKUP('Données projet'!$B$11,Paramètres!$A$1:$I$89,5,0)</f>
        <v>90.767999999999944</v>
      </c>
      <c r="BF39" s="14">
        <f t="shared" si="37"/>
        <v>24.750356402108437</v>
      </c>
      <c r="BG39" s="22">
        <f t="shared" si="7"/>
        <v>201.19447073367209</v>
      </c>
      <c r="BH39" s="60">
        <f t="shared" si="8"/>
        <v>445.70688897470654</v>
      </c>
      <c r="BI39" s="60">
        <f ca="1">AVERAGE(OFFSET($BH$3,0,0,'Données projet'!$E$11+1,1))-AVERAGE(OFFSET($H$3,0,0,'Données projet'!$E$11+1,1))</f>
        <v>366.21371543563254</v>
      </c>
      <c r="BJ39" s="60">
        <f t="shared" si="38"/>
        <v>237.43356317334084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6.5384615384615383</v>
      </c>
      <c r="BY39" s="13">
        <f>IF('Données projet'!$A$114&gt;35,BY38+BX39-CG38,IF(A39&lt;'Données projet'!$A$114,$BV$205^A39,IF(A39='Données projet'!$A$114,'Données projet'!$B$114,BY38+BX39-CG38)))</f>
        <v>127.05128205128203</v>
      </c>
      <c r="BZ39" s="14">
        <f>BY39*VLOOKUP('Données projet'!$B$12,Paramètres!$A$1:$I$89,3,0)*VLOOKUP('Données projet'!$B$12,Paramètres!$A$1:$I$89,5,0)</f>
        <v>132.79399999999998</v>
      </c>
      <c r="CA39" s="14">
        <f t="shared" si="39"/>
        <v>34.641169520449267</v>
      </c>
      <c r="CB39" s="22">
        <f t="shared" si="10"/>
        <v>291.61625358144909</v>
      </c>
      <c r="CC39" s="60">
        <f t="shared" si="11"/>
        <v>536.12867182248351</v>
      </c>
      <c r="CD39" s="60">
        <f ca="1">AVERAGE(OFFSET($CC$3,0,0,'Données projet'!$E$12+1,1))-AVERAGE(OFFSET($H$3,0,0,'Données projet'!$E$12+1,1))</f>
        <v>530.79860063513229</v>
      </c>
      <c r="CE39" s="60">
        <f t="shared" si="40"/>
        <v>302.50876440460434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112.55712000000001</v>
      </c>
      <c r="CV39" s="14">
        <f t="shared" si="41"/>
        <v>29.932653834140599</v>
      </c>
      <c r="CW39" s="22">
        <f t="shared" si="13"/>
        <v>248.16968942779488</v>
      </c>
      <c r="CX39" s="60">
        <f t="shared" si="14"/>
        <v>492.6821076688293</v>
      </c>
      <c r="CY39" s="60">
        <f ca="1">AVERAGE(OFFSET($CX$3,0,0,'Données projet'!$E$13+1,1))-AVERAGE(OFFSET($H$3,0,0,'Données projet'!$E$13+1,1))</f>
        <v>469.67944008675863</v>
      </c>
      <c r="CZ39" s="60">
        <f t="shared" si="42"/>
        <v>266.11908070867173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124.4</v>
      </c>
      <c r="DP39" s="18">
        <f>DO39*VLOOKUP('Données projet'!$B$14,Paramètres!$A$1:$I$89,3,0)*VLOOKUP('Données projet'!$B$14,Paramètres!$A$1:$I$89,5,0)</f>
        <v>133.90415999999999</v>
      </c>
      <c r="DQ39" s="14">
        <f t="shared" si="43"/>
        <v>34.896936615903982</v>
      </c>
      <c r="DR39" s="22">
        <f t="shared" si="16"/>
        <v>293.99524327269938</v>
      </c>
      <c r="DS39" s="60">
        <f t="shared" si="17"/>
        <v>538.50766151373386</v>
      </c>
      <c r="DT39" s="60">
        <f ca="1">AVERAGE(OFFSET($DS$3,0,0,'Données projet'!$E$14+1,1))-AVERAGE(OFFSET($H$3,0,0,'Données projet'!$E$14+1,1))</f>
        <v>542.90832990875208</v>
      </c>
      <c r="DU39" s="60">
        <f t="shared" si="44"/>
        <v>304.94365539329362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7.580000000000001</v>
      </c>
      <c r="EJ39" s="13">
        <f>IF('Données projet'!$A$192&gt;35,EJ38+EI39-ER38,IF(A39&lt;'Données projet'!$A$192,$EG$205^A39,IF(A39='Données projet'!$A$192,'Données projet'!$B$192,EJ38+EI39-ER38)))</f>
        <v>143.68</v>
      </c>
      <c r="EK39" s="18">
        <f>EJ39*VLOOKUP('Données projet'!$B$15,Paramètres!$A$1:$I$89,3,0)*VLOOKUP('Données projet'!$B$15,Paramètres!$A$1:$I$89,5,0)</f>
        <v>114.31180800000001</v>
      </c>
      <c r="EL39" s="14">
        <f t="shared" si="45"/>
        <v>30.344595688910029</v>
      </c>
      <c r="EM39" s="22">
        <f t="shared" si="19"/>
        <v>251.94323642485165</v>
      </c>
      <c r="EN39" s="60">
        <f t="shared" si="20"/>
        <v>496.45565466588607</v>
      </c>
      <c r="EO39" s="60">
        <f ca="1">AVERAGE(OFFSET($EN$3,0,0,'Données projet'!$E$15+1,1))-AVERAGE(OFFSET($H$3,0,0,'Données projet'!$E$15+1,1))</f>
        <v>273.72403794510291</v>
      </c>
      <c r="EP39" s="60">
        <f t="shared" si="46"/>
        <v>292.00185554564109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11.5</v>
      </c>
      <c r="FE39" s="13">
        <f>IF('Données projet'!$A$218&gt;35,FE38+FD39-FM38,IF(A39&lt;'Données projet'!$A$218,$FB$205^A39,IF(A39='Données projet'!$A$218,'Données projet'!$B$218,FE38+FD39-FM38)))</f>
        <v>176.49999999999994</v>
      </c>
      <c r="FF39" s="18">
        <f>FE39*VLOOKUP('Données projet'!$B$16,Paramètres!$A$1:$I$89,3,0)*VLOOKUP('Données projet'!$B$16,Paramètres!$A$1:$I$89,5,0)</f>
        <v>137.66999999999996</v>
      </c>
      <c r="FG39" s="14">
        <f t="shared" si="47"/>
        <v>35.762714965854656</v>
      </c>
      <c r="FH39" s="22">
        <f t="shared" si="22"/>
        <v>302.06197856553007</v>
      </c>
      <c r="FI39" s="60">
        <f t="shared" si="23"/>
        <v>546.57439680656444</v>
      </c>
      <c r="FJ39" s="60">
        <f ca="1">AVERAGE(OFFSET($FI$3,0,0,'Données projet'!$E$16+1,1))-AVERAGE(OFFSET($H$3,0,0,'Données projet'!$E$16+1,1))</f>
        <v>309.21625451786218</v>
      </c>
      <c r="FK39" s="60">
        <f t="shared" si="48"/>
        <v>302.59481222418219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12.938699999999994</v>
      </c>
      <c r="FZ39" s="13">
        <f>IF('Données projet'!$A$244&gt;35,FZ38+FY39-GH38,IF(A39&lt;'Données projet'!$A$244,$FW$205^A39,IF(A39='Données projet'!$A$244,'Données projet'!$B$244,FZ38+FY39-GH38)))</f>
        <v>232.38829999999999</v>
      </c>
      <c r="GA39" s="18">
        <f>FZ39*VLOOKUP('Données projet'!$B$17,Paramètres!$A$1:$I$89,3,0)*VLOOKUP('Données projet'!$B$17,Paramètres!$A$1:$I$89,5,0)</f>
        <v>138.96820339999999</v>
      </c>
      <c r="GB39" s="14">
        <f t="shared" si="49"/>
        <v>36.060533716914215</v>
      </c>
      <c r="GC39" s="22">
        <f t="shared" si="25"/>
        <v>304.84171714529225</v>
      </c>
      <c r="GD39" s="60">
        <f t="shared" si="26"/>
        <v>549.35413538632667</v>
      </c>
      <c r="GE39" s="60">
        <f ca="1">AVERAGE(OFFSET($GD$3,0,0,'Données projet'!$E$17+1,1))-AVERAGE(OFFSET($H$3,0,0,'Données projet'!$E$17+1,1))</f>
        <v>216.36762889365235</v>
      </c>
      <c r="GF39" s="60">
        <f t="shared" si="50"/>
        <v>333.29599352215496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11.988338621706978</v>
      </c>
      <c r="GM39" s="23">
        <f>EXP(-LN(2)/25)*GM38+(1-EXP(-LN(2)/25))/(LN(2)/25)*Calculateur!GH39*Calculateur!GJ39*VLOOKUP('Données projet'!$B$17,Paramètres!$A$1:$I$89,3,0)*0.475*44/12</f>
        <v>8.255270290721926</v>
      </c>
      <c r="GN39" s="23">
        <f>EXP(-LN(2)/2)*GN38+(1-EXP(-LN(2)/2))/(LN(2)/2)*GH39*GK39*VLOOKUP('Données projet'!$B$17,Paramètres!$A$1:$I$89,3,0)*0.475*44/12</f>
        <v>0.36555346211410122</v>
      </c>
      <c r="GO39" s="23">
        <f t="shared" si="27"/>
        <v>20.609162374543004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4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128.44416000000001</v>
      </c>
      <c r="P40" s="14">
        <f t="shared" si="33"/>
        <v>33.636598855068925</v>
      </c>
      <c r="Q40" s="22">
        <f t="shared" si="53"/>
        <v>282.29065500591173</v>
      </c>
      <c r="R40" s="60">
        <f t="shared" si="0"/>
        <v>527.65000697658286</v>
      </c>
      <c r="S40" s="60">
        <f ca="1">AVERAGE(OFFSET($R$3,0,0,'Données projet'!$E$9+1,1))-AVERAGE(OFFSET($H$3,0,0,'Données projet'!$E$9+1,1))</f>
        <v>496.33873798282525</v>
      </c>
      <c r="T40" s="60">
        <f t="shared" si="34"/>
        <v>280.25465074992246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9.981538461538463</v>
      </c>
      <c r="AI40" s="14">
        <f>IF('Données projet'!$A$62&gt;35,AI39+AH40-AQ39,IF(A40&lt;'Données projet'!$A$62,$AF$205^A40,IF(A40='Données projet'!$A$62,'Données projet'!$B$62,AI39+AH40-AQ39)))</f>
        <v>167.85538461538459</v>
      </c>
      <c r="AJ40" s="14">
        <f>AI40*VLOOKUP('Données projet'!$B$10,Paramètres!$A$1:$I$89,3,0)*VLOOKUP('Données projet'!$B$10,Paramètres!$A$1:$I$89,5,0)</f>
        <v>78.556319999999985</v>
      </c>
      <c r="AK40" s="14">
        <f t="shared" si="35"/>
        <v>21.783823615207403</v>
      </c>
      <c r="AL40" s="22">
        <f t="shared" si="4"/>
        <v>174.75908346315285</v>
      </c>
      <c r="AM40" s="60">
        <f t="shared" si="5"/>
        <v>420.11843543382395</v>
      </c>
      <c r="AN40" s="60">
        <f ca="1">AVERAGE(OFFSET($AM$3,0,0,'Données projet'!$E$10+1,1))-AVERAGE(OFFSET($H$3,0,0,'Données projet'!$E$10+1,1))</f>
        <v>277.7918215389401</v>
      </c>
      <c r="AO40" s="60">
        <f t="shared" si="36"/>
        <v>164.65640238394164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5.6410256410256405</v>
      </c>
      <c r="BD40" s="13">
        <f>IF('Données projet'!$A$88&gt;35,BD39+BC40-BL39,IF(A40&lt;'Données projet'!$A$88,$BA$205^A40,IF(A40='Données projet'!$A$88,'Données projet'!$B$88,BD39+BC40-BL39)))</f>
        <v>101.02564102564097</v>
      </c>
      <c r="BE40" s="14">
        <f>BD40*VLOOKUP('Données projet'!$B$11,Paramètres!$A$1:$I$89,3,0)*VLOOKUP('Données projet'!$B$11,Paramètres!$A$1:$I$89,5,0)</f>
        <v>96.135999999999939</v>
      </c>
      <c r="BF40" s="14">
        <f t="shared" si="37"/>
        <v>26.039352275444276</v>
      </c>
      <c r="BG40" s="22">
        <f t="shared" si="7"/>
        <v>212.78873854639866</v>
      </c>
      <c r="BH40" s="60">
        <f t="shared" si="8"/>
        <v>458.14809051706976</v>
      </c>
      <c r="BI40" s="60">
        <f ca="1">AVERAGE(OFFSET($BH$3,0,0,'Données projet'!$E$11+1,1))-AVERAGE(OFFSET($H$3,0,0,'Données projet'!$E$11+1,1))</f>
        <v>366.21371543563254</v>
      </c>
      <c r="BJ40" s="60">
        <f t="shared" si="38"/>
        <v>237.43356317334084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6.5384615384615383</v>
      </c>
      <c r="BY40" s="13">
        <f>IF('Données projet'!$A$114&gt;35,BY39+BX40-CG39,IF(A40&lt;'Données projet'!$A$114,$BV$205^A40,IF(A40='Données projet'!$A$114,'Données projet'!$B$114,BY39+BX40-CG39)))</f>
        <v>133.58974358974356</v>
      </c>
      <c r="BZ40" s="14">
        <f>BY40*VLOOKUP('Données projet'!$B$12,Paramètres!$A$1:$I$89,3,0)*VLOOKUP('Données projet'!$B$12,Paramètres!$A$1:$I$89,5,0)</f>
        <v>139.62799999999999</v>
      </c>
      <c r="CA40" s="14">
        <f t="shared" si="39"/>
        <v>36.211772326849783</v>
      </c>
      <c r="CB40" s="22">
        <f t="shared" si="10"/>
        <v>306.25427013592997</v>
      </c>
      <c r="CC40" s="60">
        <f t="shared" si="11"/>
        <v>551.61362210660104</v>
      </c>
      <c r="CD40" s="60">
        <f ca="1">AVERAGE(OFFSET($CC$3,0,0,'Données projet'!$E$12+1,1))-AVERAGE(OFFSET($H$3,0,0,'Données projet'!$E$12+1,1))</f>
        <v>530.79860063513229</v>
      </c>
      <c r="CE40" s="60">
        <f t="shared" si="40"/>
        <v>302.50876440460434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120.15744000000001</v>
      </c>
      <c r="CV40" s="14">
        <f t="shared" si="41"/>
        <v>31.711716786129845</v>
      </c>
      <c r="CW40" s="22">
        <f t="shared" si="13"/>
        <v>264.50544806917611</v>
      </c>
      <c r="CX40" s="60">
        <f t="shared" si="14"/>
        <v>509.86480003984718</v>
      </c>
      <c r="CY40" s="60">
        <f ca="1">AVERAGE(OFFSET($CX$3,0,0,'Données projet'!$E$13+1,1))-AVERAGE(OFFSET($H$3,0,0,'Données projet'!$E$13+1,1))</f>
        <v>469.67944008675863</v>
      </c>
      <c r="CZ40" s="60">
        <f t="shared" si="42"/>
        <v>266.11908070867173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132.80000000000001</v>
      </c>
      <c r="DP40" s="18">
        <f>DO40*VLOOKUP('Données projet'!$B$14,Paramètres!$A$1:$I$89,3,0)*VLOOKUP('Données projet'!$B$14,Paramètres!$A$1:$I$89,5,0)</f>
        <v>142.94592</v>
      </c>
      <c r="DQ40" s="14">
        <f t="shared" si="43"/>
        <v>36.971054314096854</v>
      </c>
      <c r="DR40" s="22">
        <f t="shared" si="16"/>
        <v>313.35539693038533</v>
      </c>
      <c r="DS40" s="60">
        <f t="shared" si="17"/>
        <v>558.7147489010564</v>
      </c>
      <c r="DT40" s="60">
        <f ca="1">AVERAGE(OFFSET($DS$3,0,0,'Données projet'!$E$14+1,1))-AVERAGE(OFFSET($H$3,0,0,'Données projet'!$E$14+1,1))</f>
        <v>542.90832990875208</v>
      </c>
      <c r="DU40" s="60">
        <f t="shared" si="44"/>
        <v>304.94365539329362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7.580000000000001</v>
      </c>
      <c r="EJ40" s="13">
        <f>IF('Données projet'!$A$192&gt;35,EJ39+EI40-ER39,IF(A40&lt;'Données projet'!$A$192,$EG$205^A40,IF(A40='Données projet'!$A$192,'Données projet'!$B$192,EJ39+EI40-ER39)))</f>
        <v>151.26000000000002</v>
      </c>
      <c r="EK40" s="18">
        <f>EJ40*VLOOKUP('Données projet'!$B$15,Paramètres!$A$1:$I$89,3,0)*VLOOKUP('Données projet'!$B$15,Paramètres!$A$1:$I$89,5,0)</f>
        <v>120.34245600000003</v>
      </c>
      <c r="EL40" s="14">
        <f t="shared" si="45"/>
        <v>31.754858280351673</v>
      </c>
      <c r="EM40" s="22">
        <f t="shared" si="19"/>
        <v>264.90282237161256</v>
      </c>
      <c r="EN40" s="60">
        <f t="shared" si="20"/>
        <v>510.26217434228363</v>
      </c>
      <c r="EO40" s="60">
        <f ca="1">AVERAGE(OFFSET($EN$3,0,0,'Données projet'!$E$15+1,1))-AVERAGE(OFFSET($H$3,0,0,'Données projet'!$E$15+1,1))</f>
        <v>273.72403794510291</v>
      </c>
      <c r="EP40" s="60">
        <f t="shared" si="46"/>
        <v>292.00185554564109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>
        <f>VLOOKUP(A40,'Données projet'!$A$217:$I$237,2,0)</f>
        <v>188</v>
      </c>
      <c r="FC40" s="13">
        <f>VLOOKUP(A40,'Données projet'!$A$217:$I$237,9,0)</f>
        <v>11.5</v>
      </c>
      <c r="FD40" s="13">
        <f t="array" ref="FD40">INDEX(FC:FC,MIN(IF(ISNUMBER(FC40:FC236),ROW(FC40:FC236),"")))</f>
        <v>11.5</v>
      </c>
      <c r="FE40" s="13">
        <f>IF('Données projet'!$A$218&gt;35,FE39+FD40-FM39,IF(A40&lt;'Données projet'!$A$218,$FB$205^A40,IF(A40='Données projet'!$A$218,'Données projet'!$B$218,FE39+FD40-FM39)))</f>
        <v>187.99999999999994</v>
      </c>
      <c r="FF40" s="18">
        <f>FE40*VLOOKUP('Données projet'!$B$16,Paramètres!$A$1:$I$89,3,0)*VLOOKUP('Données projet'!$B$16,Paramètres!$A$1:$I$89,5,0)</f>
        <v>146.63999999999996</v>
      </c>
      <c r="FG40" s="14">
        <f t="shared" si="47"/>
        <v>37.814009712703026</v>
      </c>
      <c r="FH40" s="22">
        <f t="shared" si="22"/>
        <v>321.25740024962437</v>
      </c>
      <c r="FI40" s="60">
        <f t="shared" si="23"/>
        <v>566.61675222029544</v>
      </c>
      <c r="FJ40" s="60">
        <f ca="1">AVERAGE(OFFSET($FI$3,0,0,'Données projet'!$E$16+1,1))-AVERAGE(OFFSET($H$3,0,0,'Données projet'!$E$16+1,1))</f>
        <v>309.21625451786218</v>
      </c>
      <c r="FK40" s="60">
        <f t="shared" si="48"/>
        <v>302.59481222418219</v>
      </c>
      <c r="FL40" s="16">
        <f>IF(ISNA(VLOOKUP(A40,'Données projet'!$A$217:$I$237,3,0)),0,VLOOKUP(A40,'Données projet'!$A$217:$I$237,3,0))</f>
        <v>4</v>
      </c>
      <c r="FM40" s="16">
        <f>IF(ISNA(VLOOKUP(A40,'Données projet'!$A$217:$I$237,4,0)),0,VLOOKUP(A40,'Données projet'!$A$217:$I$237,4,0))</f>
        <v>36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>
        <f>VLOOKUP(A40,'Données projet'!$A$243:$I$263,2,0)</f>
        <v>245.327</v>
      </c>
      <c r="FX40" s="13">
        <f>VLOOKUP(A40,'Données projet'!$A$243:$I$263,9,0)</f>
        <v>12.938699999999994</v>
      </c>
      <c r="FY40" s="13">
        <f t="array" ref="FY40">INDEX(FX:FX,MIN(IF(ISNUMBER(FX40:FX236),ROW(FX40:FX236),"")))</f>
        <v>12.938699999999994</v>
      </c>
      <c r="FZ40" s="13">
        <f>IF('Données projet'!$A$244&gt;35,FZ39+FY40-GH39,IF(A40&lt;'Données projet'!$A$244,$FW$205^A40,IF(A40='Données projet'!$A$244,'Données projet'!$B$244,FZ39+FY40-GH39)))</f>
        <v>245.32699999999997</v>
      </c>
      <c r="GA40" s="18">
        <f>FZ40*VLOOKUP('Données projet'!$B$17,Paramètres!$A$1:$I$89,3,0)*VLOOKUP('Données projet'!$B$17,Paramètres!$A$1:$I$89,5,0)</f>
        <v>146.705546</v>
      </c>
      <c r="GB40" s="14">
        <f t="shared" si="49"/>
        <v>37.828944219472127</v>
      </c>
      <c r="GC40" s="22">
        <f t="shared" si="25"/>
        <v>321.3975704655806</v>
      </c>
      <c r="GD40" s="60">
        <f t="shared" si="26"/>
        <v>566.75692243625167</v>
      </c>
      <c r="GE40" s="60">
        <f ca="1">AVERAGE(OFFSET($GD$3,0,0,'Données projet'!$E$17+1,1))-AVERAGE(OFFSET($H$3,0,0,'Données projet'!$E$17+1,1))</f>
        <v>216.36762889365235</v>
      </c>
      <c r="GF40" s="60">
        <f t="shared" si="50"/>
        <v>333.29599352215496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11.753254613499847</v>
      </c>
      <c r="GM40" s="23">
        <f>EXP(-LN(2)/25)*GM39+(1-EXP(-LN(2)/25))/(LN(2)/25)*Calculateur!GH40*Calculateur!GJ40*VLOOKUP('Données projet'!$B$17,Paramètres!$A$1:$I$89,3,0)*0.475*44/12</f>
        <v>8.0295294904963388</v>
      </c>
      <c r="GN40" s="23">
        <f>EXP(-LN(2)/2)*GN39+(1-EXP(-LN(2)/2))/(LN(2)/2)*GH40*GK40*VLOOKUP('Données projet'!$B$17,Paramètres!$A$1:$I$89,3,0)*0.475*44/12</f>
        <v>0.25848533194710066</v>
      </c>
      <c r="GO40" s="23">
        <f t="shared" si="27"/>
        <v>20.041269435943285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4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136.56864000000002</v>
      </c>
      <c r="P41" s="14">
        <f t="shared" si="33"/>
        <v>35.509797430964703</v>
      </c>
      <c r="Q41" s="22">
        <f t="shared" si="53"/>
        <v>299.70327852559689</v>
      </c>
      <c r="R41" s="60">
        <f t="shared" si="0"/>
        <v>545.89487181915558</v>
      </c>
      <c r="S41" s="60">
        <f ca="1">AVERAGE(OFFSET($R$3,0,0,'Données projet'!$E$9+1,1))-AVERAGE(OFFSET($H$3,0,0,'Données projet'!$E$9+1,1))</f>
        <v>496.33873798282525</v>
      </c>
      <c r="T41" s="60">
        <f t="shared" si="34"/>
        <v>280.25465074992246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9.981538461538463</v>
      </c>
      <c r="AI41" s="14">
        <f>IF('Données projet'!$A$62&gt;35,AI40+AH41-AQ40,IF(A41&lt;'Données projet'!$A$62,$AF$205^A41,IF(A41='Données projet'!$A$62,'Données projet'!$B$62,AI40+AH41-AQ40)))</f>
        <v>177.83692307692306</v>
      </c>
      <c r="AJ41" s="14">
        <f>AI41*VLOOKUP('Données projet'!$B$10,Paramètres!$A$1:$I$89,3,0)*VLOOKUP('Données projet'!$B$10,Paramètres!$A$1:$I$89,5,0)</f>
        <v>83.227679999999978</v>
      </c>
      <c r="AK41" s="14">
        <f t="shared" si="35"/>
        <v>22.924542798244513</v>
      </c>
      <c r="AL41" s="22">
        <f t="shared" si="4"/>
        <v>184.88178804027584</v>
      </c>
      <c r="AM41" s="60">
        <f t="shared" si="5"/>
        <v>431.07338133383456</v>
      </c>
      <c r="AN41" s="60">
        <f ca="1">AVERAGE(OFFSET($AM$3,0,0,'Données projet'!$E$10+1,1))-AVERAGE(OFFSET($H$3,0,0,'Données projet'!$E$10+1,1))</f>
        <v>277.7918215389401</v>
      </c>
      <c r="AO41" s="60">
        <f t="shared" si="36"/>
        <v>164.65640238394164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5.6410256410256405</v>
      </c>
      <c r="BD41" s="13">
        <f>IF('Données projet'!$A$88&gt;35,BD40+BC41-BL40,IF(A41&lt;'Données projet'!$A$88,$BA$205^A41,IF(A41='Données projet'!$A$88,'Données projet'!$B$88,BD40+BC41-BL40)))</f>
        <v>106.6666666666666</v>
      </c>
      <c r="BE41" s="14">
        <f>BD41*VLOOKUP('Données projet'!$B$11,Paramètres!$A$1:$I$89,3,0)*VLOOKUP('Données projet'!$B$11,Paramètres!$A$1:$I$89,5,0)</f>
        <v>101.50399999999993</v>
      </c>
      <c r="BF41" s="14">
        <f t="shared" si="37"/>
        <v>27.319992913868255</v>
      </c>
      <c r="BG41" s="22">
        <f t="shared" si="7"/>
        <v>224.36845432498706</v>
      </c>
      <c r="BH41" s="60">
        <f t="shared" si="8"/>
        <v>470.56004761854581</v>
      </c>
      <c r="BI41" s="60">
        <f ca="1">AVERAGE(OFFSET($BH$3,0,0,'Données projet'!$E$11+1,1))-AVERAGE(OFFSET($H$3,0,0,'Données projet'!$E$11+1,1))</f>
        <v>366.21371543563254</v>
      </c>
      <c r="BJ41" s="60">
        <f t="shared" si="38"/>
        <v>237.43356317334084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6.5384615384615383</v>
      </c>
      <c r="BY41" s="13">
        <f>IF('Données projet'!$A$114&gt;35,BY40+BX41-CG40,IF(A41&lt;'Données projet'!$A$114,$BV$205^A41,IF(A41='Données projet'!$A$114,'Données projet'!$B$114,BY40+BX41-CG40)))</f>
        <v>140.12820512820511</v>
      </c>
      <c r="BZ41" s="14">
        <f>BY41*VLOOKUP('Données projet'!$B$12,Paramètres!$A$1:$I$89,3,0)*VLOOKUP('Données projet'!$B$12,Paramètres!$A$1:$I$89,5,0)</f>
        <v>146.46199999999999</v>
      </c>
      <c r="CA41" s="14">
        <f t="shared" si="39"/>
        <v>37.773448896739666</v>
      </c>
      <c r="CB41" s="22">
        <f t="shared" si="10"/>
        <v>320.8767401618216</v>
      </c>
      <c r="CC41" s="60">
        <f t="shared" si="11"/>
        <v>567.0683334553803</v>
      </c>
      <c r="CD41" s="60">
        <f ca="1">AVERAGE(OFFSET($CC$3,0,0,'Données projet'!$E$12+1,1))-AVERAGE(OFFSET($H$3,0,0,'Données projet'!$E$12+1,1))</f>
        <v>530.79860063513229</v>
      </c>
      <c r="CE41" s="60">
        <f t="shared" si="40"/>
        <v>302.50876440460434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127.75776</v>
      </c>
      <c r="CV41" s="14">
        <f t="shared" si="41"/>
        <v>33.477720030956604</v>
      </c>
      <c r="CW41" s="22">
        <f t="shared" si="13"/>
        <v>280.81846105391611</v>
      </c>
      <c r="CX41" s="60">
        <f t="shared" si="14"/>
        <v>527.01005434747481</v>
      </c>
      <c r="CY41" s="60">
        <f ca="1">AVERAGE(OFFSET($CX$3,0,0,'Données projet'!$E$13+1,1))-AVERAGE(OFFSET($H$3,0,0,'Données projet'!$E$13+1,1))</f>
        <v>469.67944008675863</v>
      </c>
      <c r="CZ41" s="60">
        <f t="shared" si="42"/>
        <v>266.11908070867173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141.20000000000002</v>
      </c>
      <c r="DP41" s="18">
        <f>DO41*VLOOKUP('Données projet'!$B$14,Paramètres!$A$1:$I$89,3,0)*VLOOKUP('Données projet'!$B$14,Paramètres!$A$1:$I$89,5,0)</f>
        <v>151.98768000000001</v>
      </c>
      <c r="DQ41" s="14">
        <f t="shared" si="43"/>
        <v>39.029946373574369</v>
      </c>
      <c r="DR41" s="22">
        <f t="shared" si="16"/>
        <v>332.68903260064207</v>
      </c>
      <c r="DS41" s="60">
        <f t="shared" si="17"/>
        <v>578.88062589420076</v>
      </c>
      <c r="DT41" s="60">
        <f ca="1">AVERAGE(OFFSET($DS$3,0,0,'Données projet'!$E$14+1,1))-AVERAGE(OFFSET($H$3,0,0,'Données projet'!$E$14+1,1))</f>
        <v>542.90832990875208</v>
      </c>
      <c r="DU41" s="60">
        <f t="shared" si="44"/>
        <v>304.94365539329362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7.580000000000001</v>
      </c>
      <c r="EJ41" s="13">
        <f>IF('Données projet'!$A$192&gt;35,EJ40+EI41-ER40,IF(A41&lt;'Données projet'!$A$192,$EG$205^A41,IF(A41='Données projet'!$A$192,'Données projet'!$B$192,EJ40+EI41-ER40)))</f>
        <v>158.84000000000003</v>
      </c>
      <c r="EK41" s="18">
        <f>EJ41*VLOOKUP('Données projet'!$B$15,Paramètres!$A$1:$I$89,3,0)*VLOOKUP('Données projet'!$B$15,Paramètres!$A$1:$I$89,5,0)</f>
        <v>126.37310400000004</v>
      </c>
      <c r="EL41" s="14">
        <f t="shared" si="45"/>
        <v>33.15691501370145</v>
      </c>
      <c r="EM41" s="22">
        <f t="shared" si="19"/>
        <v>277.84811644886344</v>
      </c>
      <c r="EN41" s="60">
        <f t="shared" si="20"/>
        <v>524.03970974242213</v>
      </c>
      <c r="EO41" s="60">
        <f ca="1">AVERAGE(OFFSET($EN$3,0,0,'Données projet'!$E$15+1,1))-AVERAGE(OFFSET($H$3,0,0,'Données projet'!$E$15+1,1))</f>
        <v>273.72403794510291</v>
      </c>
      <c r="EP41" s="60">
        <f t="shared" si="46"/>
        <v>292.00185554564109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11.142857142857142</v>
      </c>
      <c r="FE41" s="13">
        <f>IF('Données projet'!$A$218&gt;35,FE40+FD41-FM40,IF(A41&lt;'Données projet'!$A$218,$FB$205^A41,IF(A41='Données projet'!$A$218,'Données projet'!$B$218,FE40+FD41-FM40)))</f>
        <v>163.14285714285708</v>
      </c>
      <c r="FF41" s="18">
        <f>FE41*VLOOKUP('Données projet'!$B$16,Paramètres!$A$1:$I$89,3,0)*VLOOKUP('Données projet'!$B$16,Paramètres!$A$1:$I$89,5,0)</f>
        <v>127.25142857142853</v>
      </c>
      <c r="FG41" s="14">
        <f t="shared" si="47"/>
        <v>33.360457439554281</v>
      </c>
      <c r="FH41" s="22">
        <f t="shared" si="22"/>
        <v>279.73236813579501</v>
      </c>
      <c r="FI41" s="60">
        <f t="shared" si="23"/>
        <v>525.92396142935377</v>
      </c>
      <c r="FJ41" s="60">
        <f ca="1">AVERAGE(OFFSET($FI$3,0,0,'Données projet'!$E$16+1,1))-AVERAGE(OFFSET($H$3,0,0,'Données projet'!$E$16+1,1))</f>
        <v>309.21625451786218</v>
      </c>
      <c r="FK41" s="60">
        <f t="shared" si="48"/>
        <v>302.59481222418219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13.198800000000006</v>
      </c>
      <c r="FZ41" s="13">
        <f>IF('Données projet'!$A$244&gt;35,FZ40+FY41-GH40,IF(A41&lt;'Données projet'!$A$244,$FW$205^A41,IF(A41='Données projet'!$A$244,'Données projet'!$B$244,FZ40+FY41-GH40)))</f>
        <v>258.5258</v>
      </c>
      <c r="GA41" s="18">
        <f>FZ41*VLOOKUP('Données projet'!$B$17,Paramètres!$A$1:$I$89,3,0)*VLOOKUP('Données projet'!$B$17,Paramètres!$A$1:$I$89,5,0)</f>
        <v>154.59842840000002</v>
      </c>
      <c r="GB41" s="14">
        <f t="shared" si="49"/>
        <v>39.621751412081764</v>
      </c>
      <c r="GC41" s="22">
        <f t="shared" si="25"/>
        <v>338.26681317270908</v>
      </c>
      <c r="GD41" s="60">
        <f t="shared" si="26"/>
        <v>584.45840646626777</v>
      </c>
      <c r="GE41" s="60">
        <f ca="1">AVERAGE(OFFSET($GD$3,0,0,'Données projet'!$E$17+1,1))-AVERAGE(OFFSET($H$3,0,0,'Données projet'!$E$17+1,1))</f>
        <v>216.36762889365235</v>
      </c>
      <c r="GF41" s="60">
        <f t="shared" si="50"/>
        <v>333.29599352215496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11.522780459306571</v>
      </c>
      <c r="GM41" s="23">
        <f>EXP(-LN(2)/25)*GM40+(1-EXP(-LN(2)/25))/(LN(2)/25)*Calculateur!GH41*Calculateur!GJ41*VLOOKUP('Données projet'!$B$17,Paramètres!$A$1:$I$89,3,0)*0.475*44/12</f>
        <v>7.8099615843241121</v>
      </c>
      <c r="GN41" s="23">
        <f>EXP(-LN(2)/2)*GN40+(1-EXP(-LN(2)/2))/(LN(2)/2)*GH41*GK41*VLOOKUP('Données projet'!$B$17,Paramètres!$A$1:$I$89,3,0)*0.475*44/12</f>
        <v>0.18277673105705061</v>
      </c>
      <c r="GO41" s="23">
        <f t="shared" si="27"/>
        <v>19.515518774687731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4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144.69312000000002</v>
      </c>
      <c r="P42" s="14">
        <f t="shared" si="33"/>
        <v>37.370061524802772</v>
      </c>
      <c r="Q42" s="22">
        <f t="shared" si="53"/>
        <v>317.09337448903148</v>
      </c>
      <c r="R42" s="60">
        <f t="shared" si="0"/>
        <v>564.10277157913856</v>
      </c>
      <c r="S42" s="60">
        <f ca="1">AVERAGE(OFFSET($R$3,0,0,'Données projet'!$E$9+1,1))-AVERAGE(OFFSET($H$3,0,0,'Données projet'!$E$9+1,1))</f>
        <v>496.33873798282525</v>
      </c>
      <c r="T42" s="60">
        <f t="shared" si="34"/>
        <v>280.25465074992246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9.981538461538463</v>
      </c>
      <c r="AI42" s="14">
        <f>IF('Données projet'!$A$62&gt;35,AI41+AH42-AQ41,IF(A42&lt;'Données projet'!$A$62,$AF$205^A42,IF(A42='Données projet'!$A$62,'Données projet'!$B$62,AI41+AH42-AQ41)))</f>
        <v>187.81846153846152</v>
      </c>
      <c r="AJ42" s="14">
        <f>AI42*VLOOKUP('Données projet'!$B$10,Paramètres!$A$1:$I$89,3,0)*VLOOKUP('Données projet'!$B$10,Paramètres!$A$1:$I$89,5,0)</f>
        <v>87.899039999999985</v>
      </c>
      <c r="AK42" s="14">
        <f t="shared" si="35"/>
        <v>24.05782956318463</v>
      </c>
      <c r="AL42" s="22">
        <f t="shared" si="4"/>
        <v>194.99154782254652</v>
      </c>
      <c r="AM42" s="60">
        <f t="shared" si="5"/>
        <v>442.00094491265361</v>
      </c>
      <c r="AN42" s="60">
        <f ca="1">AVERAGE(OFFSET($AM$3,0,0,'Données projet'!$E$10+1,1))-AVERAGE(OFFSET($H$3,0,0,'Données projet'!$E$10+1,1))</f>
        <v>277.7918215389401</v>
      </c>
      <c r="AO42" s="60">
        <f t="shared" si="36"/>
        <v>164.65640238394164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5.6410256410256405</v>
      </c>
      <c r="BD42" s="13">
        <f>IF('Données projet'!$A$88&gt;35,BD41+BC42-BL41,IF(A42&lt;'Données projet'!$A$88,$BA$205^A42,IF(A42='Données projet'!$A$88,'Données projet'!$B$88,BD41+BC42-BL41)))</f>
        <v>112.30769230769224</v>
      </c>
      <c r="BE42" s="14">
        <f>BD42*VLOOKUP('Données projet'!$B$11,Paramètres!$A$1:$I$89,3,0)*VLOOKUP('Données projet'!$B$11,Paramètres!$A$1:$I$89,5,0)</f>
        <v>106.87199999999994</v>
      </c>
      <c r="BF42" s="14">
        <f t="shared" si="37"/>
        <v>28.592770569129772</v>
      </c>
      <c r="BG42" s="22">
        <f t="shared" si="7"/>
        <v>235.93447540790089</v>
      </c>
      <c r="BH42" s="60">
        <f t="shared" si="8"/>
        <v>482.94387249800798</v>
      </c>
      <c r="BI42" s="60">
        <f ca="1">AVERAGE(OFFSET($BH$3,0,0,'Données projet'!$E$11+1,1))-AVERAGE(OFFSET($H$3,0,0,'Données projet'!$E$11+1,1))</f>
        <v>366.21371543563254</v>
      </c>
      <c r="BJ42" s="60">
        <f t="shared" si="38"/>
        <v>237.43356317334084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6.5384615384615383</v>
      </c>
      <c r="BY42" s="13">
        <f>IF('Données projet'!$A$114&gt;35,BY41+BX42-CG41,IF(A42&lt;'Données projet'!$A$114,$BV$205^A42,IF(A42='Données projet'!$A$114,'Données projet'!$B$114,BY41+BX42-CG41)))</f>
        <v>146.66666666666666</v>
      </c>
      <c r="BZ42" s="14">
        <f>BY42*VLOOKUP('Données projet'!$B$12,Paramètres!$A$1:$I$89,3,0)*VLOOKUP('Données projet'!$B$12,Paramètres!$A$1:$I$89,5,0)</f>
        <v>153.29599999999999</v>
      </c>
      <c r="CA42" s="14">
        <f t="shared" si="39"/>
        <v>39.326663298225597</v>
      </c>
      <c r="CB42" s="22">
        <f t="shared" si="10"/>
        <v>335.48447191107618</v>
      </c>
      <c r="CC42" s="60">
        <f t="shared" si="11"/>
        <v>582.49386900118327</v>
      </c>
      <c r="CD42" s="60">
        <f ca="1">AVERAGE(OFFSET($CC$3,0,0,'Données projet'!$E$12+1,1))-AVERAGE(OFFSET($H$3,0,0,'Données projet'!$E$12+1,1))</f>
        <v>530.79860063513229</v>
      </c>
      <c r="CE42" s="60">
        <f t="shared" si="40"/>
        <v>302.50876440460434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135.35808</v>
      </c>
      <c r="CV42" s="14">
        <f t="shared" si="41"/>
        <v>35.231528980112834</v>
      </c>
      <c r="CW42" s="22">
        <f t="shared" si="13"/>
        <v>297.11023564036316</v>
      </c>
      <c r="CX42" s="60">
        <f t="shared" si="14"/>
        <v>544.11963273047024</v>
      </c>
      <c r="CY42" s="60">
        <f ca="1">AVERAGE(OFFSET($CX$3,0,0,'Données projet'!$E$13+1,1))-AVERAGE(OFFSET($H$3,0,0,'Données projet'!$E$13+1,1))</f>
        <v>469.67944008675863</v>
      </c>
      <c r="CZ42" s="60">
        <f t="shared" si="42"/>
        <v>266.11908070867173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149.60000000000002</v>
      </c>
      <c r="DP42" s="18">
        <f>DO42*VLOOKUP('Données projet'!$B$14,Paramètres!$A$1:$I$89,3,0)*VLOOKUP('Données projet'!$B$14,Paramètres!$A$1:$I$89,5,0)</f>
        <v>161.02944000000002</v>
      </c>
      <c r="DQ42" s="14">
        <f t="shared" si="43"/>
        <v>41.074621732940685</v>
      </c>
      <c r="DR42" s="22">
        <f t="shared" si="16"/>
        <v>351.99790751820501</v>
      </c>
      <c r="DS42" s="60">
        <f t="shared" si="17"/>
        <v>599.0073046083121</v>
      </c>
      <c r="DT42" s="60">
        <f ca="1">AVERAGE(OFFSET($DS$3,0,0,'Données projet'!$E$14+1,1))-AVERAGE(OFFSET($H$3,0,0,'Données projet'!$E$14+1,1))</f>
        <v>542.90832990875208</v>
      </c>
      <c r="DU42" s="60">
        <f t="shared" si="44"/>
        <v>304.94365539329362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7.580000000000001</v>
      </c>
      <c r="EJ42" s="13">
        <f>IF('Données projet'!$A$192&gt;35,EJ41+EI42-ER41,IF(A42&lt;'Données projet'!$A$192,$EG$205^A42,IF(A42='Données projet'!$A$192,'Données projet'!$B$192,EJ41+EI42-ER41)))</f>
        <v>166.42000000000004</v>
      </c>
      <c r="EK42" s="18">
        <f>EJ42*VLOOKUP('Données projet'!$B$15,Paramètres!$A$1:$I$89,3,0)*VLOOKUP('Données projet'!$B$15,Paramètres!$A$1:$I$89,5,0)</f>
        <v>132.40375200000005</v>
      </c>
      <c r="EL42" s="14">
        <f t="shared" si="45"/>
        <v>34.551202188620394</v>
      </c>
      <c r="EM42" s="22">
        <f t="shared" si="19"/>
        <v>290.77987854518057</v>
      </c>
      <c r="EN42" s="60">
        <f t="shared" si="20"/>
        <v>537.78927563528771</v>
      </c>
      <c r="EO42" s="60">
        <f ca="1">AVERAGE(OFFSET($EN$3,0,0,'Données projet'!$E$15+1,1))-AVERAGE(OFFSET($H$3,0,0,'Données projet'!$E$15+1,1))</f>
        <v>273.72403794510291</v>
      </c>
      <c r="EP42" s="60">
        <f t="shared" si="46"/>
        <v>292.00185554564109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11.142857142857142</v>
      </c>
      <c r="FE42" s="13">
        <f>IF('Données projet'!$A$218&gt;35,FE41+FD42-FM41,IF(A42&lt;'Données projet'!$A$218,$FB$205^A42,IF(A42='Données projet'!$A$218,'Données projet'!$B$218,FE41+FD42-FM41)))</f>
        <v>174.28571428571422</v>
      </c>
      <c r="FF42" s="18">
        <f>FE42*VLOOKUP('Données projet'!$B$16,Paramètres!$A$1:$I$89,3,0)*VLOOKUP('Données projet'!$B$16,Paramètres!$A$1:$I$89,5,0)</f>
        <v>135.94285714285709</v>
      </c>
      <c r="FG42" s="14">
        <f t="shared" si="47"/>
        <v>35.365986273808367</v>
      </c>
      <c r="FH42" s="22">
        <f t="shared" si="22"/>
        <v>298.36290228402567</v>
      </c>
      <c r="FI42" s="60">
        <f t="shared" si="23"/>
        <v>545.37229937413281</v>
      </c>
      <c r="FJ42" s="60">
        <f ca="1">AVERAGE(OFFSET($FI$3,0,0,'Données projet'!$E$16+1,1))-AVERAGE(OFFSET($H$3,0,0,'Données projet'!$E$16+1,1))</f>
        <v>309.21625451786218</v>
      </c>
      <c r="FK42" s="60">
        <f t="shared" si="48"/>
        <v>302.59481222418219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13.198800000000006</v>
      </c>
      <c r="FZ42" s="13">
        <f>IF('Données projet'!$A$244&gt;35,FZ41+FY42-GH41,IF(A42&lt;'Données projet'!$A$244,$FW$205^A42,IF(A42='Données projet'!$A$244,'Données projet'!$B$244,FZ41+FY42-GH41)))</f>
        <v>271.72460000000001</v>
      </c>
      <c r="GA42" s="18">
        <f>FZ42*VLOOKUP('Données projet'!$B$17,Paramètres!$A$1:$I$89,3,0)*VLOOKUP('Données projet'!$B$17,Paramètres!$A$1:$I$89,5,0)</f>
        <v>162.49131080000001</v>
      </c>
      <c r="GB42" s="14">
        <f t="shared" si="49"/>
        <v>41.403931216412602</v>
      </c>
      <c r="GC42" s="22">
        <f t="shared" si="25"/>
        <v>355.11754651191865</v>
      </c>
      <c r="GD42" s="60">
        <f t="shared" si="26"/>
        <v>602.12694360202579</v>
      </c>
      <c r="GE42" s="60">
        <f ca="1">AVERAGE(OFFSET($GD$3,0,0,'Données projet'!$E$17+1,1))-AVERAGE(OFFSET($H$3,0,0,'Données projet'!$E$17+1,1))</f>
        <v>216.36762889365235</v>
      </c>
      <c r="GF42" s="60">
        <f t="shared" si="50"/>
        <v>333.29599352215496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11.296825762701671</v>
      </c>
      <c r="GM42" s="23">
        <f>EXP(-LN(2)/25)*GM41+(1-EXP(-LN(2)/25))/(LN(2)/25)*Calculateur!GH42*Calculateur!GJ42*VLOOKUP('Données projet'!$B$17,Paramètres!$A$1:$I$89,3,0)*0.475*44/12</f>
        <v>7.5963977740927398</v>
      </c>
      <c r="GN42" s="23">
        <f>EXP(-LN(2)/2)*GN41+(1-EXP(-LN(2)/2))/(LN(2)/2)*GH42*GK42*VLOOKUP('Données projet'!$B$17,Paramètres!$A$1:$I$89,3,0)*0.475*44/12</f>
        <v>0.12924266597355033</v>
      </c>
      <c r="GO42" s="23">
        <f t="shared" si="27"/>
        <v>19.022466202767959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4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152.81760000000003</v>
      </c>
      <c r="P43" s="14">
        <f t="shared" si="33"/>
        <v>39.218200171484227</v>
      </c>
      <c r="Q43" s="22">
        <f t="shared" si="53"/>
        <v>334.46235196533502</v>
      </c>
      <c r="R43" s="60">
        <f t="shared" si="0"/>
        <v>582.27536578445586</v>
      </c>
      <c r="S43" s="60">
        <f ca="1">AVERAGE(OFFSET($R$3,0,0,'Données projet'!$E$9+1,1))-AVERAGE(OFFSET($H$3,0,0,'Données projet'!$E$9+1,1))</f>
        <v>496.33873798282525</v>
      </c>
      <c r="T43" s="60">
        <f t="shared" si="34"/>
        <v>280.25465074992246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197.79999999999998</v>
      </c>
      <c r="AG43" s="13">
        <f>VLOOKUP(A43,'Données projet'!$A$61:$I$81,9,0)</f>
        <v>9.981538461538463</v>
      </c>
      <c r="AH43" s="13">
        <f t="array" ref="AH43">INDEX(AG:AG,MIN(IF(ISNUMBER(AG43:AG239),ROW(AG43:AG239),"")))</f>
        <v>9.981538461538463</v>
      </c>
      <c r="AI43" s="14">
        <f>IF('Données projet'!$A$62&gt;35,AI42+AH43-AQ42,IF(A43&lt;'Données projet'!$A$62,$AF$205^A43,IF(A43='Données projet'!$A$62,'Données projet'!$B$62,AI42+AH43-AQ42)))</f>
        <v>197.79999999999998</v>
      </c>
      <c r="AJ43" s="14">
        <f>AI43*VLOOKUP('Données projet'!$B$10,Paramètres!$A$1:$I$89,3,0)*VLOOKUP('Données projet'!$B$10,Paramètres!$A$1:$I$89,5,0)</f>
        <v>92.570399999999978</v>
      </c>
      <c r="AK43" s="14">
        <f t="shared" si="35"/>
        <v>25.184123943972491</v>
      </c>
      <c r="AL43" s="22">
        <f t="shared" si="4"/>
        <v>205.08912920241869</v>
      </c>
      <c r="AM43" s="60">
        <f t="shared" si="5"/>
        <v>452.90214302153947</v>
      </c>
      <c r="AN43" s="60">
        <f ca="1">AVERAGE(OFFSET($AM$3,0,0,'Données projet'!$E$10+1,1))-AVERAGE(OFFSET($H$3,0,0,'Données projet'!$E$10+1,1))</f>
        <v>277.7918215389401</v>
      </c>
      <c r="AO43" s="60">
        <f t="shared" si="36"/>
        <v>164.65640238394164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117.94871794871794</v>
      </c>
      <c r="BB43" s="13">
        <f>VLOOKUP(A43,'Données projet'!$A$87:$I$107,9,0)</f>
        <v>5.6410256410256405</v>
      </c>
      <c r="BC43" s="13">
        <f t="array" ref="BC43">INDEX(BB:BB,MIN(IF(ISNUMBER(BB43:BB239),ROW(BB43:BB239),"")))</f>
        <v>5.6410256410256405</v>
      </c>
      <c r="BD43" s="13">
        <f>IF('Données projet'!$A$88&gt;35,BD42+BC43-BL42,IF(A43&lt;'Données projet'!$A$88,$BA$205^A43,IF(A43='Données projet'!$A$88,'Données projet'!$B$88,BD42+BC43-BL42)))</f>
        <v>117.94871794871787</v>
      </c>
      <c r="BE43" s="14">
        <f>BD43*VLOOKUP('Données projet'!$B$11,Paramètres!$A$1:$I$89,3,0)*VLOOKUP('Données projet'!$B$11,Paramètres!$A$1:$I$89,5,0)</f>
        <v>112.23999999999992</v>
      </c>
      <c r="BF43" s="14">
        <f t="shared" si="37"/>
        <v>29.858125249686768</v>
      </c>
      <c r="BG43" s="22">
        <f t="shared" si="7"/>
        <v>247.48756814320427</v>
      </c>
      <c r="BH43" s="60">
        <f t="shared" si="8"/>
        <v>495.30058196232505</v>
      </c>
      <c r="BI43" s="60">
        <f ca="1">AVERAGE(OFFSET($BH$3,0,0,'Données projet'!$E$11+1,1))-AVERAGE(OFFSET($H$3,0,0,'Données projet'!$E$11+1,1))</f>
        <v>366.21371543563254</v>
      </c>
      <c r="BJ43" s="60">
        <f t="shared" si="38"/>
        <v>237.43356317334084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153.2051282051282</v>
      </c>
      <c r="BW43" s="13">
        <f>VLOOKUP(A43,'Données projet'!$A$113:$I$133,9,0)</f>
        <v>6.5384615384615383</v>
      </c>
      <c r="BX43" s="13">
        <f t="array" ref="BX43">INDEX(BW:BW,MIN(IF(ISNUMBER(BW43:BW239),ROW(BW43:BW239),"")))</f>
        <v>6.5384615384615383</v>
      </c>
      <c r="BY43" s="13">
        <f>IF('Données projet'!$A$114&gt;35,BY42+BX43-CG42,IF(A43&lt;'Données projet'!$A$114,$BV$205^A43,IF(A43='Données projet'!$A$114,'Données projet'!$B$114,BY42+BX43-CG42)))</f>
        <v>153.2051282051282</v>
      </c>
      <c r="BZ43" s="14">
        <f>BY43*VLOOKUP('Données projet'!$B$12,Paramètres!$A$1:$I$89,3,0)*VLOOKUP('Données projet'!$B$12,Paramètres!$A$1:$I$89,5,0)</f>
        <v>160.13</v>
      </c>
      <c r="CA43" s="14">
        <f t="shared" si="39"/>
        <v>40.871835883430627</v>
      </c>
      <c r="CB43" s="22">
        <f t="shared" si="10"/>
        <v>350.07819749697501</v>
      </c>
      <c r="CC43" s="60">
        <f t="shared" si="11"/>
        <v>597.89121131609579</v>
      </c>
      <c r="CD43" s="60">
        <f ca="1">AVERAGE(OFFSET($CC$3,0,0,'Données projet'!$E$12+1,1))-AVERAGE(OFFSET($H$3,0,0,'Données projet'!$E$12+1,1))</f>
        <v>530.79860063513229</v>
      </c>
      <c r="CE43" s="60">
        <f t="shared" si="40"/>
        <v>302.50876440460434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142.95840000000004</v>
      </c>
      <c r="CV43" s="14">
        <f t="shared" si="41"/>
        <v>36.973906370811264</v>
      </c>
      <c r="CW43" s="22">
        <f t="shared" si="13"/>
        <v>313.38210026249641</v>
      </c>
      <c r="CX43" s="60">
        <f t="shared" si="14"/>
        <v>561.19511408161725</v>
      </c>
      <c r="CY43" s="60">
        <f ca="1">AVERAGE(OFFSET($CX$3,0,0,'Données projet'!$E$13+1,1))-AVERAGE(OFFSET($H$3,0,0,'Données projet'!$E$13+1,1))</f>
        <v>469.67944008675863</v>
      </c>
      <c r="CZ43" s="60">
        <f t="shared" si="42"/>
        <v>266.11908070867173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158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158.00000000000003</v>
      </c>
      <c r="DP43" s="18">
        <f>DO43*VLOOKUP('Données projet'!$B$14,Paramètres!$A$1:$I$89,3,0)*VLOOKUP('Données projet'!$B$14,Paramètres!$A$1:$I$89,5,0)</f>
        <v>170.07120000000003</v>
      </c>
      <c r="DQ43" s="14">
        <f t="shared" si="43"/>
        <v>43.10596962815594</v>
      </c>
      <c r="DR43" s="22">
        <f t="shared" si="16"/>
        <v>371.28357043570503</v>
      </c>
      <c r="DS43" s="60">
        <f t="shared" si="17"/>
        <v>619.09658425482587</v>
      </c>
      <c r="DT43" s="60">
        <f ca="1">AVERAGE(OFFSET($DS$3,0,0,'Données projet'!$E$14+1,1))-AVERAGE(OFFSET($H$3,0,0,'Données projet'!$E$14+1,1))</f>
        <v>542.90832990875208</v>
      </c>
      <c r="DU43" s="60">
        <f t="shared" si="44"/>
        <v>304.94365539329362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42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174</v>
      </c>
      <c r="EH43" s="13">
        <f>VLOOKUP(A43,'Données projet'!$A$191:$I$211,9,0)</f>
        <v>7.580000000000001</v>
      </c>
      <c r="EI43" s="13">
        <f t="array" ref="EI43">INDEX(EH:EH,MIN(IF(ISNUMBER(EH43:EH239),ROW(EH43:EH239),"")))</f>
        <v>7.580000000000001</v>
      </c>
      <c r="EJ43" s="13">
        <f>IF('Données projet'!$A$192&gt;35,EJ42+EI43-ER42,IF(A43&lt;'Données projet'!$A$192,$EG$205^A43,IF(A43='Données projet'!$A$192,'Données projet'!$B$192,EJ42+EI43-ER42)))</f>
        <v>174.00000000000006</v>
      </c>
      <c r="EK43" s="18">
        <f>EJ43*VLOOKUP('Données projet'!$B$15,Paramètres!$A$1:$I$89,3,0)*VLOOKUP('Données projet'!$B$15,Paramètres!$A$1:$I$89,5,0)</f>
        <v>138.43440000000007</v>
      </c>
      <c r="EL43" s="14">
        <f t="shared" si="45"/>
        <v>35.93811411355361</v>
      </c>
      <c r="EM43" s="22">
        <f t="shared" si="19"/>
        <v>303.6987954144393</v>
      </c>
      <c r="EN43" s="60">
        <f t="shared" si="20"/>
        <v>551.51180923356014</v>
      </c>
      <c r="EO43" s="60">
        <f ca="1">AVERAGE(OFFSET($EN$3,0,0,'Données projet'!$E$15+1,1))-AVERAGE(OFFSET($H$3,0,0,'Données projet'!$E$15+1,1))</f>
        <v>273.72403794510291</v>
      </c>
      <c r="EP43" s="60">
        <f t="shared" si="46"/>
        <v>292.00185554564109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42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11.142857142857142</v>
      </c>
      <c r="FE43" s="13">
        <f>IF('Données projet'!$A$218&gt;35,FE42+FD43-FM42,IF(A43&lt;'Données projet'!$A$218,$FB$205^A43,IF(A43='Données projet'!$A$218,'Données projet'!$B$218,FE42+FD43-FM42)))</f>
        <v>185.42857142857136</v>
      </c>
      <c r="FF43" s="18">
        <f>FE43*VLOOKUP('Données projet'!$B$16,Paramètres!$A$1:$I$89,3,0)*VLOOKUP('Données projet'!$B$16,Paramètres!$A$1:$I$89,5,0)</f>
        <v>144.63428571428565</v>
      </c>
      <c r="FG43" s="14">
        <f t="shared" si="47"/>
        <v>37.356634728420524</v>
      </c>
      <c r="FH43" s="22">
        <f t="shared" si="22"/>
        <v>316.96751977104657</v>
      </c>
      <c r="FI43" s="60">
        <f t="shared" si="23"/>
        <v>564.78053359016735</v>
      </c>
      <c r="FJ43" s="60">
        <f ca="1">AVERAGE(OFFSET($FI$3,0,0,'Données projet'!$E$16+1,1))-AVERAGE(OFFSET($H$3,0,0,'Données projet'!$E$16+1,1))</f>
        <v>309.21625451786218</v>
      </c>
      <c r="FK43" s="60">
        <f t="shared" si="48"/>
        <v>302.59481222418219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13.198800000000006</v>
      </c>
      <c r="FZ43" s="13">
        <f>IF('Données projet'!$A$244&gt;35,FZ42+FY43-GH42,IF(A43&lt;'Données projet'!$A$244,$FW$205^A43,IF(A43='Données projet'!$A$244,'Données projet'!$B$244,FZ42+FY43-GH42)))</f>
        <v>284.92340000000002</v>
      </c>
      <c r="GA43" s="18">
        <f>FZ43*VLOOKUP('Données projet'!$B$17,Paramètres!$A$1:$I$89,3,0)*VLOOKUP('Données projet'!$B$17,Paramètres!$A$1:$I$89,5,0)</f>
        <v>170.38419320000003</v>
      </c>
      <c r="GB43" s="14">
        <f t="shared" si="49"/>
        <v>43.176058773516118</v>
      </c>
      <c r="GC43" s="22">
        <f t="shared" si="25"/>
        <v>371.95077218720718</v>
      </c>
      <c r="GD43" s="60">
        <f t="shared" si="26"/>
        <v>619.76378600632802</v>
      </c>
      <c r="GE43" s="60">
        <f ca="1">AVERAGE(OFFSET($GD$3,0,0,'Données projet'!$E$17+1,1))-AVERAGE(OFFSET($H$3,0,0,'Données projet'!$E$17+1,1))</f>
        <v>216.36762889365235</v>
      </c>
      <c r="GF43" s="60">
        <f t="shared" si="50"/>
        <v>333.29599352215496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11.075301899878438</v>
      </c>
      <c r="GM43" s="23">
        <f>EXP(-LN(2)/25)*GM42+(1-EXP(-LN(2)/25))/(LN(2)/25)*Calculateur!GH43*Calculateur!GJ43*VLOOKUP('Données projet'!$B$17,Paramètres!$A$1:$I$89,3,0)*0.475*44/12</f>
        <v>7.3886738774829768</v>
      </c>
      <c r="GN43" s="23">
        <f>EXP(-LN(2)/2)*GN42+(1-EXP(-LN(2)/2))/(LN(2)/2)*GH43*GK43*VLOOKUP('Données projet'!$B$17,Paramètres!$A$1:$I$89,3,0)*0.475*44/12</f>
        <v>9.1388365528525306E-2</v>
      </c>
      <c r="GO43" s="23">
        <f t="shared" si="27"/>
        <v>18.555364142889943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4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120.31968000000002</v>
      </c>
      <c r="P44" s="14">
        <f t="shared" si="33"/>
        <v>31.74954785566829</v>
      </c>
      <c r="Q44" s="22">
        <f t="shared" si="53"/>
        <v>264.85390518195561</v>
      </c>
      <c r="R44" s="60">
        <f t="shared" si="0"/>
        <v>513.45659477645961</v>
      </c>
      <c r="S44" s="60">
        <f ca="1">AVERAGE(OFFSET($R$3,0,0,'Données projet'!$E$9+1,1))-AVERAGE(OFFSET($H$3,0,0,'Données projet'!$E$9+1,1))</f>
        <v>496.33873798282525</v>
      </c>
      <c r="T44" s="60">
        <f t="shared" si="34"/>
        <v>280.25465074992246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10.869230769230773</v>
      </c>
      <c r="AI44" s="14">
        <f>IF('Données projet'!$A$62&gt;35,AI43+AH44-AQ43,IF(A44&lt;'Données projet'!$A$62,$AF$205^A44,IF(A44='Données projet'!$A$62,'Données projet'!$B$62,AI43+AH44-AQ43)))</f>
        <v>208.66923076923075</v>
      </c>
      <c r="AJ44" s="14">
        <f>AI44*VLOOKUP('Données projet'!$B$10,Paramètres!$A$1:$I$89,3,0)*VLOOKUP('Données projet'!$B$10,Paramètres!$A$1:$I$89,5,0)</f>
        <v>97.657199999999989</v>
      </c>
      <c r="AK44" s="14">
        <f t="shared" si="35"/>
        <v>26.403090007431878</v>
      </c>
      <c r="AL44" s="22">
        <f t="shared" si="4"/>
        <v>216.07167176294379</v>
      </c>
      <c r="AM44" s="60">
        <f t="shared" si="5"/>
        <v>464.67436135744776</v>
      </c>
      <c r="AN44" s="60">
        <f ca="1">AVERAGE(OFFSET($AM$3,0,0,'Données projet'!$E$10+1,1))-AVERAGE(OFFSET($H$3,0,0,'Données projet'!$E$10+1,1))</f>
        <v>277.7918215389401</v>
      </c>
      <c r="AO44" s="60">
        <f t="shared" si="36"/>
        <v>164.65640238394164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5.6410256410256441</v>
      </c>
      <c r="BD44" s="13">
        <f>IF('Données projet'!$A$88&gt;35,BD43+BC44-BL43,IF(A44&lt;'Données projet'!$A$88,$BA$205^A44,IF(A44='Données projet'!$A$88,'Données projet'!$B$88,BD43+BC44-BL43)))</f>
        <v>123.58974358974352</v>
      </c>
      <c r="BE44" s="14">
        <f>BD44*VLOOKUP('Données projet'!$B$11,Paramètres!$A$1:$I$89,3,0)*VLOOKUP('Données projet'!$B$11,Paramètres!$A$1:$I$89,5,0)</f>
        <v>117.60799999999993</v>
      </c>
      <c r="BF44" s="14">
        <f t="shared" si="37"/>
        <v>31.11645249810654</v>
      </c>
      <c r="BG44" s="22">
        <f t="shared" si="7"/>
        <v>259.02842143420213</v>
      </c>
      <c r="BH44" s="60">
        <f t="shared" si="8"/>
        <v>507.63111102870607</v>
      </c>
      <c r="BI44" s="60">
        <f ca="1">AVERAGE(OFFSET($BH$3,0,0,'Données projet'!$E$11+1,1))-AVERAGE(OFFSET($H$3,0,0,'Données projet'!$E$11+1,1))</f>
        <v>366.21371543563254</v>
      </c>
      <c r="BJ44" s="60">
        <f t="shared" si="38"/>
        <v>237.43356317334084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6.2820512820512819</v>
      </c>
      <c r="BY44" s="13">
        <f>IF('Données projet'!$A$114&gt;35,BY43+BX44-CG43,IF(A44&lt;'Données projet'!$A$114,$BV$205^A44,IF(A44='Données projet'!$A$114,'Données projet'!$B$114,BY43+BX44-CG43)))</f>
        <v>159.48717948717947</v>
      </c>
      <c r="BZ44" s="14">
        <f>BY44*VLOOKUP('Données projet'!$B$12,Paramètres!$A$1:$I$89,3,0)*VLOOKUP('Données projet'!$B$12,Paramètres!$A$1:$I$89,5,0)</f>
        <v>166.696</v>
      </c>
      <c r="CA44" s="14">
        <f t="shared" si="39"/>
        <v>42.349194354690347</v>
      </c>
      <c r="CB44" s="22">
        <f t="shared" si="10"/>
        <v>364.08704683441897</v>
      </c>
      <c r="CC44" s="60">
        <f t="shared" si="11"/>
        <v>612.68973642892297</v>
      </c>
      <c r="CD44" s="60">
        <f ca="1">AVERAGE(OFFSET($CC$3,0,0,'Données projet'!$E$12+1,1))-AVERAGE(OFFSET($H$3,0,0,'Données projet'!$E$12+1,1))</f>
        <v>530.79860063513229</v>
      </c>
      <c r="CE44" s="60">
        <f t="shared" si="40"/>
        <v>302.50876440460434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112.55712000000003</v>
      </c>
      <c r="CV44" s="14">
        <f t="shared" si="41"/>
        <v>29.932653834140599</v>
      </c>
      <c r="CW44" s="22">
        <f t="shared" si="13"/>
        <v>248.16968942779496</v>
      </c>
      <c r="CX44" s="60">
        <f t="shared" si="14"/>
        <v>496.77237902229894</v>
      </c>
      <c r="CY44" s="60">
        <f ca="1">AVERAGE(OFFSET($CX$3,0,0,'Données projet'!$E$13+1,1))-AVERAGE(OFFSET($H$3,0,0,'Données projet'!$E$13+1,1))</f>
        <v>469.67944008675863</v>
      </c>
      <c r="CZ44" s="60">
        <f t="shared" si="42"/>
        <v>266.11908070867173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124.40000000000003</v>
      </c>
      <c r="DP44" s="18">
        <f>DO44*VLOOKUP('Données projet'!$B$14,Paramètres!$A$1:$I$89,3,0)*VLOOKUP('Données projet'!$B$14,Paramètres!$A$1:$I$89,5,0)</f>
        <v>133.90416000000002</v>
      </c>
      <c r="DQ44" s="14">
        <f t="shared" si="43"/>
        <v>34.896936615903982</v>
      </c>
      <c r="DR44" s="22">
        <f t="shared" si="16"/>
        <v>293.99524327269938</v>
      </c>
      <c r="DS44" s="60">
        <f t="shared" si="17"/>
        <v>542.59793286720333</v>
      </c>
      <c r="DT44" s="60">
        <f ca="1">AVERAGE(OFFSET($DS$3,0,0,'Données projet'!$E$14+1,1))-AVERAGE(OFFSET($H$3,0,0,'Données projet'!$E$14+1,1))</f>
        <v>542.90832990875208</v>
      </c>
      <c r="DU44" s="60">
        <f t="shared" si="44"/>
        <v>304.94365539329362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6.5200000000000049</v>
      </c>
      <c r="EJ44" s="13">
        <f>IF('Données projet'!$A$192&gt;35,EJ43+EI44-ER43,IF(A44&lt;'Données projet'!$A$192,$EG$205^A44,IF(A44='Données projet'!$A$192,'Données projet'!$B$192,EJ43+EI44-ER43)))</f>
        <v>138.52000000000007</v>
      </c>
      <c r="EK44" s="18">
        <f>EJ44*VLOOKUP('Données projet'!$B$15,Paramètres!$A$1:$I$89,3,0)*VLOOKUP('Données projet'!$B$15,Paramètres!$A$1:$I$89,5,0)</f>
        <v>110.20651200000005</v>
      </c>
      <c r="EL44" s="14">
        <f t="shared" si="45"/>
        <v>29.379635097890549</v>
      </c>
      <c r="EM44" s="22">
        <f t="shared" si="19"/>
        <v>243.11253952882612</v>
      </c>
      <c r="EN44" s="60">
        <f t="shared" si="20"/>
        <v>491.71522912333012</v>
      </c>
      <c r="EO44" s="60">
        <f ca="1">AVERAGE(OFFSET($EN$3,0,0,'Données projet'!$E$15+1,1))-AVERAGE(OFFSET($H$3,0,0,'Données projet'!$E$15+1,1))</f>
        <v>273.72403794510291</v>
      </c>
      <c r="EP44" s="60">
        <f t="shared" si="46"/>
        <v>292.00185554564109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11.142857142857142</v>
      </c>
      <c r="FE44" s="13">
        <f>IF('Données projet'!$A$218&gt;35,FE43+FD44-FM43,IF(A44&lt;'Données projet'!$A$218,$FB$205^A44,IF(A44='Données projet'!$A$218,'Données projet'!$B$218,FE43+FD44-FM43)))</f>
        <v>196.5714285714285</v>
      </c>
      <c r="FF44" s="18">
        <f>FE44*VLOOKUP('Données projet'!$B$16,Paramètres!$A$1:$I$89,3,0)*VLOOKUP('Données projet'!$B$16,Paramètres!$A$1:$I$89,5,0)</f>
        <v>153.32571428571424</v>
      </c>
      <c r="FG44" s="14">
        <f t="shared" si="47"/>
        <v>39.333398837614155</v>
      </c>
      <c r="FH44" s="22">
        <f t="shared" si="22"/>
        <v>335.5479553564636</v>
      </c>
      <c r="FI44" s="60">
        <f t="shared" si="23"/>
        <v>584.1506449509676</v>
      </c>
      <c r="FJ44" s="60">
        <f ca="1">AVERAGE(OFFSET($FI$3,0,0,'Données projet'!$E$16+1,1))-AVERAGE(OFFSET($H$3,0,0,'Données projet'!$E$16+1,1))</f>
        <v>309.21625451786218</v>
      </c>
      <c r="FK44" s="60">
        <f t="shared" si="48"/>
        <v>302.59481222418219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13.198800000000006</v>
      </c>
      <c r="FZ44" s="13">
        <f>IF('Données projet'!$A$244&gt;35,FZ43+FY44-GH43,IF(A44&lt;'Données projet'!$A$244,$FW$205^A44,IF(A44='Données projet'!$A$244,'Données projet'!$B$244,FZ43+FY44-GH43)))</f>
        <v>298.12220000000002</v>
      </c>
      <c r="GA44" s="18">
        <f>FZ44*VLOOKUP('Données projet'!$B$17,Paramètres!$A$1:$I$89,3,0)*VLOOKUP('Données projet'!$B$17,Paramètres!$A$1:$I$89,5,0)</f>
        <v>178.27707560000005</v>
      </c>
      <c r="GB44" s="14">
        <f t="shared" si="49"/>
        <v>44.938652927177529</v>
      </c>
      <c r="GC44" s="22">
        <f t="shared" si="25"/>
        <v>388.76739385150091</v>
      </c>
      <c r="GD44" s="60">
        <f t="shared" si="26"/>
        <v>637.37008344600486</v>
      </c>
      <c r="GE44" s="60">
        <f ca="1">AVERAGE(OFFSET($GD$3,0,0,'Données projet'!$E$17+1,1))-AVERAGE(OFFSET($H$3,0,0,'Données projet'!$E$17+1,1))</f>
        <v>216.36762889365235</v>
      </c>
      <c r="GF44" s="60">
        <f t="shared" si="50"/>
        <v>333.29599352215496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10.858121984888953</v>
      </c>
      <c r="GM44" s="23">
        <f>EXP(-LN(2)/25)*GM43+(1-EXP(-LN(2)/25))/(LN(2)/25)*Calculateur!GH44*Calculateur!GJ44*VLOOKUP('Données projet'!$B$17,Paramètres!$A$1:$I$89,3,0)*0.475*44/12</f>
        <v>7.1866302017497325</v>
      </c>
      <c r="GN44" s="23">
        <f>EXP(-LN(2)/2)*GN43+(1-EXP(-LN(2)/2))/(LN(2)/2)*GH44*GK44*VLOOKUP('Données projet'!$B$17,Paramètres!$A$1:$I$89,3,0)*0.475*44/12</f>
        <v>6.4621332986775165E-2</v>
      </c>
      <c r="GO44" s="23">
        <f t="shared" si="27"/>
        <v>18.109373519625461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4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128.44416000000004</v>
      </c>
      <c r="P45" s="14">
        <f t="shared" si="33"/>
        <v>33.636598855068954</v>
      </c>
      <c r="Q45" s="22">
        <f t="shared" si="53"/>
        <v>282.29065500591184</v>
      </c>
      <c r="R45" s="60">
        <f t="shared" si="0"/>
        <v>531.6693212665466</v>
      </c>
      <c r="S45" s="60">
        <f ca="1">AVERAGE(OFFSET($R$3,0,0,'Données projet'!$E$9+1,1))-AVERAGE(OFFSET($H$3,0,0,'Données projet'!$E$9+1,1))</f>
        <v>496.33873798282525</v>
      </c>
      <c r="T45" s="60">
        <f t="shared" si="34"/>
        <v>280.25465074992246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10.869230769230773</v>
      </c>
      <c r="AI45" s="14">
        <f>IF('Données projet'!$A$62&gt;35,AI44+AH45-AQ44,IF(A45&lt;'Données projet'!$A$62,$AF$205^A45,IF(A45='Données projet'!$A$62,'Données projet'!$B$62,AI44+AH45-AQ44)))</f>
        <v>219.53846153846152</v>
      </c>
      <c r="AJ45" s="14">
        <f>AI45*VLOOKUP('Données projet'!$B$10,Paramètres!$A$1:$I$89,3,0)*VLOOKUP('Données projet'!$B$10,Paramètres!$A$1:$I$89,5,0)</f>
        <v>102.74399999999999</v>
      </c>
      <c r="AK45" s="14">
        <f t="shared" si="35"/>
        <v>27.614684221611544</v>
      </c>
      <c r="AL45" s="22">
        <f t="shared" si="4"/>
        <v>227.04137501930674</v>
      </c>
      <c r="AM45" s="60">
        <f t="shared" si="5"/>
        <v>476.42004127994147</v>
      </c>
      <c r="AN45" s="60">
        <f ca="1">AVERAGE(OFFSET($AM$3,0,0,'Données projet'!$E$10+1,1))-AVERAGE(OFFSET($H$3,0,0,'Données projet'!$E$10+1,1))</f>
        <v>277.7918215389401</v>
      </c>
      <c r="AO45" s="60">
        <f t="shared" si="36"/>
        <v>164.65640238394164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5.6410256410256441</v>
      </c>
      <c r="BD45" s="13">
        <f>IF('Données projet'!$A$88&gt;35,BD44+BC45-BL44,IF(A45&lt;'Données projet'!$A$88,$BA$205^A45,IF(A45='Données projet'!$A$88,'Données projet'!$B$88,BD44+BC45-BL44)))</f>
        <v>129.23076923076917</v>
      </c>
      <c r="BE45" s="14">
        <f>BD45*VLOOKUP('Données projet'!$B$11,Paramètres!$A$1:$I$89,3,0)*VLOOKUP('Données projet'!$B$11,Paramètres!$A$1:$I$89,5,0)</f>
        <v>122.97599999999994</v>
      </c>
      <c r="BF45" s="14">
        <f t="shared" si="37"/>
        <v>32.368109708379897</v>
      </c>
      <c r="BG45" s="22">
        <f t="shared" si="7"/>
        <v>270.55765774209488</v>
      </c>
      <c r="BH45" s="60">
        <f t="shared" si="8"/>
        <v>519.93632400272963</v>
      </c>
      <c r="BI45" s="60">
        <f ca="1">AVERAGE(OFFSET($BH$3,0,0,'Données projet'!$E$11+1,1))-AVERAGE(OFFSET($H$3,0,0,'Données projet'!$E$11+1,1))</f>
        <v>366.21371543563254</v>
      </c>
      <c r="BJ45" s="60">
        <f t="shared" si="38"/>
        <v>237.43356317334084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6.2820512820512819</v>
      </c>
      <c r="BY45" s="13">
        <f>IF('Données projet'!$A$114&gt;35,BY44+BX45-CG44,IF(A45&lt;'Données projet'!$A$114,$BV$205^A45,IF(A45='Données projet'!$A$114,'Données projet'!$B$114,BY44+BX45-CG44)))</f>
        <v>165.76923076923075</v>
      </c>
      <c r="BZ45" s="14">
        <f>BY45*VLOOKUP('Données projet'!$B$12,Paramètres!$A$1:$I$89,3,0)*VLOOKUP('Données projet'!$B$12,Paramètres!$A$1:$I$89,5,0)</f>
        <v>173.26199999999997</v>
      </c>
      <c r="CA45" s="14">
        <f t="shared" si="39"/>
        <v>43.819792961659338</v>
      </c>
      <c r="CB45" s="22">
        <f t="shared" si="10"/>
        <v>378.08412274155666</v>
      </c>
      <c r="CC45" s="60">
        <f t="shared" si="11"/>
        <v>627.46278900219136</v>
      </c>
      <c r="CD45" s="60">
        <f ca="1">AVERAGE(OFFSET($CC$3,0,0,'Données projet'!$E$12+1,1))-AVERAGE(OFFSET($H$3,0,0,'Données projet'!$E$12+1,1))</f>
        <v>530.79860063513229</v>
      </c>
      <c r="CE45" s="60">
        <f t="shared" si="40"/>
        <v>302.50876440460434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120.15744000000002</v>
      </c>
      <c r="CV45" s="14">
        <f t="shared" si="41"/>
        <v>31.711716786129845</v>
      </c>
      <c r="CW45" s="22">
        <f t="shared" si="13"/>
        <v>264.50544806917623</v>
      </c>
      <c r="CX45" s="60">
        <f t="shared" si="14"/>
        <v>513.88411432981093</v>
      </c>
      <c r="CY45" s="60">
        <f ca="1">AVERAGE(OFFSET($CX$3,0,0,'Données projet'!$E$13+1,1))-AVERAGE(OFFSET($H$3,0,0,'Données projet'!$E$13+1,1))</f>
        <v>469.67944008675863</v>
      </c>
      <c r="CZ45" s="60">
        <f t="shared" si="42"/>
        <v>266.11908070867173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132.80000000000004</v>
      </c>
      <c r="DP45" s="18">
        <f>DO45*VLOOKUP('Données projet'!$B$14,Paramètres!$A$1:$I$89,3,0)*VLOOKUP('Données projet'!$B$14,Paramètres!$A$1:$I$89,5,0)</f>
        <v>142.94592000000003</v>
      </c>
      <c r="DQ45" s="14">
        <f t="shared" si="43"/>
        <v>36.971054314096854</v>
      </c>
      <c r="DR45" s="22">
        <f t="shared" si="16"/>
        <v>313.35539693038538</v>
      </c>
      <c r="DS45" s="60">
        <f t="shared" si="17"/>
        <v>562.73406319102014</v>
      </c>
      <c r="DT45" s="60">
        <f ca="1">AVERAGE(OFFSET($DS$3,0,0,'Données projet'!$E$14+1,1))-AVERAGE(OFFSET($H$3,0,0,'Données projet'!$E$14+1,1))</f>
        <v>542.90832990875208</v>
      </c>
      <c r="DU45" s="60">
        <f t="shared" si="44"/>
        <v>304.94365539329362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6.5200000000000049</v>
      </c>
      <c r="EJ45" s="13">
        <f>IF('Données projet'!$A$192&gt;35,EJ44+EI45-ER44,IF(A45&lt;'Données projet'!$A$192,$EG$205^A45,IF(A45='Données projet'!$A$192,'Données projet'!$B$192,EJ44+EI45-ER44)))</f>
        <v>145.04000000000008</v>
      </c>
      <c r="EK45" s="18">
        <f>EJ45*VLOOKUP('Données projet'!$B$15,Paramètres!$A$1:$I$89,3,0)*VLOOKUP('Données projet'!$B$15,Paramètres!$A$1:$I$89,5,0)</f>
        <v>115.39382400000007</v>
      </c>
      <c r="EL45" s="14">
        <f t="shared" si="45"/>
        <v>30.598249373791383</v>
      </c>
      <c r="EM45" s="22">
        <f t="shared" si="19"/>
        <v>254.26952779268677</v>
      </c>
      <c r="EN45" s="60">
        <f t="shared" si="20"/>
        <v>503.6481940533215</v>
      </c>
      <c r="EO45" s="60">
        <f ca="1">AVERAGE(OFFSET($EN$3,0,0,'Données projet'!$E$15+1,1))-AVERAGE(OFFSET($H$3,0,0,'Données projet'!$E$15+1,1))</f>
        <v>273.72403794510291</v>
      </c>
      <c r="EP45" s="60">
        <f t="shared" si="46"/>
        <v>292.00185554564109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11.142857142857142</v>
      </c>
      <c r="FE45" s="13">
        <f>IF('Données projet'!$A$218&gt;35,FE44+FD45-FM44,IF(A45&lt;'Données projet'!$A$218,$FB$205^A45,IF(A45='Données projet'!$A$218,'Données projet'!$B$218,FE44+FD45-FM44)))</f>
        <v>207.71428571428564</v>
      </c>
      <c r="FF45" s="18">
        <f>FE45*VLOOKUP('Données projet'!$B$16,Paramètres!$A$1:$I$89,3,0)*VLOOKUP('Données projet'!$B$16,Paramètres!$A$1:$I$89,5,0)</f>
        <v>162.0171428571428</v>
      </c>
      <c r="FG45" s="14">
        <f t="shared" si="47"/>
        <v>41.29715533509664</v>
      </c>
      <c r="FH45" s="22">
        <f t="shared" si="22"/>
        <v>354.10573601815037</v>
      </c>
      <c r="FI45" s="60">
        <f t="shared" si="23"/>
        <v>603.48440227878507</v>
      </c>
      <c r="FJ45" s="60">
        <f ca="1">AVERAGE(OFFSET($FI$3,0,0,'Données projet'!$E$16+1,1))-AVERAGE(OFFSET($H$3,0,0,'Données projet'!$E$16+1,1))</f>
        <v>309.21625451786218</v>
      </c>
      <c r="FK45" s="60">
        <f t="shared" si="48"/>
        <v>302.59481222418219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>
        <f>VLOOKUP(A45,'Données projet'!$A$243:$I$263,2,0)</f>
        <v>311.32100000000003</v>
      </c>
      <c r="FX45" s="13">
        <f>VLOOKUP(A45,'Données projet'!$A$243:$I$263,9,0)</f>
        <v>13.198800000000006</v>
      </c>
      <c r="FY45" s="13">
        <f t="array" ref="FY45">INDEX(FX:FX,MIN(IF(ISNUMBER(FX45:FX241),ROW(FX45:FX241),"")))</f>
        <v>13.198800000000006</v>
      </c>
      <c r="FZ45" s="13">
        <f>IF('Données projet'!$A$244&gt;35,FZ44+FY45-GH44,IF(A45&lt;'Données projet'!$A$244,$FW$205^A45,IF(A45='Données projet'!$A$244,'Données projet'!$B$244,FZ44+FY45-GH44)))</f>
        <v>311.32100000000003</v>
      </c>
      <c r="GA45" s="18">
        <f>FZ45*VLOOKUP('Données projet'!$B$17,Paramètres!$A$1:$I$89,3,0)*VLOOKUP('Données projet'!$B$17,Paramètres!$A$1:$I$89,5,0)</f>
        <v>186.16995800000001</v>
      </c>
      <c r="GB45" s="14">
        <f t="shared" si="49"/>
        <v>46.692183981977394</v>
      </c>
      <c r="GC45" s="22">
        <f t="shared" si="25"/>
        <v>405.56823061861064</v>
      </c>
      <c r="GD45" s="60">
        <f t="shared" si="26"/>
        <v>654.9468968792454</v>
      </c>
      <c r="GE45" s="60">
        <f ca="1">AVERAGE(OFFSET($GD$3,0,0,'Données projet'!$E$17+1,1))-AVERAGE(OFFSET($H$3,0,0,'Données projet'!$E$17+1,1))</f>
        <v>216.36762889365235</v>
      </c>
      <c r="GF45" s="60">
        <f t="shared" si="50"/>
        <v>333.29599352215496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10.645200835565744</v>
      </c>
      <c r="GM45" s="23">
        <f>EXP(-LN(2)/25)*GM44+(1-EXP(-LN(2)/25))/(LN(2)/25)*Calculateur!GH45*Calculateur!GJ45*VLOOKUP('Données projet'!$B$17,Paramètres!$A$1:$I$89,3,0)*0.475*44/12</f>
        <v>6.9901114209544293</v>
      </c>
      <c r="GN45" s="23">
        <f>EXP(-LN(2)/2)*GN44+(1-EXP(-LN(2)/2))/(LN(2)/2)*GH45*GK45*VLOOKUP('Données projet'!$B$17,Paramètres!$A$1:$I$89,3,0)*0.475*44/12</f>
        <v>4.5694182764262653E-2</v>
      </c>
      <c r="GO45" s="23">
        <f t="shared" si="27"/>
        <v>17.681006439284435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4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136.56864000000004</v>
      </c>
      <c r="P46" s="14">
        <f t="shared" si="33"/>
        <v>35.509797430964703</v>
      </c>
      <c r="Q46" s="22">
        <f t="shared" si="53"/>
        <v>299.70327852559694</v>
      </c>
      <c r="R46" s="60">
        <f t="shared" si="0"/>
        <v>549.84445999202899</v>
      </c>
      <c r="S46" s="60">
        <f ca="1">AVERAGE(OFFSET($R$3,0,0,'Données projet'!$E$9+1,1))-AVERAGE(OFFSET($H$3,0,0,'Données projet'!$E$9+1,1))</f>
        <v>496.33873798282525</v>
      </c>
      <c r="T46" s="60">
        <f t="shared" si="34"/>
        <v>280.25465074992246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10.869230769230773</v>
      </c>
      <c r="AI46" s="14">
        <f>IF('Données projet'!$A$62&gt;35,AI45+AH46-AQ45,IF(A46&lt;'Données projet'!$A$62,$AF$205^A46,IF(A46='Données projet'!$A$62,'Données projet'!$B$62,AI45+AH46-AQ45)))</f>
        <v>230.40769230769229</v>
      </c>
      <c r="AJ46" s="14">
        <f>AI46*VLOOKUP('Données projet'!$B$10,Paramètres!$A$1:$I$89,3,0)*VLOOKUP('Données projet'!$B$10,Paramètres!$A$1:$I$89,5,0)</f>
        <v>107.8308</v>
      </c>
      <c r="AK46" s="14">
        <f t="shared" si="35"/>
        <v>28.819313214368158</v>
      </c>
      <c r="AL46" s="22">
        <f t="shared" si="4"/>
        <v>237.99894718169116</v>
      </c>
      <c r="AM46" s="60">
        <f t="shared" si="5"/>
        <v>488.14012864812321</v>
      </c>
      <c r="AN46" s="60">
        <f ca="1">AVERAGE(OFFSET($AM$3,0,0,'Données projet'!$E$10+1,1))-AVERAGE(OFFSET($H$3,0,0,'Données projet'!$E$10+1,1))</f>
        <v>277.7918215389401</v>
      </c>
      <c r="AO46" s="60">
        <f t="shared" si="36"/>
        <v>164.65640238394164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5.6410256410256441</v>
      </c>
      <c r="BD46" s="13">
        <f>IF('Données projet'!$A$88&gt;35,BD45+BC46-BL45,IF(A46&lt;'Données projet'!$A$88,$BA$205^A46,IF(A46='Données projet'!$A$88,'Données projet'!$B$88,BD45+BC46-BL45)))</f>
        <v>134.8717948717948</v>
      </c>
      <c r="BE46" s="14">
        <f>BD46*VLOOKUP('Données projet'!$B$11,Paramètres!$A$1:$I$89,3,0)*VLOOKUP('Données projet'!$B$11,Paramètres!$A$1:$I$89,5,0)</f>
        <v>128.34399999999994</v>
      </c>
      <c r="BF46" s="14">
        <f t="shared" si="37"/>
        <v>33.613421309084202</v>
      </c>
      <c r="BG46" s="22">
        <f t="shared" si="7"/>
        <v>282.07584211332147</v>
      </c>
      <c r="BH46" s="60">
        <f t="shared" si="8"/>
        <v>532.21702357975346</v>
      </c>
      <c r="BI46" s="60">
        <f ca="1">AVERAGE(OFFSET($BH$3,0,0,'Données projet'!$E$11+1,1))-AVERAGE(OFFSET($H$3,0,0,'Données projet'!$E$11+1,1))</f>
        <v>366.21371543563254</v>
      </c>
      <c r="BJ46" s="60">
        <f t="shared" si="38"/>
        <v>237.43356317334084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6.2820512820512819</v>
      </c>
      <c r="BY46" s="13">
        <f>IF('Données projet'!$A$114&gt;35,BY45+BX46-CG45,IF(A46&lt;'Données projet'!$A$114,$BV$205^A46,IF(A46='Données projet'!$A$114,'Données projet'!$B$114,BY45+BX46-CG45)))</f>
        <v>172.05128205128202</v>
      </c>
      <c r="BZ46" s="14">
        <f>BY46*VLOOKUP('Données projet'!$B$12,Paramètres!$A$1:$I$89,3,0)*VLOOKUP('Données projet'!$B$12,Paramètres!$A$1:$I$89,5,0)</f>
        <v>179.82799999999997</v>
      </c>
      <c r="CA46" s="14">
        <f t="shared" si="39"/>
        <v>45.283917206572795</v>
      </c>
      <c r="CB46" s="22">
        <f t="shared" si="10"/>
        <v>392.06992246811427</v>
      </c>
      <c r="CC46" s="60">
        <f t="shared" si="11"/>
        <v>642.21110393454637</v>
      </c>
      <c r="CD46" s="60">
        <f ca="1">AVERAGE(OFFSET($CC$3,0,0,'Données projet'!$E$12+1,1))-AVERAGE(OFFSET($H$3,0,0,'Données projet'!$E$12+1,1))</f>
        <v>530.79860063513229</v>
      </c>
      <c r="CE46" s="60">
        <f t="shared" si="40"/>
        <v>302.50876440460434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127.75776000000003</v>
      </c>
      <c r="CV46" s="14">
        <f t="shared" si="41"/>
        <v>33.477720030956604</v>
      </c>
      <c r="CW46" s="22">
        <f t="shared" si="13"/>
        <v>280.81846105391611</v>
      </c>
      <c r="CX46" s="60">
        <f t="shared" si="14"/>
        <v>530.9596425203481</v>
      </c>
      <c r="CY46" s="60">
        <f ca="1">AVERAGE(OFFSET($CX$3,0,0,'Données projet'!$E$13+1,1))-AVERAGE(OFFSET($H$3,0,0,'Données projet'!$E$13+1,1))</f>
        <v>469.67944008675863</v>
      </c>
      <c r="CZ46" s="60">
        <f t="shared" si="42"/>
        <v>266.11908070867173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141.20000000000005</v>
      </c>
      <c r="DP46" s="18">
        <f>DO46*VLOOKUP('Données projet'!$B$14,Paramètres!$A$1:$I$89,3,0)*VLOOKUP('Données projet'!$B$14,Paramètres!$A$1:$I$89,5,0)</f>
        <v>151.98768000000004</v>
      </c>
      <c r="DQ46" s="14">
        <f t="shared" si="43"/>
        <v>39.029946373574369</v>
      </c>
      <c r="DR46" s="22">
        <f t="shared" si="16"/>
        <v>332.68903260064207</v>
      </c>
      <c r="DS46" s="60">
        <f t="shared" si="17"/>
        <v>582.83021406707417</v>
      </c>
      <c r="DT46" s="60">
        <f ca="1">AVERAGE(OFFSET($DS$3,0,0,'Données projet'!$E$14+1,1))-AVERAGE(OFFSET($H$3,0,0,'Données projet'!$E$14+1,1))</f>
        <v>542.90832990875208</v>
      </c>
      <c r="DU46" s="60">
        <f t="shared" si="44"/>
        <v>304.94365539329362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6.5200000000000049</v>
      </c>
      <c r="EJ46" s="13">
        <f>IF('Données projet'!$A$192&gt;35,EJ45+EI46-ER45,IF(A46&lt;'Données projet'!$A$192,$EG$205^A46,IF(A46='Données projet'!$A$192,'Données projet'!$B$192,EJ45+EI46-ER45)))</f>
        <v>151.56000000000009</v>
      </c>
      <c r="EK46" s="18">
        <f>EJ46*VLOOKUP('Données projet'!$B$15,Paramètres!$A$1:$I$89,3,0)*VLOOKUP('Données projet'!$B$15,Paramètres!$A$1:$I$89,5,0)</f>
        <v>120.58113600000009</v>
      </c>
      <c r="EL46" s="14">
        <f t="shared" si="45"/>
        <v>31.810501589257477</v>
      </c>
      <c r="EM46" s="22">
        <f t="shared" si="19"/>
        <v>265.41543546795691</v>
      </c>
      <c r="EN46" s="60">
        <f t="shared" si="20"/>
        <v>515.55661693438901</v>
      </c>
      <c r="EO46" s="60">
        <f ca="1">AVERAGE(OFFSET($EN$3,0,0,'Données projet'!$E$15+1,1))-AVERAGE(OFFSET($H$3,0,0,'Données projet'!$E$15+1,1))</f>
        <v>273.72403794510291</v>
      </c>
      <c r="EP46" s="60">
        <f t="shared" si="46"/>
        <v>292.00185554564109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11.142857142857142</v>
      </c>
      <c r="FE46" s="13">
        <f>IF('Données projet'!$A$218&gt;35,FE45+FD46-FM45,IF(A46&lt;'Données projet'!$A$218,$FB$205^A46,IF(A46='Données projet'!$A$218,'Données projet'!$B$218,FE45+FD46-FM45)))</f>
        <v>218.85714285714278</v>
      </c>
      <c r="FF46" s="18">
        <f>FE46*VLOOKUP('Données projet'!$B$16,Paramètres!$A$1:$I$89,3,0)*VLOOKUP('Données projet'!$B$16,Paramètres!$A$1:$I$89,5,0)</f>
        <v>170.70857142857136</v>
      </c>
      <c r="FG46" s="14">
        <f t="shared" si="47"/>
        <v>43.248681576985376</v>
      </c>
      <c r="FH46" s="22">
        <f t="shared" si="22"/>
        <v>372.64221565134466</v>
      </c>
      <c r="FI46" s="60">
        <f t="shared" si="23"/>
        <v>622.78339711777676</v>
      </c>
      <c r="FJ46" s="60">
        <f ca="1">AVERAGE(OFFSET($FI$3,0,0,'Données projet'!$E$16+1,1))-AVERAGE(OFFSET($H$3,0,0,'Données projet'!$E$16+1,1))</f>
        <v>309.21625451786218</v>
      </c>
      <c r="FK46" s="60">
        <f t="shared" si="48"/>
        <v>302.59481222418219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13.234499999999969</v>
      </c>
      <c r="FZ46" s="13">
        <f>IF('Données projet'!$A$244&gt;35,FZ45+FY46-GH45,IF(A46&lt;'Données projet'!$A$244,$FW$205^A46,IF(A46='Données projet'!$A$244,'Données projet'!$B$244,FZ45+FY46-GH45)))</f>
        <v>324.55549999999999</v>
      </c>
      <c r="GA46" s="18">
        <f>FZ46*VLOOKUP('Données projet'!$B$17,Paramètres!$A$1:$I$89,3,0)*VLOOKUP('Données projet'!$B$17,Paramètres!$A$1:$I$89,5,0)</f>
        <v>194.08418900000004</v>
      </c>
      <c r="GB46" s="14">
        <f t="shared" si="49"/>
        <v>48.441788341086252</v>
      </c>
      <c r="GC46" s="22">
        <f t="shared" si="25"/>
        <v>422.39941053572528</v>
      </c>
      <c r="GD46" s="60">
        <f t="shared" si="26"/>
        <v>672.54059200215738</v>
      </c>
      <c r="GE46" s="60">
        <f ca="1">AVERAGE(OFFSET($GD$3,0,0,'Données projet'!$E$17+1,1))-AVERAGE(OFFSET($H$3,0,0,'Données projet'!$E$17+1,1))</f>
        <v>216.36762889365235</v>
      </c>
      <c r="GF46" s="60">
        <f t="shared" si="50"/>
        <v>333.29599352215496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10.436454940111686</v>
      </c>
      <c r="GM46" s="23">
        <f>EXP(-LN(2)/25)*GM45+(1-EXP(-LN(2)/25))/(LN(2)/25)*Calculateur!GH46*Calculateur!GJ46*VLOOKUP('Données projet'!$B$17,Paramètres!$A$1:$I$89,3,0)*0.475*44/12</f>
        <v>6.7989664565544468</v>
      </c>
      <c r="GN46" s="23">
        <f>EXP(-LN(2)/2)*GN45+(1-EXP(-LN(2)/2))/(LN(2)/2)*GH46*GK46*VLOOKUP('Données projet'!$B$17,Paramètres!$A$1:$I$89,3,0)*0.475*44/12</f>
        <v>3.2310666493387583E-2</v>
      </c>
      <c r="GO46" s="23">
        <f t="shared" si="27"/>
        <v>17.267732063159521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4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144.69312000000005</v>
      </c>
      <c r="P47" s="14">
        <f t="shared" si="33"/>
        <v>37.370061524802772</v>
      </c>
      <c r="Q47" s="22">
        <f t="shared" si="53"/>
        <v>317.09337448903153</v>
      </c>
      <c r="R47" s="60">
        <f t="shared" si="0"/>
        <v>567.98384322716902</v>
      </c>
      <c r="S47" s="60">
        <f ca="1">AVERAGE(OFFSET($R$3,0,0,'Données projet'!$E$9+1,1))-AVERAGE(OFFSET($H$3,0,0,'Données projet'!$E$9+1,1))</f>
        <v>496.33873798282525</v>
      </c>
      <c r="T47" s="60">
        <f t="shared" si="34"/>
        <v>280.25465074992246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10.869230769230773</v>
      </c>
      <c r="AI47" s="14">
        <f>IF('Données projet'!$A$62&gt;35,AI46+AH47-AQ46,IF(A47&lt;'Données projet'!$A$62,$AF$205^A47,IF(A47='Données projet'!$A$62,'Données projet'!$B$62,AI46+AH47-AQ46)))</f>
        <v>241.27692307692305</v>
      </c>
      <c r="AJ47" s="14">
        <f>AI47*VLOOKUP('Données projet'!$B$10,Paramètres!$A$1:$I$89,3,0)*VLOOKUP('Données projet'!$B$10,Paramètres!$A$1:$I$89,5,0)</f>
        <v>112.91759999999999</v>
      </c>
      <c r="AK47" s="14">
        <f t="shared" si="35"/>
        <v>30.017343081157474</v>
      </c>
      <c r="AL47" s="22">
        <f t="shared" si="4"/>
        <v>248.9450258663492</v>
      </c>
      <c r="AM47" s="60">
        <f t="shared" si="5"/>
        <v>499.8354946044866</v>
      </c>
      <c r="AN47" s="60">
        <f ca="1">AVERAGE(OFFSET($AM$3,0,0,'Données projet'!$E$10+1,1))-AVERAGE(OFFSET($H$3,0,0,'Données projet'!$E$10+1,1))</f>
        <v>277.7918215389401</v>
      </c>
      <c r="AO47" s="60">
        <f t="shared" si="36"/>
        <v>164.65640238394164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5.6410256410256441</v>
      </c>
      <c r="BD47" s="13">
        <f>IF('Données projet'!$A$88&gt;35,BD46+BC47-BL46,IF(A47&lt;'Données projet'!$A$88,$BA$205^A47,IF(A47='Données projet'!$A$88,'Données projet'!$B$88,BD46+BC47-BL46)))</f>
        <v>140.51282051282044</v>
      </c>
      <c r="BE47" s="14">
        <f>BD47*VLOOKUP('Données projet'!$B$11,Paramètres!$A$1:$I$89,3,0)*VLOOKUP('Données projet'!$B$11,Paramètres!$A$1:$I$89,5,0)</f>
        <v>133.71199999999993</v>
      </c>
      <c r="BF47" s="14">
        <f t="shared" si="37"/>
        <v>34.852683054963578</v>
      </c>
      <c r="BG47" s="22">
        <f t="shared" si="7"/>
        <v>293.5834896540614</v>
      </c>
      <c r="BH47" s="60">
        <f t="shared" si="8"/>
        <v>544.47395839219882</v>
      </c>
      <c r="BI47" s="60">
        <f ca="1">AVERAGE(OFFSET($BH$3,0,0,'Données projet'!$E$11+1,1))-AVERAGE(OFFSET($H$3,0,0,'Données projet'!$E$11+1,1))</f>
        <v>366.21371543563254</v>
      </c>
      <c r="BJ47" s="60">
        <f t="shared" si="38"/>
        <v>237.43356317334084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6.2820512820512819</v>
      </c>
      <c r="BY47" s="13">
        <f>IF('Données projet'!$A$114&gt;35,BY46+BX47-CG46,IF(A47&lt;'Données projet'!$A$114,$BV$205^A47,IF(A47='Données projet'!$A$114,'Données projet'!$B$114,BY46+BX47-CG46)))</f>
        <v>178.33333333333329</v>
      </c>
      <c r="BZ47" s="14">
        <f>BY47*VLOOKUP('Données projet'!$B$12,Paramètres!$A$1:$I$89,3,0)*VLOOKUP('Données projet'!$B$12,Paramètres!$A$1:$I$89,5,0)</f>
        <v>186.39399999999998</v>
      </c>
      <c r="CA47" s="14">
        <f t="shared" si="39"/>
        <v>46.7418305612456</v>
      </c>
      <c r="CB47" s="22">
        <f t="shared" si="10"/>
        <v>406.04490489416935</v>
      </c>
      <c r="CC47" s="60">
        <f t="shared" si="11"/>
        <v>656.93537363230678</v>
      </c>
      <c r="CD47" s="60">
        <f ca="1">AVERAGE(OFFSET($CC$3,0,0,'Données projet'!$E$12+1,1))-AVERAGE(OFFSET($H$3,0,0,'Données projet'!$E$12+1,1))</f>
        <v>530.79860063513229</v>
      </c>
      <c r="CE47" s="60">
        <f t="shared" si="40"/>
        <v>302.50876440460434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135.35808000000006</v>
      </c>
      <c r="CV47" s="14">
        <f t="shared" si="41"/>
        <v>35.231528980112834</v>
      </c>
      <c r="CW47" s="22">
        <f t="shared" si="13"/>
        <v>297.11023564036327</v>
      </c>
      <c r="CX47" s="60">
        <f t="shared" si="14"/>
        <v>548.0007043785007</v>
      </c>
      <c r="CY47" s="60">
        <f ca="1">AVERAGE(OFFSET($CX$3,0,0,'Données projet'!$E$13+1,1))-AVERAGE(OFFSET($H$3,0,0,'Données projet'!$E$13+1,1))</f>
        <v>469.67944008675863</v>
      </c>
      <c r="CZ47" s="60">
        <f t="shared" si="42"/>
        <v>266.11908070867173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149.60000000000005</v>
      </c>
      <c r="DP47" s="18">
        <f>DO47*VLOOKUP('Données projet'!$B$14,Paramètres!$A$1:$I$89,3,0)*VLOOKUP('Données projet'!$B$14,Paramètres!$A$1:$I$89,5,0)</f>
        <v>161.02944000000005</v>
      </c>
      <c r="DQ47" s="14">
        <f t="shared" si="43"/>
        <v>41.074621732940727</v>
      </c>
      <c r="DR47" s="22">
        <f t="shared" si="16"/>
        <v>351.99790751820518</v>
      </c>
      <c r="DS47" s="60">
        <f t="shared" si="17"/>
        <v>602.88837625634255</v>
      </c>
      <c r="DT47" s="60">
        <f ca="1">AVERAGE(OFFSET($DS$3,0,0,'Données projet'!$E$14+1,1))-AVERAGE(OFFSET($H$3,0,0,'Données projet'!$E$14+1,1))</f>
        <v>542.90832990875208</v>
      </c>
      <c r="DU47" s="60">
        <f t="shared" si="44"/>
        <v>304.94365539329362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6.5200000000000049</v>
      </c>
      <c r="EJ47" s="13">
        <f>IF('Données projet'!$A$192&gt;35,EJ46+EI47-ER46,IF(A47&lt;'Données projet'!$A$192,$EG$205^A47,IF(A47='Données projet'!$A$192,'Données projet'!$B$192,EJ46+EI47-ER46)))</f>
        <v>158.0800000000001</v>
      </c>
      <c r="EK47" s="18">
        <f>EJ47*VLOOKUP('Données projet'!$B$15,Paramètres!$A$1:$I$89,3,0)*VLOOKUP('Données projet'!$B$15,Paramètres!$A$1:$I$89,5,0)</f>
        <v>125.76844800000008</v>
      </c>
      <c r="EL47" s="14">
        <f t="shared" si="45"/>
        <v>33.016696721366053</v>
      </c>
      <c r="EM47" s="22">
        <f t="shared" si="19"/>
        <v>276.55079372304601</v>
      </c>
      <c r="EN47" s="60">
        <f t="shared" si="20"/>
        <v>527.44126246118344</v>
      </c>
      <c r="EO47" s="60">
        <f ca="1">AVERAGE(OFFSET($EN$3,0,0,'Données projet'!$E$15+1,1))-AVERAGE(OFFSET($H$3,0,0,'Données projet'!$E$15+1,1))</f>
        <v>273.72403794510291</v>
      </c>
      <c r="EP47" s="60">
        <f t="shared" si="46"/>
        <v>292.00185554564109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>
        <f>VLOOKUP(A47,'Données projet'!$A$217:$I$237,2,0)</f>
        <v>230</v>
      </c>
      <c r="FC47" s="13">
        <f>VLOOKUP(A47,'Données projet'!$A$217:$I$237,9,0)</f>
        <v>11.142857142857142</v>
      </c>
      <c r="FD47" s="13">
        <f t="array" ref="FD47">INDEX(FC:FC,MIN(IF(ISNUMBER(FC47:FC243),ROW(FC47:FC243),"")))</f>
        <v>11.142857142857142</v>
      </c>
      <c r="FE47" s="13">
        <f>IF('Données projet'!$A$218&gt;35,FE46+FD47-FM46,IF(A47&lt;'Données projet'!$A$218,$FB$205^A47,IF(A47='Données projet'!$A$218,'Données projet'!$B$218,FE46+FD47-FM46)))</f>
        <v>229.99999999999991</v>
      </c>
      <c r="FF47" s="18">
        <f>FE47*VLOOKUP('Données projet'!$B$16,Paramètres!$A$1:$I$89,3,0)*VLOOKUP('Données projet'!$B$16,Paramètres!$A$1:$I$89,5,0)</f>
        <v>179.39999999999995</v>
      </c>
      <c r="FG47" s="14">
        <f t="shared" si="47"/>
        <v>45.188671291872232</v>
      </c>
      <c r="FH47" s="22">
        <f t="shared" si="22"/>
        <v>391.15860250001066</v>
      </c>
      <c r="FI47" s="60">
        <f t="shared" si="23"/>
        <v>642.04907123814814</v>
      </c>
      <c r="FJ47" s="60">
        <f ca="1">AVERAGE(OFFSET($FI$3,0,0,'Données projet'!$E$16+1,1))-AVERAGE(OFFSET($H$3,0,0,'Données projet'!$E$16+1,1))</f>
        <v>309.21625451786218</v>
      </c>
      <c r="FK47" s="60">
        <f t="shared" si="48"/>
        <v>302.59481222418219</v>
      </c>
      <c r="FL47" s="16">
        <f>IF(ISNA(VLOOKUP(A47,'Données projet'!$A$217:$I$237,3,0)),0,VLOOKUP(A47,'Données projet'!$A$217:$I$237,3,0))</f>
        <v>5</v>
      </c>
      <c r="FM47" s="16">
        <f>IF(ISNA(VLOOKUP(A47,'Données projet'!$A$217:$I$237,4,0)),0,VLOOKUP(A47,'Données projet'!$A$217:$I$237,4,0))</f>
        <v>43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>
        <f>VLOOKUP(A47,'Données projet'!$A$243:$I$263,2,0)</f>
        <v>337.78999999999996</v>
      </c>
      <c r="FX47" s="13">
        <f>VLOOKUP(A47,'Données projet'!$A$243:$I$263,9,0)</f>
        <v>13.234499999999969</v>
      </c>
      <c r="FY47" s="13">
        <f t="array" ref="FY47">INDEX(FX:FX,MIN(IF(ISNUMBER(FX47:FX243),ROW(FX47:FX243),"")))</f>
        <v>13.234499999999969</v>
      </c>
      <c r="FZ47" s="13">
        <f>IF('Données projet'!$A$244&gt;35,FZ46+FY47-GH46,IF(A47&lt;'Données projet'!$A$244,$FW$205^A47,IF(A47='Données projet'!$A$244,'Données projet'!$B$244,FZ46+FY47-GH46)))</f>
        <v>337.78999999999996</v>
      </c>
      <c r="GA47" s="18">
        <f>FZ47*VLOOKUP('Données projet'!$B$17,Paramètres!$A$1:$I$89,3,0)*VLOOKUP('Données projet'!$B$17,Paramètres!$A$1:$I$89,5,0)</f>
        <v>201.99842000000001</v>
      </c>
      <c r="GB47" s="14">
        <f t="shared" si="49"/>
        <v>50.183105491997878</v>
      </c>
      <c r="GC47" s="22">
        <f t="shared" si="25"/>
        <v>439.21615689856299</v>
      </c>
      <c r="GD47" s="60">
        <f t="shared" si="26"/>
        <v>690.10662563670041</v>
      </c>
      <c r="GE47" s="60">
        <f ca="1">AVERAGE(OFFSET($GD$3,0,0,'Données projet'!$E$17+1,1))-AVERAGE(OFFSET($H$3,0,0,'Données projet'!$E$17+1,1))</f>
        <v>216.36762889365235</v>
      </c>
      <c r="GF47" s="60">
        <f t="shared" si="50"/>
        <v>333.29599352215496</v>
      </c>
      <c r="GG47" s="16">
        <f>IF(ISNA(VLOOKUP(A47,'Données projet'!$A$243:$I$263,3,0)),0,VLOOKUP(A47,'Données projet'!$A$243:$I$263,3,0))</f>
        <v>5</v>
      </c>
      <c r="GH47" s="16">
        <f>IF(ISNA(VLOOKUP(A47,'Données projet'!$A$243:$I$263,4,0)),0,VLOOKUP(A47,'Données projet'!$A$243:$I$263,4,0))</f>
        <v>337.78999999999996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10.231802424345057</v>
      </c>
      <c r="GM47" s="23">
        <f>EXP(-LN(2)/25)*GM46+(1-EXP(-LN(2)/25))/(LN(2)/25)*Calculateur!GH47*Calculateur!GJ47*VLOOKUP('Données projet'!$B$17,Paramètres!$A$1:$I$89,3,0)*0.475*44/12</f>
        <v>6.6130483612578583</v>
      </c>
      <c r="GN47" s="23">
        <f>EXP(-LN(2)/2)*GN46+(1-EXP(-LN(2)/2))/(LN(2)/2)*GH47*GK47*VLOOKUP('Données projet'!$B$17,Paramètres!$A$1:$I$89,3,0)*0.475*44/12</f>
        <v>2.2847091382131327E-2</v>
      </c>
      <c r="GO47" s="23">
        <f t="shared" si="27"/>
        <v>16.867697876985048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4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152.81760000000006</v>
      </c>
      <c r="P48" s="14">
        <f t="shared" si="33"/>
        <v>39.218200171484227</v>
      </c>
      <c r="Q48" s="22">
        <f t="shared" si="53"/>
        <v>334.46235196533513</v>
      </c>
      <c r="R48" s="60">
        <f t="shared" si="0"/>
        <v>586.08910951616929</v>
      </c>
      <c r="S48" s="60">
        <f ca="1">AVERAGE(OFFSET($R$3,0,0,'Données projet'!$E$9+1,1))-AVERAGE(OFFSET($H$3,0,0,'Données projet'!$E$9+1,1))</f>
        <v>496.33873798282525</v>
      </c>
      <c r="T48" s="60">
        <f t="shared" si="34"/>
        <v>280.25465074992246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252.14615384615385</v>
      </c>
      <c r="AG48" s="13">
        <f>VLOOKUP(A48,'Données projet'!$A$61:$I$81,9,0)</f>
        <v>10.869230769230773</v>
      </c>
      <c r="AH48" s="13">
        <f t="array" ref="AH48">INDEX(AG:AG,MIN(IF(ISNUMBER(AG48:AG244),ROW(AG48:AG244),"")))</f>
        <v>10.869230769230773</v>
      </c>
      <c r="AI48" s="14">
        <f>IF('Données projet'!$A$62&gt;35,AI47+AH48-AQ47,IF(A48&lt;'Données projet'!$A$62,$AF$205^A48,IF(A48='Données projet'!$A$62,'Données projet'!$B$62,AI47+AH48-AQ47)))</f>
        <v>252.14615384615382</v>
      </c>
      <c r="AJ48" s="14">
        <f>AI48*VLOOKUP('Données projet'!$B$10,Paramètres!$A$1:$I$89,3,0)*VLOOKUP('Données projet'!$B$10,Paramètres!$A$1:$I$89,5,0)</f>
        <v>118.00439999999999</v>
      </c>
      <c r="AK48" s="14">
        <f t="shared" si="35"/>
        <v>31.209105068500421</v>
      </c>
      <c r="AL48" s="22">
        <f t="shared" si="4"/>
        <v>259.88018799430489</v>
      </c>
      <c r="AM48" s="60">
        <f t="shared" si="5"/>
        <v>511.50694554513905</v>
      </c>
      <c r="AN48" s="60">
        <f ca="1">AVERAGE(OFFSET($AM$3,0,0,'Données projet'!$E$10+1,1))-AVERAGE(OFFSET($H$3,0,0,'Données projet'!$E$10+1,1))</f>
        <v>277.7918215389401</v>
      </c>
      <c r="AO48" s="60">
        <f t="shared" si="36"/>
        <v>164.65640238394164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146.15384615384616</v>
      </c>
      <c r="BB48" s="13">
        <f>VLOOKUP(A48,'Données projet'!$A$87:$I$107,9,0)</f>
        <v>5.6410256410256441</v>
      </c>
      <c r="BC48" s="13">
        <f t="array" ref="BC48">INDEX(BB:BB,MIN(IF(ISNUMBER(BB48:BB244),ROW(BB48:BB244),"")))</f>
        <v>5.6410256410256441</v>
      </c>
      <c r="BD48" s="13">
        <f>IF('Données projet'!$A$88&gt;35,BD47+BC48-BL47,IF(A48&lt;'Données projet'!$A$88,$BA$205^A48,IF(A48='Données projet'!$A$88,'Données projet'!$B$88,BD47+BC48-BL47)))</f>
        <v>146.15384615384608</v>
      </c>
      <c r="BE48" s="14">
        <f>BD48*VLOOKUP('Données projet'!$B$11,Paramètres!$A$1:$I$89,3,0)*VLOOKUP('Données projet'!$B$11,Paramètres!$A$1:$I$89,5,0)</f>
        <v>139.07999999999993</v>
      </c>
      <c r="BF48" s="14">
        <f t="shared" si="37"/>
        <v>36.086165609949923</v>
      </c>
      <c r="BG48" s="22">
        <f t="shared" si="7"/>
        <v>305.08107177066262</v>
      </c>
      <c r="BH48" s="60">
        <f t="shared" si="8"/>
        <v>556.70782932149677</v>
      </c>
      <c r="BI48" s="60">
        <f ca="1">AVERAGE(OFFSET($BH$3,0,0,'Données projet'!$E$11+1,1))-AVERAGE(OFFSET($H$3,0,0,'Données projet'!$E$11+1,1))</f>
        <v>366.21371543563254</v>
      </c>
      <c r="BJ48" s="60">
        <f t="shared" si="38"/>
        <v>237.43356317334084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28.205128205128204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184.61538461538461</v>
      </c>
      <c r="BW48" s="13">
        <f>VLOOKUP(A48,'Données projet'!$A$113:$I$133,9,0)</f>
        <v>6.2820512820512819</v>
      </c>
      <c r="BX48" s="13">
        <f t="array" ref="BX48">INDEX(BW:BW,MIN(IF(ISNUMBER(BW48:BW244),ROW(BW48:BW244),"")))</f>
        <v>6.2820512820512819</v>
      </c>
      <c r="BY48" s="13">
        <f>IF('Données projet'!$A$114&gt;35,BY47+BX48-CG47,IF(A48&lt;'Données projet'!$A$114,$BV$205^A48,IF(A48='Données projet'!$A$114,'Données projet'!$B$114,BY47+BX48-CG47)))</f>
        <v>184.61538461538456</v>
      </c>
      <c r="BZ48" s="14">
        <f>BY48*VLOOKUP('Données projet'!$B$12,Paramètres!$A$1:$I$89,3,0)*VLOOKUP('Données projet'!$B$12,Paramètres!$A$1:$I$89,5,0)</f>
        <v>192.95999999999995</v>
      </c>
      <c r="CA48" s="14">
        <f t="shared" si="39"/>
        <v>48.193776882662846</v>
      </c>
      <c r="CB48" s="22">
        <f t="shared" si="10"/>
        <v>420.00949473730435</v>
      </c>
      <c r="CC48" s="60">
        <f t="shared" si="11"/>
        <v>671.63625228813851</v>
      </c>
      <c r="CD48" s="60">
        <f ca="1">AVERAGE(OFFSET($CC$3,0,0,'Données projet'!$E$12+1,1))-AVERAGE(OFFSET($H$3,0,0,'Données projet'!$E$12+1,1))</f>
        <v>530.79860063513229</v>
      </c>
      <c r="CE48" s="60">
        <f t="shared" si="40"/>
        <v>302.50876440460434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23.717948717948715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142.95840000000004</v>
      </c>
      <c r="CV48" s="14">
        <f t="shared" si="41"/>
        <v>36.973906370811264</v>
      </c>
      <c r="CW48" s="22">
        <f t="shared" si="13"/>
        <v>313.38210026249641</v>
      </c>
      <c r="CX48" s="60">
        <f t="shared" si="14"/>
        <v>565.00885781333056</v>
      </c>
      <c r="CY48" s="60">
        <f ca="1">AVERAGE(OFFSET($CX$3,0,0,'Données projet'!$E$13+1,1))-AVERAGE(OFFSET($H$3,0,0,'Données projet'!$E$13+1,1))</f>
        <v>469.67944008675863</v>
      </c>
      <c r="CZ48" s="60">
        <f t="shared" si="42"/>
        <v>266.11908070867173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158.00000000000006</v>
      </c>
      <c r="DP48" s="18">
        <f>DO48*VLOOKUP('Données projet'!$B$14,Paramètres!$A$1:$I$89,3,0)*VLOOKUP('Données projet'!$B$14,Paramètres!$A$1:$I$89,5,0)</f>
        <v>170.07120000000003</v>
      </c>
      <c r="DQ48" s="14">
        <f t="shared" si="43"/>
        <v>43.10596962815594</v>
      </c>
      <c r="DR48" s="22">
        <f t="shared" si="16"/>
        <v>371.28357043570503</v>
      </c>
      <c r="DS48" s="60">
        <f t="shared" si="17"/>
        <v>622.91032798653919</v>
      </c>
      <c r="DT48" s="60">
        <f ca="1">AVERAGE(OFFSET($DS$3,0,0,'Données projet'!$E$14+1,1))-AVERAGE(OFFSET($H$3,0,0,'Données projet'!$E$14+1,1))</f>
        <v>542.90832990875208</v>
      </c>
      <c r="DU48" s="60">
        <f t="shared" si="44"/>
        <v>304.94365539329362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164.60000000000002</v>
      </c>
      <c r="EH48" s="13">
        <f>VLOOKUP(A48,'Données projet'!$A$191:$I$211,9,0)</f>
        <v>6.5200000000000049</v>
      </c>
      <c r="EI48" s="13">
        <f t="array" ref="EI48">INDEX(EH:EH,MIN(IF(ISNUMBER(EH48:EH244),ROW(EH48:EH244),"")))</f>
        <v>6.5200000000000049</v>
      </c>
      <c r="EJ48" s="13">
        <f>IF('Données projet'!$A$192&gt;35,EJ47+EI48-ER47,IF(A48&lt;'Données projet'!$A$192,$EG$205^A48,IF(A48='Données projet'!$A$192,'Données projet'!$B$192,EJ47+EI48-ER47)))</f>
        <v>164.60000000000011</v>
      </c>
      <c r="EK48" s="18">
        <f>EJ48*VLOOKUP('Données projet'!$B$15,Paramètres!$A$1:$I$89,3,0)*VLOOKUP('Données projet'!$B$15,Paramètres!$A$1:$I$89,5,0)</f>
        <v>130.95576000000008</v>
      </c>
      <c r="EL48" s="14">
        <f t="shared" si="45"/>
        <v>34.2171131661961</v>
      </c>
      <c r="EM48" s="22">
        <f t="shared" si="19"/>
        <v>287.67608743112504</v>
      </c>
      <c r="EN48" s="60">
        <f t="shared" si="20"/>
        <v>539.3028449819592</v>
      </c>
      <c r="EO48" s="60">
        <f ca="1">AVERAGE(OFFSET($EN$3,0,0,'Données projet'!$E$15+1,1))-AVERAGE(OFFSET($H$3,0,0,'Données projet'!$E$15+1,1))</f>
        <v>273.72403794510291</v>
      </c>
      <c r="EP48" s="60">
        <f t="shared" si="46"/>
        <v>292.00185554564109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10.375</v>
      </c>
      <c r="FE48" s="13">
        <f>IF('Données projet'!$A$218&gt;35,FE47+FD48-FM47,IF(A48&lt;'Données projet'!$A$218,$FB$205^A48,IF(A48='Données projet'!$A$218,'Données projet'!$B$218,FE47+FD48-FM47)))</f>
        <v>197.37499999999991</v>
      </c>
      <c r="FF48" s="18">
        <f>FE48*VLOOKUP('Données projet'!$B$16,Paramètres!$A$1:$I$89,3,0)*VLOOKUP('Données projet'!$B$16,Paramètres!$A$1:$I$89,5,0)</f>
        <v>153.95249999999993</v>
      </c>
      <c r="FG48" s="14">
        <f t="shared" si="47"/>
        <v>39.475441267837361</v>
      </c>
      <c r="FH48" s="22">
        <f t="shared" si="22"/>
        <v>336.88699770814992</v>
      </c>
      <c r="FI48" s="60">
        <f t="shared" si="23"/>
        <v>588.51375525898402</v>
      </c>
      <c r="FJ48" s="60">
        <f ca="1">AVERAGE(OFFSET($FI$3,0,0,'Données projet'!$E$16+1,1))-AVERAGE(OFFSET($H$3,0,0,'Données projet'!$E$16+1,1))</f>
        <v>309.21625451786218</v>
      </c>
      <c r="FK48" s="60">
        <f t="shared" si="48"/>
        <v>302.59481222418219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>
        <f>FZ48*VLOOKUP('Données projet'!$B$17,Paramètres!$A$1:$I$89,3,0)*VLOOKUP('Données projet'!$B$17,Paramètres!$A$1:$I$89,5,0)</f>
        <v>0</v>
      </c>
      <c r="GB48" s="14" t="e">
        <f t="shared" si="49"/>
        <v>#NUM!</v>
      </c>
      <c r="GC48" s="22" t="e">
        <f t="shared" si="25"/>
        <v>#NUM!</v>
      </c>
      <c r="GD48" s="60" t="e">
        <f t="shared" si="26"/>
        <v>#NUM!</v>
      </c>
      <c r="GE48" s="60">
        <f ca="1">AVERAGE(OFFSET($GD$3,0,0,'Données projet'!$E$17+1,1))-AVERAGE(OFFSET($H$3,0,0,'Données projet'!$E$17+1,1))</f>
        <v>216.36762889365235</v>
      </c>
      <c r="GF48" s="60">
        <f t="shared" si="50"/>
        <v>333.29599352215496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10.031163019586904</v>
      </c>
      <c r="GM48" s="23">
        <f>EXP(-LN(2)/25)*GM47+(1-EXP(-LN(2)/25))/(LN(2)/25)*Calculateur!GH48*Calculateur!GJ48*VLOOKUP('Données projet'!$B$17,Paramètres!$A$1:$I$89,3,0)*0.475*44/12</f>
        <v>6.4322142060541632</v>
      </c>
      <c r="GN48" s="23">
        <f>EXP(-LN(2)/2)*GN47+(1-EXP(-LN(2)/2))/(LN(2)/2)*GH48*GK48*VLOOKUP('Données projet'!$B$17,Paramètres!$A$1:$I$89,3,0)*0.475*44/12</f>
        <v>1.6155333246693791E-2</v>
      </c>
      <c r="GO48" s="23">
        <f t="shared" si="27"/>
        <v>16.479532558887762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4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160.74864000000005</v>
      </c>
      <c r="P49" s="14">
        <f t="shared" si="33"/>
        <v>41.011327345272264</v>
      </c>
      <c r="Q49" s="22">
        <f t="shared" si="53"/>
        <v>351.39860979301596</v>
      </c>
      <c r="R49" s="60">
        <f t="shared" si="0"/>
        <v>603.74888319174158</v>
      </c>
      <c r="S49" s="60">
        <f ca="1">AVERAGE(OFFSET($R$3,0,0,'Données projet'!$E$9+1,1))-AVERAGE(OFFSET($H$3,0,0,'Données projet'!$E$9+1,1))</f>
        <v>496.33873798282525</v>
      </c>
      <c r="T49" s="60">
        <f t="shared" si="34"/>
        <v>280.25465074992246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11.552307692307688</v>
      </c>
      <c r="AI49" s="14">
        <f>IF('Données projet'!$A$62&gt;35,AI48+AH49-AQ48,IF(A49&lt;'Données projet'!$A$62,$AF$205^A49,IF(A49='Données projet'!$A$62,'Données projet'!$B$62,AI48+AH49-AQ48)))</f>
        <v>263.69846153846152</v>
      </c>
      <c r="AJ49" s="14">
        <f>AI49*VLOOKUP('Données projet'!$B$10,Paramètres!$A$1:$I$89,3,0)*VLOOKUP('Données projet'!$B$10,Paramètres!$A$1:$I$89,5,0)</f>
        <v>123.41087999999998</v>
      </c>
      <c r="AK49" s="14">
        <f t="shared" si="35"/>
        <v>32.469228726018009</v>
      </c>
      <c r="AL49" s="22">
        <f t="shared" si="4"/>
        <v>271.49118936448139</v>
      </c>
      <c r="AM49" s="60">
        <f t="shared" si="5"/>
        <v>523.84146276320701</v>
      </c>
      <c r="AN49" s="60">
        <f ca="1">AVERAGE(OFFSET($AM$3,0,0,'Données projet'!$E$10+1,1))-AVERAGE(OFFSET($H$3,0,0,'Données projet'!$E$10+1,1))</f>
        <v>277.7918215389401</v>
      </c>
      <c r="AO49" s="60">
        <f t="shared" si="36"/>
        <v>164.65640238394164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5.2564102564102537</v>
      </c>
      <c r="BD49" s="13">
        <f>IF('Données projet'!$A$88&gt;35,BD48+BC49-BL48,IF(A49&lt;'Données projet'!$A$88,$BA$205^A49,IF(A49='Données projet'!$A$88,'Données projet'!$B$88,BD48+BC49-BL48)))</f>
        <v>123.20512820512812</v>
      </c>
      <c r="BE49" s="14">
        <f>BD49*VLOOKUP('Données projet'!$B$11,Paramètres!$A$1:$I$89,3,0)*VLOOKUP('Données projet'!$B$11,Paramètres!$A$1:$I$89,5,0)</f>
        <v>117.24199999999992</v>
      </c>
      <c r="BF49" s="14">
        <f t="shared" si="37"/>
        <v>31.030873194113511</v>
      </c>
      <c r="BG49" s="22">
        <f t="shared" si="7"/>
        <v>258.24192081308087</v>
      </c>
      <c r="BH49" s="60">
        <f t="shared" si="8"/>
        <v>510.59219421180649</v>
      </c>
      <c r="BI49" s="60">
        <f ca="1">AVERAGE(OFFSET($BH$3,0,0,'Données projet'!$E$11+1,1))-AVERAGE(OFFSET($H$3,0,0,'Données projet'!$E$11+1,1))</f>
        <v>366.21371543563254</v>
      </c>
      <c r="BJ49" s="60">
        <f t="shared" si="38"/>
        <v>237.43356317334084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6.025641025641022</v>
      </c>
      <c r="BY49" s="13">
        <f>IF('Données projet'!$A$114&gt;35,BY48+BX49-CG48,IF(A49&lt;'Données projet'!$A$114,$BV$205^A49,IF(A49='Données projet'!$A$114,'Données projet'!$B$114,BY48+BX49-CG48)))</f>
        <v>166.92307692307685</v>
      </c>
      <c r="BZ49" s="14">
        <f>BY49*VLOOKUP('Données projet'!$B$12,Paramètres!$A$1:$I$89,3,0)*VLOOKUP('Données projet'!$B$12,Paramètres!$A$1:$I$89,5,0)</f>
        <v>174.46799999999996</v>
      </c>
      <c r="CA49" s="14">
        <f t="shared" si="39"/>
        <v>44.089191042180083</v>
      </c>
      <c r="CB49" s="22">
        <f t="shared" si="10"/>
        <v>380.65377439846361</v>
      </c>
      <c r="CC49" s="60">
        <f t="shared" si="11"/>
        <v>633.00404779718929</v>
      </c>
      <c r="CD49" s="60">
        <f ca="1">AVERAGE(OFFSET($CC$3,0,0,'Données projet'!$E$12+1,1))-AVERAGE(OFFSET($H$3,0,0,'Données projet'!$E$12+1,1))</f>
        <v>530.79860063513229</v>
      </c>
      <c r="CE49" s="60">
        <f t="shared" si="40"/>
        <v>302.50876440460434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150.37776000000002</v>
      </c>
      <c r="CV49" s="14">
        <f t="shared" si="41"/>
        <v>38.664420365454049</v>
      </c>
      <c r="CW49" s="22">
        <f t="shared" si="13"/>
        <v>329.24846413649914</v>
      </c>
      <c r="CX49" s="60">
        <f t="shared" si="14"/>
        <v>581.59873753522481</v>
      </c>
      <c r="CY49" s="60">
        <f ca="1">AVERAGE(OFFSET($CX$3,0,0,'Données projet'!$E$13+1,1))-AVERAGE(OFFSET($H$3,0,0,'Données projet'!$E$13+1,1))</f>
        <v>469.67944008675863</v>
      </c>
      <c r="CZ49" s="60">
        <f t="shared" si="42"/>
        <v>266.11908070867173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166.20000000000005</v>
      </c>
      <c r="DP49" s="18">
        <f>DO49*VLOOKUP('Données projet'!$B$14,Paramètres!$A$1:$I$89,3,0)*VLOOKUP('Données projet'!$B$14,Paramètres!$A$1:$I$89,5,0)</f>
        <v>178.89768000000004</v>
      </c>
      <c r="DQ49" s="14">
        <f t="shared" si="43"/>
        <v>45.076852665999411</v>
      </c>
      <c r="DR49" s="22">
        <f t="shared" si="16"/>
        <v>390.08897772661572</v>
      </c>
      <c r="DS49" s="60">
        <f t="shared" si="17"/>
        <v>642.43925112534134</v>
      </c>
      <c r="DT49" s="60">
        <f ca="1">AVERAGE(OFFSET($DS$3,0,0,'Données projet'!$E$14+1,1))-AVERAGE(OFFSET($H$3,0,0,'Données projet'!$E$14+1,1))</f>
        <v>542.90832990875208</v>
      </c>
      <c r="DU49" s="60">
        <f t="shared" si="44"/>
        <v>304.94365539329362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5.580000000000001</v>
      </c>
      <c r="EJ49" s="13">
        <f>IF('Données projet'!$A$192&gt;35,EJ48+EI49-ER48,IF(A49&lt;'Données projet'!$A$192,$EG$205^A49,IF(A49='Données projet'!$A$192,'Données projet'!$B$192,EJ48+EI49-ER48)))</f>
        <v>170.18000000000012</v>
      </c>
      <c r="EK49" s="18">
        <f>EJ49*VLOOKUP('Données projet'!$B$15,Paramètres!$A$1:$I$89,3,0)*VLOOKUP('Données projet'!$B$15,Paramètres!$A$1:$I$89,5,0)</f>
        <v>135.39520800000011</v>
      </c>
      <c r="EL49" s="14">
        <f t="shared" si="45"/>
        <v>35.240067795733296</v>
      </c>
      <c r="EM49" s="22">
        <f t="shared" si="19"/>
        <v>297.18977201090235</v>
      </c>
      <c r="EN49" s="60">
        <f t="shared" si="20"/>
        <v>549.54004540962796</v>
      </c>
      <c r="EO49" s="60">
        <f ca="1">AVERAGE(OFFSET($EN$3,0,0,'Données projet'!$E$15+1,1))-AVERAGE(OFFSET($H$3,0,0,'Données projet'!$E$15+1,1))</f>
        <v>273.72403794510291</v>
      </c>
      <c r="EP49" s="60">
        <f t="shared" si="46"/>
        <v>292.00185554564109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10.375</v>
      </c>
      <c r="FE49" s="13">
        <f>IF('Données projet'!$A$218&gt;35,FE48+FD49-FM48,IF(A49&lt;'Données projet'!$A$218,$FB$205^A49,IF(A49='Données projet'!$A$218,'Données projet'!$B$218,FE48+FD49-FM48)))</f>
        <v>207.74999999999991</v>
      </c>
      <c r="FF49" s="18">
        <f>FE49*VLOOKUP('Données projet'!$B$16,Paramètres!$A$1:$I$89,3,0)*VLOOKUP('Données projet'!$B$16,Paramètres!$A$1:$I$89,5,0)</f>
        <v>162.04499999999993</v>
      </c>
      <c r="FG49" s="14">
        <f t="shared" si="47"/>
        <v>41.303429372463391</v>
      </c>
      <c r="FH49" s="22">
        <f t="shared" si="22"/>
        <v>354.16518115704025</v>
      </c>
      <c r="FI49" s="60">
        <f t="shared" si="23"/>
        <v>606.51545455576593</v>
      </c>
      <c r="FJ49" s="60">
        <f ca="1">AVERAGE(OFFSET($FI$3,0,0,'Données projet'!$E$16+1,1))-AVERAGE(OFFSET($H$3,0,0,'Données projet'!$E$16+1,1))</f>
        <v>309.21625451786218</v>
      </c>
      <c r="FK49" s="60">
        <f t="shared" si="48"/>
        <v>302.59481222418219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>
        <f>FZ49*VLOOKUP('Données projet'!$B$17,Paramètres!$A$1:$I$89,3,0)*VLOOKUP('Données projet'!$B$17,Paramètres!$A$1:$I$89,5,0)</f>
        <v>0</v>
      </c>
      <c r="GB49" s="14" t="e">
        <f t="shared" si="49"/>
        <v>#NUM!</v>
      </c>
      <c r="GC49" s="22" t="e">
        <f t="shared" si="25"/>
        <v>#NUM!</v>
      </c>
      <c r="GD49" s="60" t="e">
        <f t="shared" si="26"/>
        <v>#NUM!</v>
      </c>
      <c r="GE49" s="60">
        <f ca="1">AVERAGE(OFFSET($GD$3,0,0,'Données projet'!$E$17+1,1))-AVERAGE(OFFSET($H$3,0,0,'Données projet'!$E$17+1,1))</f>
        <v>216.36762889365235</v>
      </c>
      <c r="GF49" s="60">
        <f t="shared" si="50"/>
        <v>333.29599352215496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9.8344580311781051</v>
      </c>
      <c r="GM49" s="23">
        <f>EXP(-LN(2)/25)*GM48+(1-EXP(-LN(2)/25))/(LN(2)/25)*Calculateur!GH49*Calculateur!GJ49*VLOOKUP('Données projet'!$B$17,Paramètres!$A$1:$I$89,3,0)*0.475*44/12</f>
        <v>6.2563249703341679</v>
      </c>
      <c r="GN49" s="23">
        <f>EXP(-LN(2)/2)*GN48+(1-EXP(-LN(2)/2))/(LN(2)/2)*GH49*GK49*VLOOKUP('Données projet'!$B$17,Paramètres!$A$1:$I$89,3,0)*0.475*44/12</f>
        <v>1.1423545691065663E-2</v>
      </c>
      <c r="GO49" s="23">
        <f t="shared" si="27"/>
        <v>16.102206547203338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4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168.67968000000002</v>
      </c>
      <c r="P50" s="14">
        <f t="shared" si="33"/>
        <v>42.794181774227013</v>
      </c>
      <c r="Q50" s="22">
        <f t="shared" si="53"/>
        <v>368.3169759234454</v>
      </c>
      <c r="R50" s="60">
        <f t="shared" si="0"/>
        <v>621.37821378764079</v>
      </c>
      <c r="S50" s="60">
        <f ca="1">AVERAGE(OFFSET($R$3,0,0,'Données projet'!$E$9+1,1))-AVERAGE(OFFSET($H$3,0,0,'Données projet'!$E$9+1,1))</f>
        <v>496.33873798282525</v>
      </c>
      <c r="T50" s="60">
        <f t="shared" si="34"/>
        <v>280.25465074992246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11.552307692307688</v>
      </c>
      <c r="AI50" s="14">
        <f>IF('Données projet'!$A$62&gt;35,AI49+AH50-AQ49,IF(A50&lt;'Données projet'!$A$62,$AF$205^A50,IF(A50='Données projet'!$A$62,'Données projet'!$B$62,AI49+AH50-AQ49)))</f>
        <v>275.25076923076921</v>
      </c>
      <c r="AJ50" s="14">
        <f>AI50*VLOOKUP('Données projet'!$B$10,Paramètres!$A$1:$I$89,3,0)*VLOOKUP('Données projet'!$B$10,Paramètres!$A$1:$I$89,5,0)</f>
        <v>128.81735999999998</v>
      </c>
      <c r="AK50" s="14">
        <f t="shared" si="35"/>
        <v>33.722940772317983</v>
      </c>
      <c r="AL50" s="22">
        <f t="shared" si="4"/>
        <v>283.09102384512045</v>
      </c>
      <c r="AM50" s="60">
        <f t="shared" si="5"/>
        <v>536.15226170931578</v>
      </c>
      <c r="AN50" s="60">
        <f ca="1">AVERAGE(OFFSET($AM$3,0,0,'Données projet'!$E$10+1,1))-AVERAGE(OFFSET($H$3,0,0,'Données projet'!$E$10+1,1))</f>
        <v>277.7918215389401</v>
      </c>
      <c r="AO50" s="60">
        <f t="shared" si="36"/>
        <v>164.65640238394164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5.2564102564102537</v>
      </c>
      <c r="BD50" s="13">
        <f>IF('Données projet'!$A$88&gt;35,BD49+BC50-BL49,IF(A50&lt;'Données projet'!$A$88,$BA$205^A50,IF(A50='Données projet'!$A$88,'Données projet'!$B$88,BD49+BC50-BL49)))</f>
        <v>128.46153846153837</v>
      </c>
      <c r="BE50" s="14">
        <f>BD50*VLOOKUP('Données projet'!$B$11,Paramètres!$A$1:$I$89,3,0)*VLOOKUP('Données projet'!$B$11,Paramètres!$A$1:$I$89,5,0)</f>
        <v>122.24399999999991</v>
      </c>
      <c r="BF50" s="14">
        <f t="shared" si="37"/>
        <v>32.197809757356993</v>
      </c>
      <c r="BG50" s="22">
        <f t="shared" si="7"/>
        <v>268.98615199406328</v>
      </c>
      <c r="BH50" s="60">
        <f t="shared" si="8"/>
        <v>522.04738985825861</v>
      </c>
      <c r="BI50" s="60">
        <f ca="1">AVERAGE(OFFSET($BH$3,0,0,'Données projet'!$E$11+1,1))-AVERAGE(OFFSET($H$3,0,0,'Données projet'!$E$11+1,1))</f>
        <v>366.21371543563254</v>
      </c>
      <c r="BJ50" s="60">
        <f t="shared" si="38"/>
        <v>237.43356317334084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6.025641025641022</v>
      </c>
      <c r="BY50" s="13">
        <f>IF('Données projet'!$A$114&gt;35,BY49+BX50-CG49,IF(A50&lt;'Données projet'!$A$114,$BV$205^A50,IF(A50='Données projet'!$A$114,'Données projet'!$B$114,BY49+BX50-CG49)))</f>
        <v>172.94871794871787</v>
      </c>
      <c r="BZ50" s="14">
        <f>BY50*VLOOKUP('Données projet'!$B$12,Paramètres!$A$1:$I$89,3,0)*VLOOKUP('Données projet'!$B$12,Paramètres!$A$1:$I$89,5,0)</f>
        <v>180.76599999999993</v>
      </c>
      <c r="CA50" s="14">
        <f t="shared" si="39"/>
        <v>45.492564911835224</v>
      </c>
      <c r="CB50" s="22">
        <f t="shared" si="10"/>
        <v>394.06700055477955</v>
      </c>
      <c r="CC50" s="60">
        <f t="shared" si="11"/>
        <v>647.12823841897489</v>
      </c>
      <c r="CD50" s="60">
        <f ca="1">AVERAGE(OFFSET($CC$3,0,0,'Données projet'!$E$12+1,1))-AVERAGE(OFFSET($H$3,0,0,'Données projet'!$E$12+1,1))</f>
        <v>530.79860063513229</v>
      </c>
      <c r="CE50" s="60">
        <f t="shared" si="40"/>
        <v>302.50876440460434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157.79712000000004</v>
      </c>
      <c r="CV50" s="14">
        <f t="shared" si="41"/>
        <v>40.345249481546155</v>
      </c>
      <c r="CW50" s="22">
        <f t="shared" si="13"/>
        <v>345.09796018035962</v>
      </c>
      <c r="CX50" s="60">
        <f t="shared" si="14"/>
        <v>598.15919804455507</v>
      </c>
      <c r="CY50" s="60">
        <f ca="1">AVERAGE(OFFSET($CX$3,0,0,'Données projet'!$E$13+1,1))-AVERAGE(OFFSET($H$3,0,0,'Données projet'!$E$13+1,1))</f>
        <v>469.67944008675863</v>
      </c>
      <c r="CZ50" s="60">
        <f t="shared" si="42"/>
        <v>266.11908070867173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174.40000000000003</v>
      </c>
      <c r="DP50" s="18">
        <f>DO50*VLOOKUP('Données projet'!$B$14,Paramètres!$A$1:$I$89,3,0)*VLOOKUP('Données projet'!$B$14,Paramètres!$A$1:$I$89,5,0)</f>
        <v>187.72416000000004</v>
      </c>
      <c r="DQ50" s="14">
        <f t="shared" si="43"/>
        <v>47.036444603668812</v>
      </c>
      <c r="DR50" s="22">
        <f t="shared" si="16"/>
        <v>408.87471968472323</v>
      </c>
      <c r="DS50" s="60">
        <f t="shared" si="17"/>
        <v>661.93595754891862</v>
      </c>
      <c r="DT50" s="60">
        <f ca="1">AVERAGE(OFFSET($DS$3,0,0,'Données projet'!$E$14+1,1))-AVERAGE(OFFSET($H$3,0,0,'Données projet'!$E$14+1,1))</f>
        <v>542.90832990875208</v>
      </c>
      <c r="DU50" s="60">
        <f t="shared" si="44"/>
        <v>304.94365539329362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5.580000000000001</v>
      </c>
      <c r="EJ50" s="13">
        <f>IF('Données projet'!$A$192&gt;35,EJ49+EI50-ER49,IF(A50&lt;'Données projet'!$A$192,$EG$205^A50,IF(A50='Données projet'!$A$192,'Données projet'!$B$192,EJ49+EI50-ER49)))</f>
        <v>175.76000000000013</v>
      </c>
      <c r="EK50" s="18">
        <f>EJ50*VLOOKUP('Données projet'!$B$15,Paramètres!$A$1:$I$89,3,0)*VLOOKUP('Données projet'!$B$15,Paramètres!$A$1:$I$89,5,0)</f>
        <v>139.83465600000011</v>
      </c>
      <c r="EL50" s="14">
        <f t="shared" si="45"/>
        <v>36.259124901723567</v>
      </c>
      <c r="EM50" s="22">
        <f t="shared" si="19"/>
        <v>306.69666840383542</v>
      </c>
      <c r="EN50" s="60">
        <f t="shared" si="20"/>
        <v>559.75790626803087</v>
      </c>
      <c r="EO50" s="60">
        <f ca="1">AVERAGE(OFFSET($EN$3,0,0,'Données projet'!$E$15+1,1))-AVERAGE(OFFSET($H$3,0,0,'Données projet'!$E$15+1,1))</f>
        <v>273.72403794510291</v>
      </c>
      <c r="EP50" s="60">
        <f t="shared" si="46"/>
        <v>292.00185554564109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10.375</v>
      </c>
      <c r="FE50" s="13">
        <f>IF('Données projet'!$A$218&gt;35,FE49+FD50-FM49,IF(A50&lt;'Données projet'!$A$218,$FB$205^A50,IF(A50='Données projet'!$A$218,'Données projet'!$B$218,FE49+FD50-FM49)))</f>
        <v>218.12499999999991</v>
      </c>
      <c r="FF50" s="18">
        <f>FE50*VLOOKUP('Données projet'!$B$16,Paramètres!$A$1:$I$89,3,0)*VLOOKUP('Données projet'!$B$16,Paramètres!$A$1:$I$89,5,0)</f>
        <v>170.13749999999993</v>
      </c>
      <c r="FG50" s="14">
        <f t="shared" si="47"/>
        <v>43.120817562072375</v>
      </c>
      <c r="FH50" s="22">
        <f t="shared" si="22"/>
        <v>371.42490308727588</v>
      </c>
      <c r="FI50" s="60">
        <f t="shared" si="23"/>
        <v>624.48614095147127</v>
      </c>
      <c r="FJ50" s="60">
        <f ca="1">AVERAGE(OFFSET($FI$3,0,0,'Données projet'!$E$16+1,1))-AVERAGE(OFFSET($H$3,0,0,'Données projet'!$E$16+1,1))</f>
        <v>309.21625451786218</v>
      </c>
      <c r="FK50" s="60">
        <f t="shared" si="48"/>
        <v>302.59481222418219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>
        <f>FZ50*VLOOKUP('Données projet'!$B$17,Paramètres!$A$1:$I$89,3,0)*VLOOKUP('Données projet'!$B$17,Paramètres!$A$1:$I$89,5,0)</f>
        <v>0</v>
      </c>
      <c r="GB50" s="14" t="e">
        <f t="shared" si="49"/>
        <v>#NUM!</v>
      </c>
      <c r="GC50" s="22" t="e">
        <f t="shared" si="25"/>
        <v>#NUM!</v>
      </c>
      <c r="GD50" s="60" t="e">
        <f t="shared" si="26"/>
        <v>#NUM!</v>
      </c>
      <c r="GE50" s="60">
        <f ca="1">AVERAGE(OFFSET($GD$3,0,0,'Données projet'!$E$17+1,1))-AVERAGE(OFFSET($H$3,0,0,'Données projet'!$E$17+1,1))</f>
        <v>216.36762889365235</v>
      </c>
      <c r="GF50" s="60">
        <f t="shared" si="50"/>
        <v>333.29599352215496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9.6416103076138064</v>
      </c>
      <c r="GM50" s="23">
        <f>EXP(-LN(2)/25)*GM49+(1-EXP(-LN(2)/25))/(LN(2)/25)*Calculateur!GH50*Calculateur!GJ50*VLOOKUP('Données projet'!$B$17,Paramètres!$A$1:$I$89,3,0)*0.475*44/12</f>
        <v>6.0852454350145493</v>
      </c>
      <c r="GN50" s="23">
        <f>EXP(-LN(2)/2)*GN49+(1-EXP(-LN(2)/2))/(LN(2)/2)*GH50*GK50*VLOOKUP('Données projet'!$B$17,Paramètres!$A$1:$I$89,3,0)*0.475*44/12</f>
        <v>8.0776666233468956E-3</v>
      </c>
      <c r="GO50" s="23">
        <f t="shared" si="27"/>
        <v>15.734933409251703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4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176.61072000000004</v>
      </c>
      <c r="P51" s="14">
        <f t="shared" si="33"/>
        <v>44.56730162053563</v>
      </c>
      <c r="Q51" s="22">
        <f t="shared" si="53"/>
        <v>385.21838765576626</v>
      </c>
      <c r="R51" s="60">
        <f t="shared" si="0"/>
        <v>638.97825634143396</v>
      </c>
      <c r="S51" s="60">
        <f ca="1">AVERAGE(OFFSET($R$3,0,0,'Données projet'!$E$9+1,1))-AVERAGE(OFFSET($H$3,0,0,'Données projet'!$E$9+1,1))</f>
        <v>496.33873798282525</v>
      </c>
      <c r="T51" s="60">
        <f t="shared" si="34"/>
        <v>280.25465074992246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11.552307692307688</v>
      </c>
      <c r="AI51" s="14">
        <f>IF('Données projet'!$A$62&gt;35,AI50+AH51-AQ50,IF(A51&lt;'Données projet'!$A$62,$AF$205^A51,IF(A51='Données projet'!$A$62,'Données projet'!$B$62,AI50+AH51-AQ50)))</f>
        <v>286.8030769230769</v>
      </c>
      <c r="AJ51" s="14">
        <f>AI51*VLOOKUP('Données projet'!$B$10,Paramètres!$A$1:$I$89,3,0)*VLOOKUP('Données projet'!$B$10,Paramètres!$A$1:$I$89,5,0)</f>
        <v>134.22384</v>
      </c>
      <c r="AK51" s="14">
        <f t="shared" si="35"/>
        <v>34.970541073225803</v>
      </c>
      <c r="AL51" s="22">
        <f t="shared" si="4"/>
        <v>294.6802137025349</v>
      </c>
      <c r="AM51" s="60">
        <f t="shared" si="5"/>
        <v>548.44008238820265</v>
      </c>
      <c r="AN51" s="60">
        <f ca="1">AVERAGE(OFFSET($AM$3,0,0,'Données projet'!$E$10+1,1))-AVERAGE(OFFSET($H$3,0,0,'Données projet'!$E$10+1,1))</f>
        <v>277.7918215389401</v>
      </c>
      <c r="AO51" s="60">
        <f t="shared" si="36"/>
        <v>164.65640238394164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5.2564102564102537</v>
      </c>
      <c r="BD51" s="13">
        <f>IF('Données projet'!$A$88&gt;35,BD50+BC51-BL50,IF(A51&lt;'Données projet'!$A$88,$BA$205^A51,IF(A51='Données projet'!$A$88,'Données projet'!$B$88,BD50+BC51-BL50)))</f>
        <v>133.71794871794862</v>
      </c>
      <c r="BE51" s="14">
        <f>BD51*VLOOKUP('Données projet'!$B$11,Paramètres!$A$1:$I$89,3,0)*VLOOKUP('Données projet'!$B$11,Paramètres!$A$1:$I$89,5,0)</f>
        <v>127.24599999999991</v>
      </c>
      <c r="BF51" s="14">
        <f t="shared" si="37"/>
        <v>33.359199928902086</v>
      </c>
      <c r="BG51" s="22">
        <f t="shared" si="7"/>
        <v>279.72072320950429</v>
      </c>
      <c r="BH51" s="60">
        <f t="shared" si="8"/>
        <v>533.48059189517198</v>
      </c>
      <c r="BI51" s="60">
        <f ca="1">AVERAGE(OFFSET($BH$3,0,0,'Données projet'!$E$11+1,1))-AVERAGE(OFFSET($H$3,0,0,'Données projet'!$E$11+1,1))</f>
        <v>366.21371543563254</v>
      </c>
      <c r="BJ51" s="60">
        <f t="shared" si="38"/>
        <v>237.43356317334084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6.025641025641022</v>
      </c>
      <c r="BY51" s="13">
        <f>IF('Données projet'!$A$114&gt;35,BY50+BX51-CG50,IF(A51&lt;'Données projet'!$A$114,$BV$205^A51,IF(A51='Données projet'!$A$114,'Données projet'!$B$114,BY50+BX51-CG50)))</f>
        <v>178.97435897435889</v>
      </c>
      <c r="BZ51" s="14">
        <f>BY51*VLOOKUP('Données projet'!$B$12,Paramètres!$A$1:$I$89,3,0)*VLOOKUP('Données projet'!$B$12,Paramètres!$A$1:$I$89,5,0)</f>
        <v>187.06399999999994</v>
      </c>
      <c r="CA51" s="14">
        <f t="shared" si="39"/>
        <v>46.890257781771233</v>
      </c>
      <c r="CB51" s="22">
        <f t="shared" si="10"/>
        <v>407.47033230325138</v>
      </c>
      <c r="CC51" s="60">
        <f t="shared" si="11"/>
        <v>661.23020098891902</v>
      </c>
      <c r="CD51" s="60">
        <f ca="1">AVERAGE(OFFSET($CC$3,0,0,'Données projet'!$E$12+1,1))-AVERAGE(OFFSET($H$3,0,0,'Données projet'!$E$12+1,1))</f>
        <v>530.79860063513229</v>
      </c>
      <c r="CE51" s="60">
        <f t="shared" si="40"/>
        <v>302.50876440460434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165.21648000000002</v>
      </c>
      <c r="CV51" s="14">
        <f t="shared" si="41"/>
        <v>42.016901084500397</v>
      </c>
      <c r="CW51" s="22">
        <f t="shared" si="13"/>
        <v>360.93147205550491</v>
      </c>
      <c r="CX51" s="60">
        <f t="shared" si="14"/>
        <v>614.69134074117255</v>
      </c>
      <c r="CY51" s="60">
        <f ca="1">AVERAGE(OFFSET($CX$3,0,0,'Données projet'!$E$13+1,1))-AVERAGE(OFFSET($H$3,0,0,'Données projet'!$E$13+1,1))</f>
        <v>469.67944008675863</v>
      </c>
      <c r="CZ51" s="60">
        <f t="shared" si="42"/>
        <v>266.11908070867173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182.60000000000002</v>
      </c>
      <c r="DP51" s="18">
        <f>DO51*VLOOKUP('Données projet'!$B$14,Paramètres!$A$1:$I$89,3,0)*VLOOKUP('Données projet'!$B$14,Paramètres!$A$1:$I$89,5,0)</f>
        <v>196.55064000000002</v>
      </c>
      <c r="DQ51" s="14">
        <f t="shared" si="43"/>
        <v>48.985336952319578</v>
      </c>
      <c r="DR51" s="22">
        <f t="shared" si="16"/>
        <v>427.6418265252899</v>
      </c>
      <c r="DS51" s="60">
        <f t="shared" si="17"/>
        <v>681.40169521095754</v>
      </c>
      <c r="DT51" s="60">
        <f ca="1">AVERAGE(OFFSET($DS$3,0,0,'Données projet'!$E$14+1,1))-AVERAGE(OFFSET($H$3,0,0,'Données projet'!$E$14+1,1))</f>
        <v>542.90832990875208</v>
      </c>
      <c r="DU51" s="60">
        <f t="shared" si="44"/>
        <v>304.94365539329362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5.580000000000001</v>
      </c>
      <c r="EJ51" s="13">
        <f>IF('Données projet'!$A$192&gt;35,EJ50+EI51-ER50,IF(A51&lt;'Données projet'!$A$192,$EG$205^A51,IF(A51='Données projet'!$A$192,'Données projet'!$B$192,EJ50+EI51-ER50)))</f>
        <v>181.34000000000015</v>
      </c>
      <c r="EK51" s="18">
        <f>EJ51*VLOOKUP('Données projet'!$B$15,Paramètres!$A$1:$I$89,3,0)*VLOOKUP('Données projet'!$B$15,Paramètres!$A$1:$I$89,5,0)</f>
        <v>144.27410400000011</v>
      </c>
      <c r="EL51" s="14">
        <f t="shared" si="45"/>
        <v>37.274422417305097</v>
      </c>
      <c r="EM51" s="22">
        <f t="shared" si="19"/>
        <v>316.19701684347319</v>
      </c>
      <c r="EN51" s="60">
        <f t="shared" si="20"/>
        <v>569.95688552914089</v>
      </c>
      <c r="EO51" s="60">
        <f ca="1">AVERAGE(OFFSET($EN$3,0,0,'Données projet'!$E$15+1,1))-AVERAGE(OFFSET($H$3,0,0,'Données projet'!$E$15+1,1))</f>
        <v>273.72403794510291</v>
      </c>
      <c r="EP51" s="60">
        <f t="shared" si="46"/>
        <v>292.00185554564109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10.375</v>
      </c>
      <c r="FE51" s="13">
        <f>IF('Données projet'!$A$218&gt;35,FE50+FD51-FM50,IF(A51&lt;'Données projet'!$A$218,$FB$205^A51,IF(A51='Données projet'!$A$218,'Données projet'!$B$218,FE50+FD51-FM50)))</f>
        <v>228.49999999999991</v>
      </c>
      <c r="FF51" s="18">
        <f>FE51*VLOOKUP('Données projet'!$B$16,Paramètres!$A$1:$I$89,3,0)*VLOOKUP('Données projet'!$B$16,Paramètres!$A$1:$I$89,5,0)</f>
        <v>178.22999999999993</v>
      </c>
      <c r="FG51" s="14">
        <f t="shared" si="47"/>
        <v>44.928167580487852</v>
      </c>
      <c r="FH51" s="22">
        <f t="shared" si="22"/>
        <v>388.66714186934951</v>
      </c>
      <c r="FI51" s="60">
        <f t="shared" si="23"/>
        <v>642.4270105550172</v>
      </c>
      <c r="FJ51" s="60">
        <f ca="1">AVERAGE(OFFSET($FI$3,0,0,'Données projet'!$E$16+1,1))-AVERAGE(OFFSET($H$3,0,0,'Données projet'!$E$16+1,1))</f>
        <v>309.21625451786218</v>
      </c>
      <c r="FK51" s="60">
        <f t="shared" si="48"/>
        <v>302.59481222418219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>
        <f>FZ51*VLOOKUP('Données projet'!$B$17,Paramètres!$A$1:$I$89,3,0)*VLOOKUP('Données projet'!$B$17,Paramètres!$A$1:$I$89,5,0)</f>
        <v>0</v>
      </c>
      <c r="GB51" s="14" t="e">
        <f t="shared" si="49"/>
        <v>#NUM!</v>
      </c>
      <c r="GC51" s="22" t="e">
        <f t="shared" si="25"/>
        <v>#NUM!</v>
      </c>
      <c r="GD51" s="60" t="e">
        <f t="shared" si="26"/>
        <v>#NUM!</v>
      </c>
      <c r="GE51" s="60">
        <f ca="1">AVERAGE(OFFSET($GD$3,0,0,'Données projet'!$E$17+1,1))-AVERAGE(OFFSET($H$3,0,0,'Données projet'!$E$17+1,1))</f>
        <v>216.36762889365235</v>
      </c>
      <c r="GF51" s="60">
        <f t="shared" si="50"/>
        <v>333.29599352215496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9.4525442102831061</v>
      </c>
      <c r="GM51" s="23">
        <f>EXP(-LN(2)/25)*GM50+(1-EXP(-LN(2)/25))/(LN(2)/25)*Calculateur!GH51*Calculateur!GJ51*VLOOKUP('Données projet'!$B$17,Paramètres!$A$1:$I$89,3,0)*0.475*44/12</f>
        <v>5.918844078584927</v>
      </c>
      <c r="GN51" s="23">
        <f>EXP(-LN(2)/2)*GN50+(1-EXP(-LN(2)/2))/(LN(2)/2)*GH51*GK51*VLOOKUP('Données projet'!$B$17,Paramètres!$A$1:$I$89,3,0)*0.475*44/12</f>
        <v>5.7117728455328316E-3</v>
      </c>
      <c r="GO51" s="23">
        <f t="shared" si="27"/>
        <v>15.377100061713566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4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184.54176000000001</v>
      </c>
      <c r="P52" s="14">
        <f t="shared" si="33"/>
        <v>46.33117397953523</v>
      </c>
      <c r="Q52" s="22">
        <f t="shared" si="53"/>
        <v>402.10369334769052</v>
      </c>
      <c r="R52" s="60">
        <f t="shared" si="0"/>
        <v>656.55007317198249</v>
      </c>
      <c r="S52" s="60">
        <f ca="1">AVERAGE(OFFSET($R$3,0,0,'Données projet'!$E$9+1,1))-AVERAGE(OFFSET($H$3,0,0,'Données projet'!$E$9+1,1))</f>
        <v>496.33873798282525</v>
      </c>
      <c r="T52" s="60">
        <f t="shared" si="34"/>
        <v>280.25465074992246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11.552307692307688</v>
      </c>
      <c r="AI52" s="14">
        <f>IF('Données projet'!$A$62&gt;35,AI51+AH52-AQ51,IF(A52&lt;'Données projet'!$A$62,$AF$205^A52,IF(A52='Données projet'!$A$62,'Données projet'!$B$62,AI51+AH52-AQ51)))</f>
        <v>298.35538461538459</v>
      </c>
      <c r="AJ52" s="14">
        <f>AI52*VLOOKUP('Données projet'!$B$10,Paramètres!$A$1:$I$89,3,0)*VLOOKUP('Données projet'!$B$10,Paramètres!$A$1:$I$89,5,0)</f>
        <v>139.63031999999998</v>
      </c>
      <c r="AK52" s="14">
        <f t="shared" si="35"/>
        <v>36.212303970383452</v>
      </c>
      <c r="AL52" s="22">
        <f t="shared" si="4"/>
        <v>306.25923674841783</v>
      </c>
      <c r="AM52" s="60">
        <f t="shared" si="5"/>
        <v>560.7056165727098</v>
      </c>
      <c r="AN52" s="60">
        <f ca="1">AVERAGE(OFFSET($AM$3,0,0,'Données projet'!$E$10+1,1))-AVERAGE(OFFSET($H$3,0,0,'Données projet'!$E$10+1,1))</f>
        <v>277.7918215389401</v>
      </c>
      <c r="AO52" s="60">
        <f t="shared" si="36"/>
        <v>164.65640238394164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5.2564102564102537</v>
      </c>
      <c r="BD52" s="13">
        <f>IF('Données projet'!$A$88&gt;35,BD51+BC52-BL51,IF(A52&lt;'Données projet'!$A$88,$BA$205^A52,IF(A52='Données projet'!$A$88,'Données projet'!$B$88,BD51+BC52-BL51)))</f>
        <v>138.97435897435886</v>
      </c>
      <c r="BE52" s="14">
        <f>BD52*VLOOKUP('Données projet'!$B$11,Paramètres!$A$1:$I$89,3,0)*VLOOKUP('Données projet'!$B$11,Paramètres!$A$1:$I$89,5,0)</f>
        <v>132.24799999999991</v>
      </c>
      <c r="BF52" s="14">
        <f t="shared" si="37"/>
        <v>34.515286685441318</v>
      </c>
      <c r="BG52" s="22">
        <f t="shared" si="7"/>
        <v>290.44605764381009</v>
      </c>
      <c r="BH52" s="60">
        <f t="shared" si="8"/>
        <v>544.89243746810212</v>
      </c>
      <c r="BI52" s="60">
        <f ca="1">AVERAGE(OFFSET($BH$3,0,0,'Données projet'!$E$11+1,1))-AVERAGE(OFFSET($H$3,0,0,'Données projet'!$E$11+1,1))</f>
        <v>366.21371543563254</v>
      </c>
      <c r="BJ52" s="60">
        <f t="shared" si="38"/>
        <v>237.43356317334084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6.025641025641022</v>
      </c>
      <c r="BY52" s="13">
        <f>IF('Données projet'!$A$114&gt;35,BY51+BX52-CG51,IF(A52&lt;'Données projet'!$A$114,$BV$205^A52,IF(A52='Données projet'!$A$114,'Données projet'!$B$114,BY51+BX52-CG51)))</f>
        <v>184.99999999999991</v>
      </c>
      <c r="BZ52" s="14">
        <f>BY52*VLOOKUP('Données projet'!$B$12,Paramètres!$A$1:$I$89,3,0)*VLOOKUP('Données projet'!$B$12,Paramètres!$A$1:$I$89,5,0)</f>
        <v>193.36199999999991</v>
      </c>
      <c r="CA52" s="14">
        <f t="shared" si="39"/>
        <v>48.282482845036888</v>
      </c>
      <c r="CB52" s="22">
        <f t="shared" si="10"/>
        <v>420.86414095510577</v>
      </c>
      <c r="CC52" s="60">
        <f t="shared" si="11"/>
        <v>675.31052077939773</v>
      </c>
      <c r="CD52" s="60">
        <f ca="1">AVERAGE(OFFSET($CC$3,0,0,'Données projet'!$E$12+1,1))-AVERAGE(OFFSET($H$3,0,0,'Données projet'!$E$12+1,1))</f>
        <v>530.79860063513229</v>
      </c>
      <c r="CE52" s="60">
        <f t="shared" si="40"/>
        <v>302.50876440460434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172.63584</v>
      </c>
      <c r="CV52" s="14">
        <f t="shared" si="41"/>
        <v>43.679834395222109</v>
      </c>
      <c r="CW52" s="22">
        <f t="shared" si="13"/>
        <v>376.74979957167847</v>
      </c>
      <c r="CX52" s="60">
        <f t="shared" si="14"/>
        <v>631.19617939597038</v>
      </c>
      <c r="CY52" s="60">
        <f ca="1">AVERAGE(OFFSET($CX$3,0,0,'Données projet'!$E$13+1,1))-AVERAGE(OFFSET($H$3,0,0,'Données projet'!$E$13+1,1))</f>
        <v>469.67944008675863</v>
      </c>
      <c r="CZ52" s="60">
        <f t="shared" si="42"/>
        <v>266.11908070867173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190.8</v>
      </c>
      <c r="DP52" s="18">
        <f>DO52*VLOOKUP('Données projet'!$B$14,Paramètres!$A$1:$I$89,3,0)*VLOOKUP('Données projet'!$B$14,Paramètres!$A$1:$I$89,5,0)</f>
        <v>205.37711999999999</v>
      </c>
      <c r="DQ52" s="14">
        <f t="shared" si="43"/>
        <v>50.924065093909938</v>
      </c>
      <c r="DR52" s="22">
        <f t="shared" si="16"/>
        <v>446.39123070522641</v>
      </c>
      <c r="DS52" s="60">
        <f t="shared" si="17"/>
        <v>700.83761052951832</v>
      </c>
      <c r="DT52" s="60">
        <f ca="1">AVERAGE(OFFSET($DS$3,0,0,'Données projet'!$E$14+1,1))-AVERAGE(OFFSET($H$3,0,0,'Données projet'!$E$14+1,1))</f>
        <v>542.90832990875208</v>
      </c>
      <c r="DU52" s="60">
        <f t="shared" si="44"/>
        <v>304.94365539329362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5.580000000000001</v>
      </c>
      <c r="EJ52" s="13">
        <f>IF('Données projet'!$A$192&gt;35,EJ51+EI52-ER51,IF(A52&lt;'Données projet'!$A$192,$EG$205^A52,IF(A52='Données projet'!$A$192,'Données projet'!$B$192,EJ51+EI52-ER51)))</f>
        <v>186.92000000000016</v>
      </c>
      <c r="EK52" s="18">
        <f>EJ52*VLOOKUP('Données projet'!$B$15,Paramètres!$A$1:$I$89,3,0)*VLOOKUP('Données projet'!$B$15,Paramètres!$A$1:$I$89,5,0)</f>
        <v>148.71355200000013</v>
      </c>
      <c r="EL52" s="14">
        <f t="shared" si="45"/>
        <v>38.286089304689312</v>
      </c>
      <c r="EM52" s="22">
        <f t="shared" si="19"/>
        <v>325.69104193900074</v>
      </c>
      <c r="EN52" s="60">
        <f t="shared" si="20"/>
        <v>580.13742176329265</v>
      </c>
      <c r="EO52" s="60">
        <f ca="1">AVERAGE(OFFSET($EN$3,0,0,'Données projet'!$E$15+1,1))-AVERAGE(OFFSET($H$3,0,0,'Données projet'!$E$15+1,1))</f>
        <v>273.72403794510291</v>
      </c>
      <c r="EP52" s="60">
        <f t="shared" si="46"/>
        <v>292.00185554564109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10.375</v>
      </c>
      <c r="FE52" s="13">
        <f>IF('Données projet'!$A$218&gt;35,FE51+FD52-FM51,IF(A52&lt;'Données projet'!$A$218,$FB$205^A52,IF(A52='Données projet'!$A$218,'Données projet'!$B$218,FE51+FD52-FM51)))</f>
        <v>238.87499999999991</v>
      </c>
      <c r="FF52" s="18">
        <f>FE52*VLOOKUP('Données projet'!$B$16,Paramètres!$A$1:$I$89,3,0)*VLOOKUP('Données projet'!$B$16,Paramètres!$A$1:$I$89,5,0)</f>
        <v>186.32249999999993</v>
      </c>
      <c r="FG52" s="14">
        <f t="shared" si="47"/>
        <v>46.725987276254116</v>
      </c>
      <c r="FH52" s="22">
        <f t="shared" si="22"/>
        <v>405.8927820061424</v>
      </c>
      <c r="FI52" s="60">
        <f t="shared" si="23"/>
        <v>660.33916183043436</v>
      </c>
      <c r="FJ52" s="60">
        <f ca="1">AVERAGE(OFFSET($FI$3,0,0,'Données projet'!$E$16+1,1))-AVERAGE(OFFSET($H$3,0,0,'Données projet'!$E$16+1,1))</f>
        <v>309.21625451786218</v>
      </c>
      <c r="FK52" s="60">
        <f t="shared" si="48"/>
        <v>302.59481222418219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>
        <f>FZ52*VLOOKUP('Données projet'!$B$17,Paramètres!$A$1:$I$89,3,0)*VLOOKUP('Données projet'!$B$17,Paramètres!$A$1:$I$89,5,0)</f>
        <v>0</v>
      </c>
      <c r="GB52" s="14" t="e">
        <f t="shared" si="49"/>
        <v>#NUM!</v>
      </c>
      <c r="GC52" s="22" t="e">
        <f t="shared" si="25"/>
        <v>#NUM!</v>
      </c>
      <c r="GD52" s="60" t="e">
        <f t="shared" si="26"/>
        <v>#NUM!</v>
      </c>
      <c r="GE52" s="60">
        <f ca="1">AVERAGE(OFFSET($GD$3,0,0,'Données projet'!$E$17+1,1))-AVERAGE(OFFSET($H$3,0,0,'Données projet'!$E$17+1,1))</f>
        <v>216.36762889365235</v>
      </c>
      <c r="GF52" s="60">
        <f t="shared" si="50"/>
        <v>333.29599352215496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9.267185583802128</v>
      </c>
      <c r="GM52" s="23">
        <f>EXP(-LN(2)/25)*GM51+(1-EXP(-LN(2)/25))/(LN(2)/25)*Calculateur!GH52*Calculateur!GJ52*VLOOKUP('Données projet'!$B$17,Paramètres!$A$1:$I$89,3,0)*0.475*44/12</f>
        <v>5.75699297599754</v>
      </c>
      <c r="GN52" s="23">
        <f>EXP(-LN(2)/2)*GN51+(1-EXP(-LN(2)/2))/(LN(2)/2)*GH52*GK52*VLOOKUP('Données projet'!$B$17,Paramètres!$A$1:$I$89,3,0)*0.475*44/12</f>
        <v>4.0388333116734478E-3</v>
      </c>
      <c r="GO52" s="23">
        <f t="shared" si="27"/>
        <v>15.028217393111342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4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192.47280000000001</v>
      </c>
      <c r="P53" s="14">
        <f t="shared" si="33"/>
        <v>48.086241710923829</v>
      </c>
      <c r="Q53" s="22">
        <f t="shared" si="53"/>
        <v>418.97366431319239</v>
      </c>
      <c r="R53" s="60">
        <f t="shared" si="0"/>
        <v>674.09464584266243</v>
      </c>
      <c r="S53" s="60">
        <f ca="1">AVERAGE(OFFSET($R$3,0,0,'Données projet'!$E$9+1,1))-AVERAGE(OFFSET($H$3,0,0,'Données projet'!$E$9+1,1))</f>
        <v>496.33873798282525</v>
      </c>
      <c r="T53" s="60">
        <f t="shared" si="34"/>
        <v>280.25465074992246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309.90769230769229</v>
      </c>
      <c r="AG53" s="13">
        <f>VLOOKUP(A53,'Données projet'!$A$61:$I$81,9,0)</f>
        <v>11.552307692307688</v>
      </c>
      <c r="AH53" s="13">
        <f t="array" ref="AH53">INDEX(AG:AG,MIN(IF(ISNUMBER(AG53:AG249),ROW(AG53:AG249),"")))</f>
        <v>11.552307692307688</v>
      </c>
      <c r="AI53" s="14">
        <f>IF('Données projet'!$A$62&gt;35,AI52+AH53-AQ52,IF(A53&lt;'Données projet'!$A$62,$AF$205^A53,IF(A53='Données projet'!$A$62,'Données projet'!$B$62,AI52+AH53-AQ52)))</f>
        <v>309.90769230769229</v>
      </c>
      <c r="AJ53" s="14">
        <f>AI53*VLOOKUP('Données projet'!$B$10,Paramètres!$A$1:$I$89,3,0)*VLOOKUP('Données projet'!$B$10,Paramètres!$A$1:$I$89,5,0)</f>
        <v>145.0368</v>
      </c>
      <c r="AK53" s="14">
        <f t="shared" si="35"/>
        <v>37.448481357413236</v>
      </c>
      <c r="AL53" s="22">
        <f t="shared" si="4"/>
        <v>317.82853169749472</v>
      </c>
      <c r="AM53" s="60">
        <f t="shared" si="5"/>
        <v>572.94951322696488</v>
      </c>
      <c r="AN53" s="60">
        <f ca="1">AVERAGE(OFFSET($AM$3,0,0,'Données projet'!$E$10+1,1))-AVERAGE(OFFSET($H$3,0,0,'Données projet'!$E$10+1,1))</f>
        <v>277.7918215389401</v>
      </c>
      <c r="AO53" s="60">
        <f t="shared" si="36"/>
        <v>164.65640238394164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144.23076923076923</v>
      </c>
      <c r="BB53" s="13">
        <f>VLOOKUP(A53,'Données projet'!$A$87:$I$107,9,0)</f>
        <v>5.2564102564102537</v>
      </c>
      <c r="BC53" s="13">
        <f t="array" ref="BC53">INDEX(BB:BB,MIN(IF(ISNUMBER(BB53:BB249),ROW(BB53:BB249),"")))</f>
        <v>5.2564102564102537</v>
      </c>
      <c r="BD53" s="13">
        <f>IF('Données projet'!$A$88&gt;35,BD52+BC53-BL52,IF(A53&lt;'Données projet'!$A$88,$BA$205^A53,IF(A53='Données projet'!$A$88,'Données projet'!$B$88,BD52+BC53-BL52)))</f>
        <v>144.23076923076911</v>
      </c>
      <c r="BE53" s="14">
        <f>BD53*VLOOKUP('Données projet'!$B$11,Paramètres!$A$1:$I$89,3,0)*VLOOKUP('Données projet'!$B$11,Paramètres!$A$1:$I$89,5,0)</f>
        <v>137.24999999999989</v>
      </c>
      <c r="BF53" s="14">
        <f t="shared" si="37"/>
        <v>35.666293582390708</v>
      </c>
      <c r="BG53" s="22">
        <f t="shared" si="7"/>
        <v>301.16254465599701</v>
      </c>
      <c r="BH53" s="60">
        <f t="shared" si="8"/>
        <v>556.28352618546705</v>
      </c>
      <c r="BI53" s="60">
        <f ca="1">AVERAGE(OFFSET($BH$3,0,0,'Données projet'!$E$11+1,1))-AVERAGE(OFFSET($H$3,0,0,'Données projet'!$E$11+1,1))</f>
        <v>366.21371543563254</v>
      </c>
      <c r="BJ53" s="60">
        <f t="shared" si="38"/>
        <v>237.43356317334084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191.02564102564102</v>
      </c>
      <c r="BW53" s="13">
        <f>VLOOKUP(A53,'Données projet'!$A$113:$I$133,9,0)</f>
        <v>6.025641025641022</v>
      </c>
      <c r="BX53" s="13">
        <f t="array" ref="BX53">INDEX(BW:BW,MIN(IF(ISNUMBER(BW53:BW249),ROW(BW53:BW249),"")))</f>
        <v>6.025641025641022</v>
      </c>
      <c r="BY53" s="13">
        <f>IF('Données projet'!$A$114&gt;35,BY52+BX53-CG52,IF(A53&lt;'Données projet'!$A$114,$BV$205^A53,IF(A53='Données projet'!$A$114,'Données projet'!$B$114,BY52+BX53-CG52)))</f>
        <v>191.02564102564094</v>
      </c>
      <c r="BZ53" s="14">
        <f>BY53*VLOOKUP('Données projet'!$B$12,Paramètres!$A$1:$I$89,3,0)*VLOOKUP('Données projet'!$B$12,Paramètres!$A$1:$I$89,5,0)</f>
        <v>199.65999999999991</v>
      </c>
      <c r="CA53" s="14">
        <f t="shared" si="39"/>
        <v>49.669438618512402</v>
      </c>
      <c r="CB53" s="22">
        <f t="shared" si="10"/>
        <v>434.24877226057561</v>
      </c>
      <c r="CC53" s="60">
        <f t="shared" si="11"/>
        <v>689.36975379004571</v>
      </c>
      <c r="CD53" s="60">
        <f ca="1">AVERAGE(OFFSET($CC$3,0,0,'Données projet'!$E$12+1,1))-AVERAGE(OFFSET($H$3,0,0,'Données projet'!$E$12+1,1))</f>
        <v>530.79860063513229</v>
      </c>
      <c r="CE53" s="60">
        <f t="shared" si="40"/>
        <v>302.50876440460434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180.05519999999999</v>
      </c>
      <c r="CV53" s="14">
        <f t="shared" si="41"/>
        <v>45.334466930398364</v>
      </c>
      <c r="CW53" s="22">
        <f t="shared" si="13"/>
        <v>392.55366990377706</v>
      </c>
      <c r="CX53" s="60">
        <f t="shared" si="14"/>
        <v>647.67465143324716</v>
      </c>
      <c r="CY53" s="60">
        <f ca="1">AVERAGE(OFFSET($CX$3,0,0,'Données projet'!$E$13+1,1))-AVERAGE(OFFSET($H$3,0,0,'Données projet'!$E$13+1,1))</f>
        <v>469.67944008675863</v>
      </c>
      <c r="CZ53" s="60">
        <f t="shared" si="42"/>
        <v>266.11908070867173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199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199</v>
      </c>
      <c r="DP53" s="18">
        <f>DO53*VLOOKUP('Données projet'!$B$14,Paramètres!$A$1:$I$89,3,0)*VLOOKUP('Données projet'!$B$14,Paramètres!$A$1:$I$89,5,0)</f>
        <v>214.20360000000002</v>
      </c>
      <c r="DQ53" s="14">
        <f t="shared" si="43"/>
        <v>52.853115789602029</v>
      </c>
      <c r="DR53" s="22">
        <f t="shared" si="16"/>
        <v>465.12378000022358</v>
      </c>
      <c r="DS53" s="60">
        <f t="shared" si="17"/>
        <v>720.24476152969373</v>
      </c>
      <c r="DT53" s="60">
        <f ca="1">AVERAGE(OFFSET($DS$3,0,0,'Données projet'!$E$14+1,1))-AVERAGE(OFFSET($H$3,0,0,'Données projet'!$E$14+1,1))</f>
        <v>542.90832990875208</v>
      </c>
      <c r="DU53" s="60">
        <f t="shared" si="44"/>
        <v>304.94365539329362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42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192.50000000000003</v>
      </c>
      <c r="EH53" s="13">
        <f>VLOOKUP(A53,'Données projet'!$A$191:$I$211,9,0)</f>
        <v>5.580000000000001</v>
      </c>
      <c r="EI53" s="13">
        <f t="array" ref="EI53">INDEX(EH:EH,MIN(IF(ISNUMBER(EH53:EH249),ROW(EH53:EH249),"")))</f>
        <v>5.580000000000001</v>
      </c>
      <c r="EJ53" s="13">
        <f>IF('Données projet'!$A$192&gt;35,EJ52+EI53-ER52,IF(A53&lt;'Données projet'!$A$192,$EG$205^A53,IF(A53='Données projet'!$A$192,'Données projet'!$B$192,EJ52+EI53-ER52)))</f>
        <v>192.50000000000017</v>
      </c>
      <c r="EK53" s="18">
        <f>EJ53*VLOOKUP('Données projet'!$B$15,Paramètres!$A$1:$I$89,3,0)*VLOOKUP('Données projet'!$B$15,Paramètres!$A$1:$I$89,5,0)</f>
        <v>153.15300000000013</v>
      </c>
      <c r="EL53" s="14">
        <f t="shared" si="45"/>
        <v>39.294246388797276</v>
      </c>
      <c r="EM53" s="22">
        <f t="shared" si="19"/>
        <v>335.17895412715546</v>
      </c>
      <c r="EN53" s="60">
        <f t="shared" si="20"/>
        <v>590.29993565662562</v>
      </c>
      <c r="EO53" s="60">
        <f ca="1">AVERAGE(OFFSET($EN$3,0,0,'Données projet'!$E$15+1,1))-AVERAGE(OFFSET($H$3,0,0,'Données projet'!$E$15+1,1))</f>
        <v>273.72403794510291</v>
      </c>
      <c r="EP53" s="60">
        <f t="shared" si="46"/>
        <v>292.00185554564109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31.1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10.375</v>
      </c>
      <c r="FE53" s="13">
        <f>IF('Données projet'!$A$218&gt;35,FE52+FD53-FM52,IF(A53&lt;'Données projet'!$A$218,$FB$205^A53,IF(A53='Données projet'!$A$218,'Données projet'!$B$218,FE52+FD53-FM52)))</f>
        <v>249.24999999999991</v>
      </c>
      <c r="FF53" s="18">
        <f>FE53*VLOOKUP('Données projet'!$B$16,Paramètres!$A$1:$I$89,3,0)*VLOOKUP('Données projet'!$B$16,Paramètres!$A$1:$I$89,5,0)</f>
        <v>194.41499999999994</v>
      </c>
      <c r="FG53" s="14">
        <f t="shared" si="47"/>
        <v>48.514737888684927</v>
      </c>
      <c r="FH53" s="22">
        <f t="shared" si="22"/>
        <v>423.10262682279273</v>
      </c>
      <c r="FI53" s="60">
        <f t="shared" si="23"/>
        <v>678.22360835226277</v>
      </c>
      <c r="FJ53" s="60">
        <f ca="1">AVERAGE(OFFSET($FI$3,0,0,'Données projet'!$E$16+1,1))-AVERAGE(OFFSET($H$3,0,0,'Données projet'!$E$16+1,1))</f>
        <v>309.21625451786218</v>
      </c>
      <c r="FK53" s="60">
        <f t="shared" si="48"/>
        <v>302.59481222418219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>
        <f>FZ53*VLOOKUP('Données projet'!$B$17,Paramètres!$A$1:$I$89,3,0)*VLOOKUP('Données projet'!$B$17,Paramètres!$A$1:$I$89,5,0)</f>
        <v>0</v>
      </c>
      <c r="GB53" s="14" t="e">
        <f t="shared" si="49"/>
        <v>#NUM!</v>
      </c>
      <c r="GC53" s="22" t="e">
        <f t="shared" si="25"/>
        <v>#NUM!</v>
      </c>
      <c r="GD53" s="60" t="e">
        <f t="shared" si="26"/>
        <v>#NUM!</v>
      </c>
      <c r="GE53" s="60">
        <f ca="1">AVERAGE(OFFSET($GD$3,0,0,'Données projet'!$E$17+1,1))-AVERAGE(OFFSET($H$3,0,0,'Données projet'!$E$17+1,1))</f>
        <v>216.36762889365235</v>
      </c>
      <c r="GF53" s="60">
        <f t="shared" si="50"/>
        <v>333.29599352215496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9.0854617269288429</v>
      </c>
      <c r="GM53" s="23">
        <f>EXP(-LN(2)/25)*GM52+(1-EXP(-LN(2)/25))/(LN(2)/25)*Calculateur!GH53*Calculateur!GJ53*VLOOKUP('Données projet'!$B$17,Paramètres!$A$1:$I$89,3,0)*0.475*44/12</f>
        <v>5.5995677003217841</v>
      </c>
      <c r="GN53" s="23">
        <f>EXP(-LN(2)/2)*GN52+(1-EXP(-LN(2)/2))/(LN(2)/2)*GH53*GK53*VLOOKUP('Données projet'!$B$17,Paramètres!$A$1:$I$89,3,0)*0.475*44/12</f>
        <v>2.8558864227664158E-3</v>
      </c>
      <c r="GO53" s="23">
        <f t="shared" si="27"/>
        <v>14.687885313673393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4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159.58799999999999</v>
      </c>
      <c r="P54" s="14">
        <f t="shared" si="33"/>
        <v>40.74957371668588</v>
      </c>
      <c r="Q54" s="22">
        <f t="shared" si="53"/>
        <v>348.92127422322784</v>
      </c>
      <c r="R54" s="60">
        <f t="shared" si="0"/>
        <v>604.70515462647472</v>
      </c>
      <c r="S54" s="60">
        <f ca="1">AVERAGE(OFFSET($R$3,0,0,'Données projet'!$E$9+1,1))-AVERAGE(OFFSET($H$3,0,0,'Données projet'!$E$9+1,1))</f>
        <v>496.33873798282525</v>
      </c>
      <c r="T54" s="60">
        <f t="shared" si="34"/>
        <v>280.25465074992246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>
        <f>VLOOKUP(A54,'Données projet'!$A$61:$I$81,2,0)</f>
        <v>321.8384615384615</v>
      </c>
      <c r="AG54" s="13">
        <f>VLOOKUP(A54,'Données projet'!$A$61:$I$81,9,0)</f>
        <v>11.930769230769215</v>
      </c>
      <c r="AH54" s="13">
        <f t="array" ref="AH54">INDEX(AG:AG,MIN(IF(ISNUMBER(AG54:AG250),ROW(AG54:AG250),"")))</f>
        <v>11.930769230769215</v>
      </c>
      <c r="AI54" s="14">
        <f>IF('Données projet'!$A$62&gt;35,AI53+AH54-AQ53,IF(A54&lt;'Données projet'!$A$62,$AF$205^A54,IF(A54='Données projet'!$A$62,'Données projet'!$B$62,AI53+AH54-AQ53)))</f>
        <v>321.8384615384615</v>
      </c>
      <c r="AJ54" s="14">
        <f>AI54*VLOOKUP('Données projet'!$B$10,Paramètres!$A$1:$I$89,3,0)*VLOOKUP('Données projet'!$B$10,Paramètres!$A$1:$I$89,5,0)</f>
        <v>150.62039999999996</v>
      </c>
      <c r="AK54" s="14">
        <f t="shared" si="35"/>
        <v>38.719539861211025</v>
      </c>
      <c r="AL54" s="22">
        <f t="shared" si="4"/>
        <v>329.76706192494242</v>
      </c>
      <c r="AM54" s="60">
        <f t="shared" si="5"/>
        <v>585.55094232818919</v>
      </c>
      <c r="AN54" s="60">
        <f ca="1">AVERAGE(OFFSET($AM$3,0,0,'Données projet'!$E$10+1,1))-AVERAGE(OFFSET($H$3,0,0,'Données projet'!$E$10+1,1))</f>
        <v>277.7918215389401</v>
      </c>
      <c r="AO54" s="60">
        <f t="shared" si="36"/>
        <v>164.65640238394164</v>
      </c>
      <c r="AP54" s="16">
        <f>IF(ISNA(VLOOKUP(A54,'Données projet'!$A$61:$I$81,3,0)),0,VLOOKUP(A54,'Données projet'!$A$61:$I$81,3,0))</f>
        <v>1</v>
      </c>
      <c r="AQ54" s="16">
        <f>IF(ISNA(VLOOKUP(A54,'Données projet'!$A$61:$I$81,4,0)),0,VLOOKUP(A54,'Données projet'!$A$61:$I$81,4,0))</f>
        <v>100.30769230769231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4.8717948717948731</v>
      </c>
      <c r="BD54" s="13">
        <f>IF('Données projet'!$A$88&gt;35,BD53+BC54-BL53,IF(A54&lt;'Données projet'!$A$88,$BA$205^A54,IF(A54='Données projet'!$A$88,'Données projet'!$B$88,BD53+BC54-BL53)))</f>
        <v>149.10256410256397</v>
      </c>
      <c r="BE54" s="14">
        <f>BD54*VLOOKUP('Données projet'!$B$11,Paramètres!$A$1:$I$89,3,0)*VLOOKUP('Données projet'!$B$11,Paramètres!$A$1:$I$89,5,0)</f>
        <v>141.88599999999988</v>
      </c>
      <c r="BF54" s="14">
        <f t="shared" si="37"/>
        <v>36.728724549080006</v>
      </c>
      <c r="BG54" s="22">
        <f t="shared" si="7"/>
        <v>311.0873119229808</v>
      </c>
      <c r="BH54" s="60">
        <f t="shared" si="8"/>
        <v>566.87119232622763</v>
      </c>
      <c r="BI54" s="60">
        <f ca="1">AVERAGE(OFFSET($BH$3,0,0,'Données projet'!$E$11+1,1))-AVERAGE(OFFSET($H$3,0,0,'Données projet'!$E$11+1,1))</f>
        <v>366.21371543563254</v>
      </c>
      <c r="BJ54" s="60">
        <f t="shared" si="38"/>
        <v>237.43356317334084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5.6410256410256405</v>
      </c>
      <c r="BY54" s="13">
        <f>IF('Données projet'!$A$114&gt;35,BY53+BX54-CG53,IF(A54&lt;'Données projet'!$A$114,$BV$205^A54,IF(A54='Données projet'!$A$114,'Données projet'!$B$114,BY53+BX54-CG53)))</f>
        <v>196.66666666666657</v>
      </c>
      <c r="BZ54" s="14">
        <f>BY54*VLOOKUP('Données projet'!$B$12,Paramètres!$A$1:$I$89,3,0)*VLOOKUP('Données projet'!$B$12,Paramètres!$A$1:$I$89,5,0)</f>
        <v>205.55599999999993</v>
      </c>
      <c r="CA54" s="14">
        <f t="shared" si="39"/>
        <v>50.963254302233317</v>
      </c>
      <c r="CB54" s="22">
        <f t="shared" si="10"/>
        <v>446.77103457638958</v>
      </c>
      <c r="CC54" s="60">
        <f t="shared" si="11"/>
        <v>702.55491497963635</v>
      </c>
      <c r="CD54" s="60">
        <f ca="1">AVERAGE(OFFSET($CC$3,0,0,'Données projet'!$E$12+1,1))-AVERAGE(OFFSET($H$3,0,0,'Données projet'!$E$12+1,1))</f>
        <v>530.79860063513229</v>
      </c>
      <c r="CE54" s="60">
        <f t="shared" si="40"/>
        <v>302.50876440460434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149.29199999999997</v>
      </c>
      <c r="CV54" s="14">
        <f t="shared" si="41"/>
        <v>38.417645803815411</v>
      </c>
      <c r="CW54" s="22">
        <f t="shared" si="13"/>
        <v>326.9276331083118</v>
      </c>
      <c r="CX54" s="60">
        <f t="shared" si="14"/>
        <v>582.71151351155868</v>
      </c>
      <c r="CY54" s="60">
        <f ca="1">AVERAGE(OFFSET($CX$3,0,0,'Données projet'!$E$13+1,1))-AVERAGE(OFFSET($H$3,0,0,'Données projet'!$E$13+1,1))</f>
        <v>469.67944008675863</v>
      </c>
      <c r="CZ54" s="60">
        <f t="shared" si="42"/>
        <v>266.11908070867173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165</v>
      </c>
      <c r="DP54" s="18">
        <f>DO54*VLOOKUP('Données projet'!$B$14,Paramètres!$A$1:$I$89,3,0)*VLOOKUP('Données projet'!$B$14,Paramètres!$A$1:$I$89,5,0)</f>
        <v>177.60599999999999</v>
      </c>
      <c r="DQ54" s="14">
        <f t="shared" si="43"/>
        <v>44.789150937858665</v>
      </c>
      <c r="DR54" s="22">
        <f t="shared" si="16"/>
        <v>387.33822121677048</v>
      </c>
      <c r="DS54" s="60">
        <f t="shared" si="17"/>
        <v>643.12210162001725</v>
      </c>
      <c r="DT54" s="60">
        <f ca="1">AVERAGE(OFFSET($DS$3,0,0,'Données projet'!$E$14+1,1))-AVERAGE(OFFSET($H$3,0,0,'Données projet'!$E$14+1,1))</f>
        <v>542.90832990875208</v>
      </c>
      <c r="DU54" s="60">
        <f t="shared" si="44"/>
        <v>304.94365539329362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4.7599999999999909</v>
      </c>
      <c r="EJ54" s="13">
        <f>IF('Données projet'!$A$192&gt;35,EJ53+EI54-ER53,IF(A54&lt;'Données projet'!$A$192,$EG$205^A54,IF(A54='Données projet'!$A$192,'Données projet'!$B$192,EJ53+EI54-ER53)))</f>
        <v>166.16000000000017</v>
      </c>
      <c r="EK54" s="18">
        <f>EJ54*VLOOKUP('Données projet'!$B$15,Paramètres!$A$1:$I$89,3,0)*VLOOKUP('Données projet'!$B$15,Paramètres!$A$1:$I$89,5,0)</f>
        <v>132.19689600000015</v>
      </c>
      <c r="EL54" s="14">
        <f t="shared" si="45"/>
        <v>34.50350132844904</v>
      </c>
      <c r="EM54" s="22">
        <f t="shared" si="19"/>
        <v>290.33652534704896</v>
      </c>
      <c r="EN54" s="60">
        <f t="shared" si="20"/>
        <v>546.12040575029573</v>
      </c>
      <c r="EO54" s="60">
        <f ca="1">AVERAGE(OFFSET($EN$3,0,0,'Données projet'!$E$15+1,1))-AVERAGE(OFFSET($H$3,0,0,'Données projet'!$E$15+1,1))</f>
        <v>273.72403794510291</v>
      </c>
      <c r="EP54" s="60">
        <f t="shared" si="46"/>
        <v>292.00185554564109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10.375</v>
      </c>
      <c r="FE54" s="13">
        <f>IF('Données projet'!$A$218&gt;35,FE53+FD54-FM53,IF(A54&lt;'Données projet'!$A$218,$FB$205^A54,IF(A54='Données projet'!$A$218,'Données projet'!$B$218,FE53+FD54-FM53)))</f>
        <v>259.62499999999989</v>
      </c>
      <c r="FF54" s="18">
        <f>FE54*VLOOKUP('Données projet'!$B$16,Paramètres!$A$1:$I$89,3,0)*VLOOKUP('Données projet'!$B$16,Paramètres!$A$1:$I$89,5,0)</f>
        <v>202.50749999999991</v>
      </c>
      <c r="FG54" s="14">
        <f t="shared" si="47"/>
        <v>50.294840086606349</v>
      </c>
      <c r="FH54" s="22">
        <f t="shared" si="22"/>
        <v>440.29740898417253</v>
      </c>
      <c r="FI54" s="60">
        <f t="shared" si="23"/>
        <v>696.08128938741936</v>
      </c>
      <c r="FJ54" s="60">
        <f ca="1">AVERAGE(OFFSET($FI$3,0,0,'Données projet'!$E$16+1,1))-AVERAGE(OFFSET($H$3,0,0,'Données projet'!$E$16+1,1))</f>
        <v>309.21625451786218</v>
      </c>
      <c r="FK54" s="60">
        <f t="shared" si="48"/>
        <v>302.59481222418219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>
        <f>FZ54*VLOOKUP('Données projet'!$B$17,Paramètres!$A$1:$I$89,3,0)*VLOOKUP('Données projet'!$B$17,Paramètres!$A$1:$I$89,5,0)</f>
        <v>0</v>
      </c>
      <c r="GB54" s="14" t="e">
        <f t="shared" si="49"/>
        <v>#NUM!</v>
      </c>
      <c r="GC54" s="22" t="e">
        <f t="shared" si="25"/>
        <v>#NUM!</v>
      </c>
      <c r="GD54" s="60" t="e">
        <f t="shared" si="26"/>
        <v>#NUM!</v>
      </c>
      <c r="GE54" s="60">
        <f ca="1">AVERAGE(OFFSET($GD$3,0,0,'Données projet'!$E$17+1,1))-AVERAGE(OFFSET($H$3,0,0,'Données projet'!$E$17+1,1))</f>
        <v>216.36762889365235</v>
      </c>
      <c r="GF54" s="60">
        <f t="shared" si="50"/>
        <v>333.29599352215496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8.9073013640482355</v>
      </c>
      <c r="GM54" s="23">
        <f>EXP(-LN(2)/25)*GM53+(1-EXP(-LN(2)/25))/(LN(2)/25)*Calculateur!GH54*Calculateur!GJ54*VLOOKUP('Données projet'!$B$17,Paramètres!$A$1:$I$89,3,0)*0.475*44/12</f>
        <v>5.4464472270880178</v>
      </c>
      <c r="GN54" s="23">
        <f>EXP(-LN(2)/2)*GN53+(1-EXP(-LN(2)/2))/(LN(2)/2)*GH54*GK54*VLOOKUP('Données projet'!$B$17,Paramètres!$A$1:$I$89,3,0)*0.475*44/12</f>
        <v>2.0194166558367239E-3</v>
      </c>
      <c r="GO54" s="23">
        <f t="shared" si="27"/>
        <v>14.35576800779209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4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167.32560000000001</v>
      </c>
      <c r="P55" s="14">
        <f t="shared" si="33"/>
        <v>42.490495297127609</v>
      </c>
      <c r="Q55" s="22">
        <f t="shared" si="53"/>
        <v>365.42969930916388</v>
      </c>
      <c r="R55" s="60">
        <f t="shared" si="0"/>
        <v>621.86497877274724</v>
      </c>
      <c r="S55" s="60">
        <f ca="1">AVERAGE(OFFSET($R$3,0,0,'Données projet'!$E$9+1,1))-AVERAGE(OFFSET($H$3,0,0,'Données projet'!$E$9+1,1))</f>
        <v>496.33873798282525</v>
      </c>
      <c r="T55" s="60">
        <f t="shared" si="34"/>
        <v>280.25465074992246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10.486538461538473</v>
      </c>
      <c r="AI55" s="14">
        <f>IF('Données projet'!$A$62&gt;35,AI54+AH55-AQ54,IF(A55&lt;'Données projet'!$A$62,$AF$205^A55,IF(A55='Données projet'!$A$62,'Données projet'!$B$62,AI54+AH55-AQ54)))</f>
        <v>232.01730769230767</v>
      </c>
      <c r="AJ55" s="14">
        <f>AI55*VLOOKUP('Données projet'!$B$10,Paramètres!$A$1:$I$89,3,0)*VLOOKUP('Données projet'!$B$10,Paramètres!$A$1:$I$89,5,0)</f>
        <v>108.58409999999999</v>
      </c>
      <c r="AK55" s="14">
        <f t="shared" si="35"/>
        <v>28.997136372788482</v>
      </c>
      <c r="AL55" s="22">
        <f t="shared" si="4"/>
        <v>239.62065334927328</v>
      </c>
      <c r="AM55" s="60">
        <f t="shared" si="5"/>
        <v>496.05593281285667</v>
      </c>
      <c r="AN55" s="60">
        <f ca="1">AVERAGE(OFFSET($AM$3,0,0,'Données projet'!$E$10+1,1))-AVERAGE(OFFSET($H$3,0,0,'Données projet'!$E$10+1,1))</f>
        <v>277.7918215389401</v>
      </c>
      <c r="AO55" s="60">
        <f t="shared" si="36"/>
        <v>164.65640238394164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4.8717948717948731</v>
      </c>
      <c r="BD55" s="13">
        <f>IF('Données projet'!$A$88&gt;35,BD54+BC55-BL54,IF(A55&lt;'Données projet'!$A$88,$BA$205^A55,IF(A55='Données projet'!$A$88,'Données projet'!$B$88,BD54+BC55-BL54)))</f>
        <v>153.97435897435884</v>
      </c>
      <c r="BE55" s="14">
        <f>BD55*VLOOKUP('Données projet'!$B$11,Paramètres!$A$1:$I$89,3,0)*VLOOKUP('Données projet'!$B$11,Paramètres!$A$1:$I$89,5,0)</f>
        <v>146.52199999999985</v>
      </c>
      <c r="BF55" s="14">
        <f t="shared" si="37"/>
        <v>37.787121722642162</v>
      </c>
      <c r="BG55" s="22">
        <f t="shared" si="7"/>
        <v>321.00505366693477</v>
      </c>
      <c r="BH55" s="60">
        <f t="shared" si="8"/>
        <v>577.44033313051818</v>
      </c>
      <c r="BI55" s="60">
        <f ca="1">AVERAGE(OFFSET($BH$3,0,0,'Données projet'!$E$11+1,1))-AVERAGE(OFFSET($H$3,0,0,'Données projet'!$E$11+1,1))</f>
        <v>366.21371543563254</v>
      </c>
      <c r="BJ55" s="60">
        <f t="shared" si="38"/>
        <v>237.43356317334084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5.6410256410256405</v>
      </c>
      <c r="BY55" s="13">
        <f>IF('Données projet'!$A$114&gt;35,BY54+BX55-CG54,IF(A55&lt;'Données projet'!$A$114,$BV$205^A55,IF(A55='Données projet'!$A$114,'Données projet'!$B$114,BY54+BX55-CG54)))</f>
        <v>202.30769230769221</v>
      </c>
      <c r="BZ55" s="14">
        <f>BY55*VLOOKUP('Données projet'!$B$12,Paramètres!$A$1:$I$89,3,0)*VLOOKUP('Données projet'!$B$12,Paramètres!$A$1:$I$89,5,0)</f>
        <v>211.45199999999994</v>
      </c>
      <c r="CA55" s="14">
        <f t="shared" si="39"/>
        <v>52.25275687287342</v>
      </c>
      <c r="CB55" s="22">
        <f t="shared" si="10"/>
        <v>459.28578488692114</v>
      </c>
      <c r="CC55" s="60">
        <f t="shared" si="11"/>
        <v>715.72106435050455</v>
      </c>
      <c r="CD55" s="60">
        <f ca="1">AVERAGE(OFFSET($CC$3,0,0,'Données projet'!$E$12+1,1))-AVERAGE(OFFSET($H$3,0,0,'Données projet'!$E$12+1,1))</f>
        <v>530.79860063513229</v>
      </c>
      <c r="CE55" s="60">
        <f t="shared" si="40"/>
        <v>302.50876440460434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156.53039999999999</v>
      </c>
      <c r="CV55" s="14">
        <f t="shared" si="41"/>
        <v>40.058941713182037</v>
      </c>
      <c r="CW55" s="22">
        <f t="shared" si="13"/>
        <v>342.393103483792</v>
      </c>
      <c r="CX55" s="60">
        <f t="shared" si="14"/>
        <v>598.8283829473753</v>
      </c>
      <c r="CY55" s="60">
        <f ca="1">AVERAGE(OFFSET($CX$3,0,0,'Données projet'!$E$13+1,1))-AVERAGE(OFFSET($H$3,0,0,'Données projet'!$E$13+1,1))</f>
        <v>469.67944008675863</v>
      </c>
      <c r="CZ55" s="60">
        <f t="shared" si="42"/>
        <v>266.11908070867173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173</v>
      </c>
      <c r="DP55" s="18">
        <f>DO55*VLOOKUP('Données projet'!$B$14,Paramètres!$A$1:$I$89,3,0)*VLOOKUP('Données projet'!$B$14,Paramètres!$A$1:$I$89,5,0)</f>
        <v>186.21719999999999</v>
      </c>
      <c r="DQ55" s="14">
        <f t="shared" si="43"/>
        <v>46.702653149673253</v>
      </c>
      <c r="DR55" s="22">
        <f t="shared" si="16"/>
        <v>405.66874423568089</v>
      </c>
      <c r="DS55" s="60">
        <f t="shared" si="17"/>
        <v>662.10402369926419</v>
      </c>
      <c r="DT55" s="60">
        <f ca="1">AVERAGE(OFFSET($DS$3,0,0,'Données projet'!$E$14+1,1))-AVERAGE(OFFSET($H$3,0,0,'Données projet'!$E$14+1,1))</f>
        <v>542.90832990875208</v>
      </c>
      <c r="DU55" s="60">
        <f t="shared" si="44"/>
        <v>304.94365539329362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4.7599999999999909</v>
      </c>
      <c r="EJ55" s="13">
        <f>IF('Données projet'!$A$192&gt;35,EJ54+EI55-ER54,IF(A55&lt;'Données projet'!$A$192,$EG$205^A55,IF(A55='Données projet'!$A$192,'Données projet'!$B$192,EJ54+EI55-ER54)))</f>
        <v>170.92000000000016</v>
      </c>
      <c r="EK55" s="18">
        <f>EJ55*VLOOKUP('Données projet'!$B$15,Paramètres!$A$1:$I$89,3,0)*VLOOKUP('Données projet'!$B$15,Paramètres!$A$1:$I$89,5,0)</f>
        <v>135.98395200000013</v>
      </c>
      <c r="EL55" s="14">
        <f t="shared" si="45"/>
        <v>35.375432643171301</v>
      </c>
      <c r="EM55" s="22">
        <f t="shared" si="19"/>
        <v>298.45092825352356</v>
      </c>
      <c r="EN55" s="60">
        <f t="shared" si="20"/>
        <v>554.88620771710691</v>
      </c>
      <c r="EO55" s="60">
        <f ca="1">AVERAGE(OFFSET($EN$3,0,0,'Données projet'!$E$15+1,1))-AVERAGE(OFFSET($H$3,0,0,'Données projet'!$E$15+1,1))</f>
        <v>273.72403794510291</v>
      </c>
      <c r="EP55" s="60">
        <f t="shared" si="46"/>
        <v>292.00185554564109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>
        <f>VLOOKUP(A55,'Données projet'!$A$217:$I$237,2,0)</f>
        <v>270</v>
      </c>
      <c r="FC55" s="13">
        <f>VLOOKUP(A55,'Données projet'!$A$217:$I$237,9,0)</f>
        <v>10.375</v>
      </c>
      <c r="FD55" s="13">
        <f t="array" ref="FD55">INDEX(FC:FC,MIN(IF(ISNUMBER(FC55:FC251),ROW(FC55:FC251),"")))</f>
        <v>10.375</v>
      </c>
      <c r="FE55" s="13">
        <f>IF('Données projet'!$A$218&gt;35,FE54+FD55-FM54,IF(A55&lt;'Données projet'!$A$218,$FB$205^A55,IF(A55='Données projet'!$A$218,'Données projet'!$B$218,FE54+FD55-FM54)))</f>
        <v>269.99999999999989</v>
      </c>
      <c r="FF55" s="18">
        <f>FE55*VLOOKUP('Données projet'!$B$16,Paramètres!$A$1:$I$89,3,0)*VLOOKUP('Données projet'!$B$16,Paramètres!$A$1:$I$89,5,0)</f>
        <v>210.59999999999991</v>
      </c>
      <c r="FG55" s="14">
        <f t="shared" si="47"/>
        <v>52.066679014659961</v>
      </c>
      <c r="FH55" s="22">
        <f t="shared" si="22"/>
        <v>457.47779928386586</v>
      </c>
      <c r="FI55" s="60">
        <f t="shared" si="23"/>
        <v>713.91307874744916</v>
      </c>
      <c r="FJ55" s="60">
        <f ca="1">AVERAGE(OFFSET($FI$3,0,0,'Données projet'!$E$16+1,1))-AVERAGE(OFFSET($H$3,0,0,'Données projet'!$E$16+1,1))</f>
        <v>309.21625451786218</v>
      </c>
      <c r="FK55" s="60">
        <f t="shared" si="48"/>
        <v>302.59481222418219</v>
      </c>
      <c r="FL55" s="16">
        <f>IF(ISNA(VLOOKUP(A55,'Données projet'!$A$217:$I$237,3,0)),0,VLOOKUP(A55,'Données projet'!$A$217:$I$237,3,0))</f>
        <v>6</v>
      </c>
      <c r="FM55" s="16">
        <f>IF(ISNA(VLOOKUP(A55,'Données projet'!$A$217:$I$237,4,0)),0,VLOOKUP(A55,'Données projet'!$A$217:$I$237,4,0))</f>
        <v>48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>
        <f>FZ55*VLOOKUP('Données projet'!$B$17,Paramètres!$A$1:$I$89,3,0)*VLOOKUP('Données projet'!$B$17,Paramètres!$A$1:$I$89,5,0)</f>
        <v>0</v>
      </c>
      <c r="GB55" s="14" t="e">
        <f t="shared" si="49"/>
        <v>#NUM!</v>
      </c>
      <c r="GC55" s="22" t="e">
        <f t="shared" si="25"/>
        <v>#NUM!</v>
      </c>
      <c r="GD55" s="60" t="e">
        <f t="shared" si="26"/>
        <v>#NUM!</v>
      </c>
      <c r="GE55" s="60">
        <f ca="1">AVERAGE(OFFSET($GD$3,0,0,'Données projet'!$E$17+1,1))-AVERAGE(OFFSET($H$3,0,0,'Données projet'!$E$17+1,1))</f>
        <v>216.36762889365235</v>
      </c>
      <c r="GF55" s="60">
        <f t="shared" si="50"/>
        <v>333.29599352215496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8.7326346172166254</v>
      </c>
      <c r="GM55" s="23">
        <f>EXP(-LN(2)/25)*GM54+(1-EXP(-LN(2)/25))/(LN(2)/25)*Calculateur!GH55*Calculateur!GJ55*VLOOKUP('Données projet'!$B$17,Paramètres!$A$1:$I$89,3,0)*0.475*44/12</f>
        <v>5.2975138412470839</v>
      </c>
      <c r="GN55" s="23">
        <f>EXP(-LN(2)/2)*GN54+(1-EXP(-LN(2)/2))/(LN(2)/2)*GH55*GK55*VLOOKUP('Données projet'!$B$17,Paramètres!$A$1:$I$89,3,0)*0.475*44/12</f>
        <v>1.4279432113832079E-3</v>
      </c>
      <c r="GO55" s="23">
        <f t="shared" si="27"/>
        <v>14.031576401675093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4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175.06319999999999</v>
      </c>
      <c r="P56" s="14">
        <f t="shared" si="33"/>
        <v>44.22206774682472</v>
      </c>
      <c r="Q56" s="22">
        <f t="shared" si="53"/>
        <v>381.9218413257197</v>
      </c>
      <c r="R56" s="60">
        <f t="shared" si="0"/>
        <v>638.99721953225298</v>
      </c>
      <c r="S56" s="60">
        <f ca="1">AVERAGE(OFFSET($R$3,0,0,'Données projet'!$E$9+1,1))-AVERAGE(OFFSET($H$3,0,0,'Données projet'!$E$9+1,1))</f>
        <v>496.33873798282525</v>
      </c>
      <c r="T56" s="60">
        <f t="shared" si="34"/>
        <v>280.25465074992246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10.486538461538473</v>
      </c>
      <c r="AI56" s="14">
        <f>IF('Données projet'!$A$62&gt;35,AI55+AH56-AQ55,IF(A56&lt;'Données projet'!$A$62,$AF$205^A56,IF(A56='Données projet'!$A$62,'Données projet'!$B$62,AI55+AH56-AQ55)))</f>
        <v>242.50384615384615</v>
      </c>
      <c r="AJ56" s="14">
        <f>AI56*VLOOKUP('Données projet'!$B$10,Paramètres!$A$1:$I$89,3,0)*VLOOKUP('Données projet'!$B$10,Paramètres!$A$1:$I$89,5,0)</f>
        <v>113.4918</v>
      </c>
      <c r="AK56" s="14">
        <f t="shared" si="35"/>
        <v>30.152177633560324</v>
      </c>
      <c r="AL56" s="22">
        <f t="shared" si="4"/>
        <v>250.17992771178422</v>
      </c>
      <c r="AM56" s="60">
        <f t="shared" si="5"/>
        <v>507.25530591831745</v>
      </c>
      <c r="AN56" s="60">
        <f ca="1">AVERAGE(OFFSET($AM$3,0,0,'Données projet'!$E$10+1,1))-AVERAGE(OFFSET($H$3,0,0,'Données projet'!$E$10+1,1))</f>
        <v>277.7918215389401</v>
      </c>
      <c r="AO56" s="60">
        <f t="shared" si="36"/>
        <v>164.65640238394164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4.8717948717948731</v>
      </c>
      <c r="BD56" s="13">
        <f>IF('Données projet'!$A$88&gt;35,BD55+BC56-BL55,IF(A56&lt;'Données projet'!$A$88,$BA$205^A56,IF(A56='Données projet'!$A$88,'Données projet'!$B$88,BD55+BC56-BL55)))</f>
        <v>158.8461538461537</v>
      </c>
      <c r="BE56" s="14">
        <f>BD56*VLOOKUP('Données projet'!$B$11,Paramètres!$A$1:$I$89,3,0)*VLOOKUP('Données projet'!$B$11,Paramètres!$A$1:$I$89,5,0)</f>
        <v>151.15799999999984</v>
      </c>
      <c r="BF56" s="14">
        <f t="shared" si="37"/>
        <v>38.84162737579674</v>
      </c>
      <c r="BG56" s="22">
        <f t="shared" si="7"/>
        <v>330.91601767951238</v>
      </c>
      <c r="BH56" s="60">
        <f t="shared" si="8"/>
        <v>587.99139588604567</v>
      </c>
      <c r="BI56" s="60">
        <f ca="1">AVERAGE(OFFSET($BH$3,0,0,'Données projet'!$E$11+1,1))-AVERAGE(OFFSET($H$3,0,0,'Données projet'!$E$11+1,1))</f>
        <v>366.21371543563254</v>
      </c>
      <c r="BJ56" s="60">
        <f t="shared" si="38"/>
        <v>237.43356317334084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5.6410256410256405</v>
      </c>
      <c r="BY56" s="13">
        <f>IF('Données projet'!$A$114&gt;35,BY55+BX56-CG55,IF(A56&lt;'Données projet'!$A$114,$BV$205^A56,IF(A56='Données projet'!$A$114,'Données projet'!$B$114,BY55+BX56-CG55)))</f>
        <v>207.94871794871784</v>
      </c>
      <c r="BZ56" s="14">
        <f>BY56*VLOOKUP('Données projet'!$B$12,Paramètres!$A$1:$I$89,3,0)*VLOOKUP('Données projet'!$B$12,Paramètres!$A$1:$I$89,5,0)</f>
        <v>217.34799999999993</v>
      </c>
      <c r="CA56" s="14">
        <f t="shared" si="39"/>
        <v>53.538080410982211</v>
      </c>
      <c r="CB56" s="22">
        <f t="shared" si="10"/>
        <v>471.7932567157938</v>
      </c>
      <c r="CC56" s="60">
        <f t="shared" si="11"/>
        <v>728.86863492232703</v>
      </c>
      <c r="CD56" s="60">
        <f ca="1">AVERAGE(OFFSET($CC$3,0,0,'Données projet'!$E$12+1,1))-AVERAGE(OFFSET($H$3,0,0,'Données projet'!$E$12+1,1))</f>
        <v>530.79860063513229</v>
      </c>
      <c r="CE56" s="60">
        <f t="shared" si="40"/>
        <v>302.50876440460434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163.7688</v>
      </c>
      <c r="CV56" s="14">
        <f t="shared" si="41"/>
        <v>41.691423503509803</v>
      </c>
      <c r="CW56" s="22">
        <f t="shared" si="13"/>
        <v>357.84322260194625</v>
      </c>
      <c r="CX56" s="60">
        <f t="shared" si="14"/>
        <v>614.91860080847948</v>
      </c>
      <c r="CY56" s="60">
        <f ca="1">AVERAGE(OFFSET($CX$3,0,0,'Données projet'!$E$13+1,1))-AVERAGE(OFFSET($H$3,0,0,'Données projet'!$E$13+1,1))</f>
        <v>469.67944008675863</v>
      </c>
      <c r="CZ56" s="60">
        <f t="shared" si="42"/>
        <v>266.11908070867173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181</v>
      </c>
      <c r="DP56" s="18">
        <f>DO56*VLOOKUP('Données projet'!$B$14,Paramètres!$A$1:$I$89,3,0)*VLOOKUP('Données projet'!$B$14,Paramètres!$A$1:$I$89,5,0)</f>
        <v>194.82839999999999</v>
      </c>
      <c r="DQ56" s="14">
        <f t="shared" si="43"/>
        <v>48.605879434898533</v>
      </c>
      <c r="DR56" s="22">
        <f t="shared" si="16"/>
        <v>423.98137001578152</v>
      </c>
      <c r="DS56" s="60">
        <f t="shared" si="17"/>
        <v>681.05674822231481</v>
      </c>
      <c r="DT56" s="60">
        <f ca="1">AVERAGE(OFFSET($DS$3,0,0,'Données projet'!$E$14+1,1))-AVERAGE(OFFSET($H$3,0,0,'Données projet'!$E$14+1,1))</f>
        <v>542.90832990875208</v>
      </c>
      <c r="DU56" s="60">
        <f t="shared" si="44"/>
        <v>304.94365539329362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4.7599999999999909</v>
      </c>
      <c r="EJ56" s="13">
        <f>IF('Données projet'!$A$192&gt;35,EJ55+EI56-ER55,IF(A56&lt;'Données projet'!$A$192,$EG$205^A56,IF(A56='Données projet'!$A$192,'Données projet'!$B$192,EJ55+EI56-ER55)))</f>
        <v>175.68000000000015</v>
      </c>
      <c r="EK56" s="18">
        <f>EJ56*VLOOKUP('Données projet'!$B$15,Paramètres!$A$1:$I$89,3,0)*VLOOKUP('Données projet'!$B$15,Paramètres!$A$1:$I$89,5,0)</f>
        <v>139.77100800000011</v>
      </c>
      <c r="EL56" s="14">
        <f t="shared" si="45"/>
        <v>36.24454164654383</v>
      </c>
      <c r="EM56" s="22">
        <f t="shared" si="19"/>
        <v>306.56041563439737</v>
      </c>
      <c r="EN56" s="60">
        <f t="shared" si="20"/>
        <v>563.63579384093055</v>
      </c>
      <c r="EO56" s="60">
        <f ca="1">AVERAGE(OFFSET($EN$3,0,0,'Données projet'!$E$15+1,1))-AVERAGE(OFFSET($H$3,0,0,'Données projet'!$E$15+1,1))</f>
        <v>273.72403794510291</v>
      </c>
      <c r="EP56" s="60">
        <f t="shared" si="46"/>
        <v>292.00185554564109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9.375</v>
      </c>
      <c r="FE56" s="13">
        <f>IF('Données projet'!$A$218&gt;35,FE55+FD56-FM55,IF(A56&lt;'Données projet'!$A$218,$FB$205^A56,IF(A56='Données projet'!$A$218,'Données projet'!$B$218,FE55+FD56-FM55)))</f>
        <v>231.37499999999989</v>
      </c>
      <c r="FF56" s="18">
        <f>FE56*VLOOKUP('Données projet'!$B$16,Paramètres!$A$1:$I$89,3,0)*VLOOKUP('Données projet'!$B$16,Paramètres!$A$1:$I$89,5,0)</f>
        <v>180.47249999999991</v>
      </c>
      <c r="FG56" s="14">
        <f t="shared" si="47"/>
        <v>45.427292666837829</v>
      </c>
      <c r="FH56" s="22">
        <f t="shared" si="22"/>
        <v>393.44213889474241</v>
      </c>
      <c r="FI56" s="60">
        <f t="shared" si="23"/>
        <v>650.51751710127564</v>
      </c>
      <c r="FJ56" s="60">
        <f ca="1">AVERAGE(OFFSET($FI$3,0,0,'Données projet'!$E$16+1,1))-AVERAGE(OFFSET($H$3,0,0,'Données projet'!$E$16+1,1))</f>
        <v>309.21625451786218</v>
      </c>
      <c r="FK56" s="60">
        <f t="shared" si="48"/>
        <v>302.59481222418219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>
        <f>FZ56*VLOOKUP('Données projet'!$B$17,Paramètres!$A$1:$I$89,3,0)*VLOOKUP('Données projet'!$B$17,Paramètres!$A$1:$I$89,5,0)</f>
        <v>0</v>
      </c>
      <c r="GB56" s="14" t="e">
        <f t="shared" si="49"/>
        <v>#NUM!</v>
      </c>
      <c r="GC56" s="22" t="e">
        <f t="shared" si="25"/>
        <v>#NUM!</v>
      </c>
      <c r="GD56" s="60" t="e">
        <f t="shared" si="26"/>
        <v>#NUM!</v>
      </c>
      <c r="GE56" s="60">
        <f ca="1">AVERAGE(OFFSET($GD$3,0,0,'Données projet'!$E$17+1,1))-AVERAGE(OFFSET($H$3,0,0,'Données projet'!$E$17+1,1))</f>
        <v>216.36762889365235</v>
      </c>
      <c r="GF56" s="60">
        <f t="shared" si="50"/>
        <v>333.29599352215496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8.5613929787541867</v>
      </c>
      <c r="GM56" s="23">
        <f>EXP(-LN(2)/25)*GM55+(1-EXP(-LN(2)/25))/(LN(2)/25)*Calculateur!GH56*Calculateur!GJ56*VLOOKUP('Données projet'!$B$17,Paramètres!$A$1:$I$89,3,0)*0.475*44/12</f>
        <v>5.152653046674037</v>
      </c>
      <c r="GN56" s="23">
        <f>EXP(-LN(2)/2)*GN55+(1-EXP(-LN(2)/2))/(LN(2)/2)*GH56*GK56*VLOOKUP('Données projet'!$B$17,Paramètres!$A$1:$I$89,3,0)*0.475*44/12</f>
        <v>1.009708327918362E-3</v>
      </c>
      <c r="GO56" s="23">
        <f t="shared" si="27"/>
        <v>13.715055733756143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4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182.80079999999998</v>
      </c>
      <c r="P57" s="14">
        <f t="shared" si="33"/>
        <v>45.944751507471658</v>
      </c>
      <c r="Q57" s="22">
        <f t="shared" si="53"/>
        <v>398.39850220884642</v>
      </c>
      <c r="R57" s="60">
        <f t="shared" si="0"/>
        <v>656.10287487618575</v>
      </c>
      <c r="S57" s="60">
        <f ca="1">AVERAGE(OFFSET($R$3,0,0,'Données projet'!$E$9+1,1))-AVERAGE(OFFSET($H$3,0,0,'Données projet'!$E$9+1,1))</f>
        <v>496.33873798282525</v>
      </c>
      <c r="T57" s="60">
        <f t="shared" si="34"/>
        <v>280.25465074992246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10.486538461538473</v>
      </c>
      <c r="AI57" s="14">
        <f>IF('Données projet'!$A$62&gt;35,AI56+AH57-AQ56,IF(A57&lt;'Données projet'!$A$62,$AF$205^A57,IF(A57='Données projet'!$A$62,'Données projet'!$B$62,AI56+AH57-AQ56)))</f>
        <v>252.99038461538464</v>
      </c>
      <c r="AJ57" s="14">
        <f>AI57*VLOOKUP('Données projet'!$B$10,Paramètres!$A$1:$I$89,3,0)*VLOOKUP('Données projet'!$B$10,Paramètres!$A$1:$I$89,5,0)</f>
        <v>118.3995</v>
      </c>
      <c r="AK57" s="14">
        <f t="shared" si="35"/>
        <v>31.301417740061346</v>
      </c>
      <c r="AL57" s="22">
        <f t="shared" si="4"/>
        <v>260.7290983972735</v>
      </c>
      <c r="AM57" s="60">
        <f t="shared" si="5"/>
        <v>518.43347106461283</v>
      </c>
      <c r="AN57" s="60">
        <f ca="1">AVERAGE(OFFSET($AM$3,0,0,'Données projet'!$E$10+1,1))-AVERAGE(OFFSET($H$3,0,0,'Données projet'!$E$10+1,1))</f>
        <v>277.7918215389401</v>
      </c>
      <c r="AO57" s="60">
        <f t="shared" si="36"/>
        <v>164.65640238394164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4.8717948717948731</v>
      </c>
      <c r="BD57" s="13">
        <f>IF('Données projet'!$A$88&gt;35,BD56+BC57-BL56,IF(A57&lt;'Données projet'!$A$88,$BA$205^A57,IF(A57='Données projet'!$A$88,'Données projet'!$B$88,BD56+BC57-BL56)))</f>
        <v>163.71794871794856</v>
      </c>
      <c r="BE57" s="14">
        <f>BD57*VLOOKUP('Données projet'!$B$11,Paramètres!$A$1:$I$89,3,0)*VLOOKUP('Données projet'!$B$11,Paramètres!$A$1:$I$89,5,0)</f>
        <v>155.79399999999987</v>
      </c>
      <c r="BF57" s="14">
        <f t="shared" si="37"/>
        <v>39.892374558454151</v>
      </c>
      <c r="BG57" s="22">
        <f t="shared" si="7"/>
        <v>340.82043568930743</v>
      </c>
      <c r="BH57" s="60">
        <f t="shared" si="8"/>
        <v>598.52480835664676</v>
      </c>
      <c r="BI57" s="60">
        <f ca="1">AVERAGE(OFFSET($BH$3,0,0,'Données projet'!$E$11+1,1))-AVERAGE(OFFSET($H$3,0,0,'Données projet'!$E$11+1,1))</f>
        <v>366.21371543563254</v>
      </c>
      <c r="BJ57" s="60">
        <f t="shared" si="38"/>
        <v>237.43356317334084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5.6410256410256405</v>
      </c>
      <c r="BY57" s="13">
        <f>IF('Données projet'!$A$114&gt;35,BY56+BX57-CG56,IF(A57&lt;'Données projet'!$A$114,$BV$205^A57,IF(A57='Données projet'!$A$114,'Données projet'!$B$114,BY56+BX57-CG56)))</f>
        <v>213.58974358974348</v>
      </c>
      <c r="BZ57" s="14">
        <f>BY57*VLOOKUP('Données projet'!$B$12,Paramètres!$A$1:$I$89,3,0)*VLOOKUP('Données projet'!$B$12,Paramètres!$A$1:$I$89,5,0)</f>
        <v>223.24399999999989</v>
      </c>
      <c r="CA57" s="14">
        <f t="shared" si="39"/>
        <v>54.819351308623148</v>
      </c>
      <c r="CB57" s="22">
        <f t="shared" si="10"/>
        <v>484.2936701958518</v>
      </c>
      <c r="CC57" s="60">
        <f t="shared" si="11"/>
        <v>741.99804286319113</v>
      </c>
      <c r="CD57" s="60">
        <f ca="1">AVERAGE(OFFSET($CC$3,0,0,'Données projet'!$E$12+1,1))-AVERAGE(OFFSET($H$3,0,0,'Données projet'!$E$12+1,1))</f>
        <v>530.79860063513229</v>
      </c>
      <c r="CE57" s="60">
        <f t="shared" si="40"/>
        <v>302.50876440460434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171.00719999999998</v>
      </c>
      <c r="CV57" s="14">
        <f t="shared" si="41"/>
        <v>43.315525267338089</v>
      </c>
      <c r="CW57" s="22">
        <f t="shared" si="13"/>
        <v>373.27874650728046</v>
      </c>
      <c r="CX57" s="60">
        <f t="shared" si="14"/>
        <v>630.98311917461979</v>
      </c>
      <c r="CY57" s="60">
        <f ca="1">AVERAGE(OFFSET($CX$3,0,0,'Données projet'!$E$13+1,1))-AVERAGE(OFFSET($H$3,0,0,'Données projet'!$E$13+1,1))</f>
        <v>469.67944008675863</v>
      </c>
      <c r="CZ57" s="60">
        <f t="shared" si="42"/>
        <v>266.11908070867173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189</v>
      </c>
      <c r="DP57" s="18">
        <f>DO57*VLOOKUP('Données projet'!$B$14,Paramètres!$A$1:$I$89,3,0)*VLOOKUP('Données projet'!$B$14,Paramètres!$A$1:$I$89,5,0)</f>
        <v>203.43960000000001</v>
      </c>
      <c r="DQ57" s="14">
        <f t="shared" si="43"/>
        <v>50.499335879627459</v>
      </c>
      <c r="DR57" s="22">
        <f t="shared" si="16"/>
        <v>442.27697999035109</v>
      </c>
      <c r="DS57" s="60">
        <f t="shared" si="17"/>
        <v>699.98135265769042</v>
      </c>
      <c r="DT57" s="60">
        <f ca="1">AVERAGE(OFFSET($DS$3,0,0,'Données projet'!$E$14+1,1))-AVERAGE(OFFSET($H$3,0,0,'Données projet'!$E$14+1,1))</f>
        <v>542.90832990875208</v>
      </c>
      <c r="DU57" s="60">
        <f t="shared" si="44"/>
        <v>304.94365539329362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4.7599999999999909</v>
      </c>
      <c r="EJ57" s="13">
        <f>IF('Données projet'!$A$192&gt;35,EJ56+EI57-ER56,IF(A57&lt;'Données projet'!$A$192,$EG$205^A57,IF(A57='Données projet'!$A$192,'Données projet'!$B$192,EJ56+EI57-ER56)))</f>
        <v>180.44000000000014</v>
      </c>
      <c r="EK57" s="18">
        <f>EJ57*VLOOKUP('Données projet'!$B$15,Paramètres!$A$1:$I$89,3,0)*VLOOKUP('Données projet'!$B$15,Paramètres!$A$1:$I$89,5,0)</f>
        <v>143.55806400000012</v>
      </c>
      <c r="EL57" s="14">
        <f t="shared" si="45"/>
        <v>37.110913596015678</v>
      </c>
      <c r="EM57" s="22">
        <f t="shared" si="19"/>
        <v>314.66513597972749</v>
      </c>
      <c r="EN57" s="60">
        <f t="shared" si="20"/>
        <v>572.36950864706682</v>
      </c>
      <c r="EO57" s="60">
        <f ca="1">AVERAGE(OFFSET($EN$3,0,0,'Données projet'!$E$15+1,1))-AVERAGE(OFFSET($H$3,0,0,'Données projet'!$E$15+1,1))</f>
        <v>273.72403794510291</v>
      </c>
      <c r="EP57" s="60">
        <f t="shared" si="46"/>
        <v>292.00185554564109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9.375</v>
      </c>
      <c r="FE57" s="13">
        <f>IF('Données projet'!$A$218&gt;35,FE56+FD57-FM56,IF(A57&lt;'Données projet'!$A$218,$FB$205^A57,IF(A57='Données projet'!$A$218,'Données projet'!$B$218,FE56+FD57-FM56)))</f>
        <v>240.74999999999989</v>
      </c>
      <c r="FF57" s="18">
        <f>FE57*VLOOKUP('Données projet'!$B$16,Paramètres!$A$1:$I$89,3,0)*VLOOKUP('Données projet'!$B$16,Paramètres!$A$1:$I$89,5,0)</f>
        <v>187.78499999999991</v>
      </c>
      <c r="FG57" s="14">
        <f t="shared" si="47"/>
        <v>47.049914090154054</v>
      </c>
      <c r="FH57" s="22">
        <f t="shared" si="22"/>
        <v>409.0041420403515</v>
      </c>
      <c r="FI57" s="60">
        <f t="shared" si="23"/>
        <v>666.70851470769082</v>
      </c>
      <c r="FJ57" s="60">
        <f ca="1">AVERAGE(OFFSET($FI$3,0,0,'Données projet'!$E$16+1,1))-AVERAGE(OFFSET($H$3,0,0,'Données projet'!$E$16+1,1))</f>
        <v>309.21625451786218</v>
      </c>
      <c r="FK57" s="60">
        <f t="shared" si="48"/>
        <v>302.59481222418219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>
        <f>FZ57*VLOOKUP('Données projet'!$B$17,Paramètres!$A$1:$I$89,3,0)*VLOOKUP('Données projet'!$B$17,Paramètres!$A$1:$I$89,5,0)</f>
        <v>0</v>
      </c>
      <c r="GB57" s="14" t="e">
        <f t="shared" si="49"/>
        <v>#NUM!</v>
      </c>
      <c r="GC57" s="22" t="e">
        <f t="shared" si="25"/>
        <v>#NUM!</v>
      </c>
      <c r="GD57" s="60" t="e">
        <f t="shared" si="26"/>
        <v>#NUM!</v>
      </c>
      <c r="GE57" s="60">
        <f ca="1">AVERAGE(OFFSET($GD$3,0,0,'Données projet'!$E$17+1,1))-AVERAGE(OFFSET($H$3,0,0,'Données projet'!$E$17+1,1))</f>
        <v>216.36762889365235</v>
      </c>
      <c r="GF57" s="60">
        <f t="shared" si="50"/>
        <v>333.29599352215496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8.3935092843749111</v>
      </c>
      <c r="GM57" s="23">
        <f>EXP(-LN(2)/25)*GM56+(1-EXP(-LN(2)/25))/(LN(2)/25)*Calculateur!GH57*Calculateur!GJ57*VLOOKUP('Données projet'!$B$17,Paramètres!$A$1:$I$89,3,0)*0.475*44/12</f>
        <v>5.0117534781464883</v>
      </c>
      <c r="GN57" s="23">
        <f>EXP(-LN(2)/2)*GN56+(1-EXP(-LN(2)/2))/(LN(2)/2)*GH57*GK57*VLOOKUP('Données projet'!$B$17,Paramètres!$A$1:$I$89,3,0)*0.475*44/12</f>
        <v>7.1397160569160395E-4</v>
      </c>
      <c r="GO57" s="23">
        <f t="shared" si="27"/>
        <v>13.405976734127091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4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190.5384</v>
      </c>
      <c r="P58" s="14">
        <f t="shared" si="33"/>
        <v>47.658965836673829</v>
      </c>
      <c r="Q58" s="22">
        <f t="shared" si="53"/>
        <v>414.86041216554025</v>
      </c>
      <c r="R58" s="60">
        <f t="shared" si="0"/>
        <v>673.18286764601157</v>
      </c>
      <c r="S58" s="60">
        <f ca="1">AVERAGE(OFFSET($R$3,0,0,'Données projet'!$E$9+1,1))-AVERAGE(OFFSET($H$3,0,0,'Données projet'!$E$9+1,1))</f>
        <v>496.33873798282525</v>
      </c>
      <c r="T58" s="60">
        <f t="shared" si="34"/>
        <v>280.25465074992246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263.47692307692307</v>
      </c>
      <c r="AG58" s="13">
        <f>VLOOKUP(A58,'Données projet'!$A$61:$I$81,9,0)</f>
        <v>10.486538461538473</v>
      </c>
      <c r="AH58" s="13">
        <f t="array" ref="AH58">INDEX(AG:AG,MIN(IF(ISNUMBER(AG58:AG254),ROW(AG58:AG254),"")))</f>
        <v>10.486538461538473</v>
      </c>
      <c r="AI58" s="14">
        <f>IF('Données projet'!$A$62&gt;35,AI57+AH58-AQ57,IF(A58&lt;'Données projet'!$A$62,$AF$205^A58,IF(A58='Données projet'!$A$62,'Données projet'!$B$62,AI57+AH58-AQ57)))</f>
        <v>263.47692307692313</v>
      </c>
      <c r="AJ58" s="14">
        <f>AI58*VLOOKUP('Données projet'!$B$10,Paramètres!$A$1:$I$89,3,0)*VLOOKUP('Données projet'!$B$10,Paramètres!$A$1:$I$89,5,0)</f>
        <v>123.30720000000002</v>
      </c>
      <c r="AK58" s="14">
        <f t="shared" si="35"/>
        <v>32.445124651567795</v>
      </c>
      <c r="AL58" s="22">
        <f t="shared" si="4"/>
        <v>271.26863210148059</v>
      </c>
      <c r="AM58" s="60">
        <f t="shared" si="5"/>
        <v>529.59108758195202</v>
      </c>
      <c r="AN58" s="60">
        <f ca="1">AVERAGE(OFFSET($AM$3,0,0,'Données projet'!$E$10+1,1))-AVERAGE(OFFSET($H$3,0,0,'Données projet'!$E$10+1,1))</f>
        <v>277.7918215389401</v>
      </c>
      <c r="AO58" s="60">
        <f t="shared" si="36"/>
        <v>164.65640238394164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168.58974358974359</v>
      </c>
      <c r="BB58" s="13">
        <f>VLOOKUP(A58,'Données projet'!$A$87:$I$107,9,0)</f>
        <v>4.8717948717948731</v>
      </c>
      <c r="BC58" s="13">
        <f t="array" ref="BC58">INDEX(BB:BB,MIN(IF(ISNUMBER(BB58:BB254),ROW(BB58:BB254),"")))</f>
        <v>4.8717948717948731</v>
      </c>
      <c r="BD58" s="13">
        <f>IF('Données projet'!$A$88&gt;35,BD57+BC58-BL57,IF(A58&lt;'Données projet'!$A$88,$BA$205^A58,IF(A58='Données projet'!$A$88,'Données projet'!$B$88,BD57+BC58-BL57)))</f>
        <v>168.58974358974342</v>
      </c>
      <c r="BE58" s="14">
        <f>BD58*VLOOKUP('Données projet'!$B$11,Paramètres!$A$1:$I$89,3,0)*VLOOKUP('Données projet'!$B$11,Paramètres!$A$1:$I$89,5,0)</f>
        <v>160.42999999999984</v>
      </c>
      <c r="BF58" s="14">
        <f t="shared" si="37"/>
        <v>40.939487952030703</v>
      </c>
      <c r="BG58" s="22">
        <f t="shared" si="7"/>
        <v>350.71852484978649</v>
      </c>
      <c r="BH58" s="60">
        <f t="shared" si="8"/>
        <v>609.04098033025787</v>
      </c>
      <c r="BI58" s="60">
        <f ca="1">AVERAGE(OFFSET($BH$3,0,0,'Données projet'!$E$11+1,1))-AVERAGE(OFFSET($H$3,0,0,'Données projet'!$E$11+1,1))</f>
        <v>366.21371543563254</v>
      </c>
      <c r="BJ58" s="60">
        <f t="shared" si="38"/>
        <v>237.43356317334084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28.205128205128204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219.23076923076923</v>
      </c>
      <c r="BW58" s="13">
        <f>VLOOKUP(A58,'Données projet'!$A$113:$I$133,9,0)</f>
        <v>5.6410256410256405</v>
      </c>
      <c r="BX58" s="13">
        <f t="array" ref="BX58">INDEX(BW:BW,MIN(IF(ISNUMBER(BW58:BW254),ROW(BW58:BW254),"")))</f>
        <v>5.6410256410256405</v>
      </c>
      <c r="BY58" s="13">
        <f>IF('Données projet'!$A$114&gt;35,BY57+BX58-CG57,IF(A58&lt;'Données projet'!$A$114,$BV$205^A58,IF(A58='Données projet'!$A$114,'Données projet'!$B$114,BY57+BX58-CG57)))</f>
        <v>219.23076923076911</v>
      </c>
      <c r="BZ58" s="14">
        <f>BY58*VLOOKUP('Données projet'!$B$12,Paramètres!$A$1:$I$89,3,0)*VLOOKUP('Données projet'!$B$12,Paramètres!$A$1:$I$89,5,0)</f>
        <v>229.13999999999987</v>
      </c>
      <c r="CA58" s="14">
        <f t="shared" si="39"/>
        <v>56.096688901506305</v>
      </c>
      <c r="CB58" s="22">
        <f t="shared" si="10"/>
        <v>496.78723317012327</v>
      </c>
      <c r="CC58" s="60">
        <f t="shared" si="11"/>
        <v>755.10968865059465</v>
      </c>
      <c r="CD58" s="60">
        <f ca="1">AVERAGE(OFFSET($CC$3,0,0,'Données projet'!$E$12+1,1))-AVERAGE(OFFSET($H$3,0,0,'Données projet'!$E$12+1,1))</f>
        <v>530.79860063513229</v>
      </c>
      <c r="CE58" s="60">
        <f t="shared" si="40"/>
        <v>302.50876440460434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24.358974358974358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178.2456</v>
      </c>
      <c r="CV58" s="14">
        <f t="shared" si="41"/>
        <v>44.931642269910427</v>
      </c>
      <c r="CW58" s="22">
        <f t="shared" si="13"/>
        <v>388.70036362009404</v>
      </c>
      <c r="CX58" s="60">
        <f t="shared" si="14"/>
        <v>647.02281910056536</v>
      </c>
      <c r="CY58" s="60">
        <f ca="1">AVERAGE(OFFSET($CX$3,0,0,'Données projet'!$E$13+1,1))-AVERAGE(OFFSET($H$3,0,0,'Données projet'!$E$13+1,1))</f>
        <v>469.67944008675863</v>
      </c>
      <c r="CZ58" s="60">
        <f t="shared" si="42"/>
        <v>266.11908070867173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197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197</v>
      </c>
      <c r="DP58" s="18">
        <f>DO58*VLOOKUP('Données projet'!$B$14,Paramètres!$A$1:$I$89,3,0)*VLOOKUP('Données projet'!$B$14,Paramètres!$A$1:$I$89,5,0)</f>
        <v>212.05079999999998</v>
      </c>
      <c r="DQ58" s="14">
        <f t="shared" si="43"/>
        <v>52.383483303212302</v>
      </c>
      <c r="DR58" s="22">
        <f t="shared" si="16"/>
        <v>460.55637675309475</v>
      </c>
      <c r="DS58" s="60">
        <f t="shared" si="17"/>
        <v>718.87883223356607</v>
      </c>
      <c r="DT58" s="60">
        <f ca="1">AVERAGE(OFFSET($DS$3,0,0,'Données projet'!$E$14+1,1))-AVERAGE(OFFSET($H$3,0,0,'Données projet'!$E$14+1,1))</f>
        <v>542.90832990875208</v>
      </c>
      <c r="DU58" s="60">
        <f t="shared" si="44"/>
        <v>304.94365539329362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185.2</v>
      </c>
      <c r="EH58" s="13">
        <f>VLOOKUP(A58,'Données projet'!$A$191:$I$211,9,0)</f>
        <v>4.7599999999999909</v>
      </c>
      <c r="EI58" s="13">
        <f t="array" ref="EI58">INDEX(EH:EH,MIN(IF(ISNUMBER(EH58:EH254),ROW(EH58:EH254),"")))</f>
        <v>4.7599999999999909</v>
      </c>
      <c r="EJ58" s="13">
        <f>IF('Données projet'!$A$192&gt;35,EJ57+EI58-ER57,IF(A58&lt;'Données projet'!$A$192,$EG$205^A58,IF(A58='Données projet'!$A$192,'Données projet'!$B$192,EJ57+EI58-ER57)))</f>
        <v>185.20000000000013</v>
      </c>
      <c r="EK58" s="18">
        <f>EJ58*VLOOKUP('Données projet'!$B$15,Paramètres!$A$1:$I$89,3,0)*VLOOKUP('Données projet'!$B$15,Paramètres!$A$1:$I$89,5,0)</f>
        <v>147.34512000000012</v>
      </c>
      <c r="EL58" s="14">
        <f t="shared" si="45"/>
        <v>37.974628994701888</v>
      </c>
      <c r="EM58" s="22">
        <f t="shared" si="19"/>
        <v>322.765229499106</v>
      </c>
      <c r="EN58" s="60">
        <f t="shared" si="20"/>
        <v>581.08768497957738</v>
      </c>
      <c r="EO58" s="60">
        <f ca="1">AVERAGE(OFFSET($EN$3,0,0,'Données projet'!$E$15+1,1))-AVERAGE(OFFSET($H$3,0,0,'Données projet'!$E$15+1,1))</f>
        <v>273.72403794510291</v>
      </c>
      <c r="EP58" s="60">
        <f t="shared" si="46"/>
        <v>292.00185554564109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9.375</v>
      </c>
      <c r="FE58" s="13">
        <f>IF('Données projet'!$A$218&gt;35,FE57+FD58-FM57,IF(A58&lt;'Données projet'!$A$218,$FB$205^A58,IF(A58='Données projet'!$A$218,'Données projet'!$B$218,FE57+FD58-FM57)))</f>
        <v>250.12499999999989</v>
      </c>
      <c r="FF58" s="18">
        <f>FE58*VLOOKUP('Données projet'!$B$16,Paramètres!$A$1:$I$89,3,0)*VLOOKUP('Données projet'!$B$16,Paramètres!$A$1:$I$89,5,0)</f>
        <v>195.09749999999991</v>
      </c>
      <c r="FG58" s="14">
        <f t="shared" si="47"/>
        <v>48.66519532492579</v>
      </c>
      <c r="FH58" s="22">
        <f t="shared" si="22"/>
        <v>424.55336102424553</v>
      </c>
      <c r="FI58" s="60">
        <f t="shared" si="23"/>
        <v>682.87581650471691</v>
      </c>
      <c r="FJ58" s="60">
        <f ca="1">AVERAGE(OFFSET($FI$3,0,0,'Données projet'!$E$16+1,1))-AVERAGE(OFFSET($H$3,0,0,'Données projet'!$E$16+1,1))</f>
        <v>309.21625451786218</v>
      </c>
      <c r="FK58" s="60">
        <f t="shared" si="48"/>
        <v>302.59481222418219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>
        <f>FZ58*VLOOKUP('Données projet'!$B$17,Paramètres!$A$1:$I$89,3,0)*VLOOKUP('Données projet'!$B$17,Paramètres!$A$1:$I$89,5,0)</f>
        <v>0</v>
      </c>
      <c r="GB58" s="14" t="e">
        <f t="shared" si="49"/>
        <v>#NUM!</v>
      </c>
      <c r="GC58" s="22" t="e">
        <f t="shared" si="25"/>
        <v>#NUM!</v>
      </c>
      <c r="GD58" s="60" t="e">
        <f t="shared" si="26"/>
        <v>#NUM!</v>
      </c>
      <c r="GE58" s="60">
        <f ca="1">AVERAGE(OFFSET($GD$3,0,0,'Données projet'!$E$17+1,1))-AVERAGE(OFFSET($H$3,0,0,'Données projet'!$E$17+1,1))</f>
        <v>216.36762889365235</v>
      </c>
      <c r="GF58" s="60">
        <f t="shared" si="50"/>
        <v>333.29599352215496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8.2289176868434701</v>
      </c>
      <c r="GM58" s="23">
        <f>EXP(-LN(2)/25)*GM57+(1-EXP(-LN(2)/25))/(LN(2)/25)*Calculateur!GH58*Calculateur!GJ58*VLOOKUP('Données projet'!$B$17,Paramètres!$A$1:$I$89,3,0)*0.475*44/12</f>
        <v>4.8747068157299118</v>
      </c>
      <c r="GN58" s="23">
        <f>EXP(-LN(2)/2)*GN57+(1-EXP(-LN(2)/2))/(LN(2)/2)*GH58*GK58*VLOOKUP('Données projet'!$B$17,Paramètres!$A$1:$I$89,3,0)*0.475*44/12</f>
        <v>5.0485416395918098E-4</v>
      </c>
      <c r="GO58" s="23">
        <f t="shared" si="27"/>
        <v>13.10412935673734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4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197.88911999999999</v>
      </c>
      <c r="P59" s="14">
        <f t="shared" si="33"/>
        <v>49.279974103179534</v>
      </c>
      <c r="Q59" s="22">
        <f t="shared" si="53"/>
        <v>430.48617222970438</v>
      </c>
      <c r="R59" s="60">
        <f t="shared" si="0"/>
        <v>689.41598816832607</v>
      </c>
      <c r="S59" s="60">
        <f ca="1">AVERAGE(OFFSET($R$3,0,0,'Données projet'!$E$9+1,1))-AVERAGE(OFFSET($H$3,0,0,'Données projet'!$E$9+1,1))</f>
        <v>496.33873798282525</v>
      </c>
      <c r="T59" s="60">
        <f t="shared" si="34"/>
        <v>280.25465074992246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10.784615384615382</v>
      </c>
      <c r="AI59" s="14">
        <f>IF('Données projet'!$A$62&gt;35,AI58+AH59-AQ58,IF(A59&lt;'Données projet'!$A$62,$AF$205^A59,IF(A59='Données projet'!$A$62,'Données projet'!$B$62,AI58+AH59-AQ58)))</f>
        <v>274.26153846153852</v>
      </c>
      <c r="AJ59" s="14">
        <f>AI59*VLOOKUP('Données projet'!$B$10,Paramètres!$A$1:$I$89,3,0)*VLOOKUP('Données projet'!$B$10,Paramètres!$A$1:$I$89,5,0)</f>
        <v>128.35440000000003</v>
      </c>
      <c r="AK59" s="14">
        <f t="shared" si="35"/>
        <v>33.615828021214249</v>
      </c>
      <c r="AL59" s="22">
        <f t="shared" si="4"/>
        <v>282.09814713694817</v>
      </c>
      <c r="AM59" s="60">
        <f t="shared" si="5"/>
        <v>541.02796307556991</v>
      </c>
      <c r="AN59" s="60">
        <f ca="1">AVERAGE(OFFSET($AM$3,0,0,'Données projet'!$E$10+1,1))-AVERAGE(OFFSET($H$3,0,0,'Données projet'!$E$10+1,1))</f>
        <v>277.7918215389401</v>
      </c>
      <c r="AO59" s="60">
        <f t="shared" si="36"/>
        <v>164.65640238394164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4.7435897435897401</v>
      </c>
      <c r="BD59" s="13">
        <f>IF('Données projet'!$A$88&gt;35,BD58+BC59-BL58,IF(A59&lt;'Données projet'!$A$88,$BA$205^A59,IF(A59='Données projet'!$A$88,'Données projet'!$B$88,BD58+BC59-BL58)))</f>
        <v>145.12820512820497</v>
      </c>
      <c r="BE59" s="14">
        <f>BD59*VLOOKUP('Données projet'!$B$11,Paramètres!$A$1:$I$89,3,0)*VLOOKUP('Données projet'!$B$11,Paramètres!$A$1:$I$89,5,0)</f>
        <v>138.10399999999984</v>
      </c>
      <c r="BF59" s="14">
        <f t="shared" si="37"/>
        <v>35.862314431885508</v>
      </c>
      <c r="BG59" s="22">
        <f t="shared" si="7"/>
        <v>302.99133096886698</v>
      </c>
      <c r="BH59" s="60">
        <f t="shared" si="8"/>
        <v>561.92114690748872</v>
      </c>
      <c r="BI59" s="60">
        <f ca="1">AVERAGE(OFFSET($BH$3,0,0,'Données projet'!$E$11+1,1))-AVERAGE(OFFSET($H$3,0,0,'Données projet'!$E$11+1,1))</f>
        <v>366.21371543563254</v>
      </c>
      <c r="BJ59" s="60">
        <f t="shared" si="38"/>
        <v>237.43356317334084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5.2564102564102599</v>
      </c>
      <c r="BY59" s="13">
        <f>IF('Données projet'!$A$114&gt;35,BY58+BX59-CG58,IF(A59&lt;'Données projet'!$A$114,$BV$205^A59,IF(A59='Données projet'!$A$114,'Données projet'!$B$114,BY58+BX59-CG58)))</f>
        <v>200.128205128205</v>
      </c>
      <c r="BZ59" s="14">
        <f>BY59*VLOOKUP('Données projet'!$B$12,Paramètres!$A$1:$I$89,3,0)*VLOOKUP('Données projet'!$B$12,Paramètres!$A$1:$I$89,5,0)</f>
        <v>209.17399999999986</v>
      </c>
      <c r="CA59" s="14">
        <f t="shared" si="39"/>
        <v>51.755042535367835</v>
      </c>
      <c r="CB59" s="22">
        <f t="shared" si="10"/>
        <v>454.45141574909866</v>
      </c>
      <c r="CC59" s="60">
        <f t="shared" si="11"/>
        <v>713.3812316877204</v>
      </c>
      <c r="CD59" s="60">
        <f ca="1">AVERAGE(OFFSET($CC$3,0,0,'Données projet'!$E$12+1,1))-AVERAGE(OFFSET($H$3,0,0,'Données projet'!$E$12+1,1))</f>
        <v>530.79860063513229</v>
      </c>
      <c r="CE59" s="60">
        <f t="shared" si="40"/>
        <v>302.50876440460434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185.12207999999998</v>
      </c>
      <c r="CV59" s="14">
        <f t="shared" si="41"/>
        <v>46.459887003478677</v>
      </c>
      <c r="CW59" s="22">
        <f t="shared" si="13"/>
        <v>403.33859253105862</v>
      </c>
      <c r="CX59" s="60">
        <f t="shared" si="14"/>
        <v>662.26840846968037</v>
      </c>
      <c r="CY59" s="60">
        <f ca="1">AVERAGE(OFFSET($CX$3,0,0,'Données projet'!$E$13+1,1))-AVERAGE(OFFSET($H$3,0,0,'Données projet'!$E$13+1,1))</f>
        <v>469.67944008675863</v>
      </c>
      <c r="CZ59" s="60">
        <f t="shared" si="42"/>
        <v>266.11908070867173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204.6</v>
      </c>
      <c r="DP59" s="18">
        <f>DO59*VLOOKUP('Données projet'!$B$14,Paramètres!$A$1:$I$89,3,0)*VLOOKUP('Données projet'!$B$14,Paramètres!$A$1:$I$89,5,0)</f>
        <v>220.23143999999996</v>
      </c>
      <c r="DQ59" s="14">
        <f t="shared" si="43"/>
        <v>54.165184982469711</v>
      </c>
      <c r="DR59" s="22">
        <f t="shared" si="16"/>
        <v>477.9074551778013</v>
      </c>
      <c r="DS59" s="60">
        <f t="shared" si="17"/>
        <v>736.83727111642304</v>
      </c>
      <c r="DT59" s="60">
        <f ca="1">AVERAGE(OFFSET($DS$3,0,0,'Données projet'!$E$14+1,1))-AVERAGE(OFFSET($H$3,0,0,'Données projet'!$E$14+1,1))</f>
        <v>542.90832990875208</v>
      </c>
      <c r="DU59" s="60">
        <f t="shared" si="44"/>
        <v>304.94365539329362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4.0600000000000023</v>
      </c>
      <c r="EJ59" s="13">
        <f>IF('Données projet'!$A$192&gt;35,EJ58+EI59-ER58,IF(A59&lt;'Données projet'!$A$192,$EG$205^A59,IF(A59='Données projet'!$A$192,'Données projet'!$B$192,EJ58+EI59-ER58)))</f>
        <v>189.26000000000013</v>
      </c>
      <c r="EK59" s="18">
        <f>EJ59*VLOOKUP('Données projet'!$B$15,Paramètres!$A$1:$I$89,3,0)*VLOOKUP('Données projet'!$B$15,Paramètres!$A$1:$I$89,5,0)</f>
        <v>150.57525600000011</v>
      </c>
      <c r="EL59" s="14">
        <f t="shared" si="45"/>
        <v>38.709285474016667</v>
      </c>
      <c r="EM59" s="22">
        <f t="shared" si="19"/>
        <v>329.67057640057925</v>
      </c>
      <c r="EN59" s="60">
        <f t="shared" si="20"/>
        <v>588.60039233920099</v>
      </c>
      <c r="EO59" s="60">
        <f ca="1">AVERAGE(OFFSET($EN$3,0,0,'Données projet'!$E$15+1,1))-AVERAGE(OFFSET($H$3,0,0,'Données projet'!$E$15+1,1))</f>
        <v>273.72403794510291</v>
      </c>
      <c r="EP59" s="60">
        <f t="shared" si="46"/>
        <v>292.00185554564109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9.375</v>
      </c>
      <c r="FE59" s="13">
        <f>IF('Données projet'!$A$218&gt;35,FE58+FD59-FM58,IF(A59&lt;'Données projet'!$A$218,$FB$205^A59,IF(A59='Données projet'!$A$218,'Données projet'!$B$218,FE58+FD59-FM58)))</f>
        <v>259.49999999999989</v>
      </c>
      <c r="FF59" s="18">
        <f>FE59*VLOOKUP('Données projet'!$B$16,Paramètres!$A$1:$I$89,3,0)*VLOOKUP('Données projet'!$B$16,Paramètres!$A$1:$I$89,5,0)</f>
        <v>202.40999999999991</v>
      </c>
      <c r="FG59" s="14">
        <f t="shared" si="47"/>
        <v>50.273442991661817</v>
      </c>
      <c r="FH59" s="22">
        <f t="shared" si="22"/>
        <v>440.09032987714414</v>
      </c>
      <c r="FI59" s="60">
        <f t="shared" si="23"/>
        <v>699.02014581576589</v>
      </c>
      <c r="FJ59" s="60">
        <f ca="1">AVERAGE(OFFSET($FI$3,0,0,'Données projet'!$E$16+1,1))-AVERAGE(OFFSET($H$3,0,0,'Données projet'!$E$16+1,1))</f>
        <v>309.21625451786218</v>
      </c>
      <c r="FK59" s="60">
        <f t="shared" si="48"/>
        <v>302.59481222418219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>
        <f>FZ59*VLOOKUP('Données projet'!$B$17,Paramètres!$A$1:$I$89,3,0)*VLOOKUP('Données projet'!$B$17,Paramètres!$A$1:$I$89,5,0)</f>
        <v>0</v>
      </c>
      <c r="GB59" s="14" t="e">
        <f t="shared" si="49"/>
        <v>#NUM!</v>
      </c>
      <c r="GC59" s="22" t="e">
        <f t="shared" si="25"/>
        <v>#NUM!</v>
      </c>
      <c r="GD59" s="60" t="e">
        <f t="shared" si="26"/>
        <v>#NUM!</v>
      </c>
      <c r="GE59" s="60">
        <f ca="1">AVERAGE(OFFSET($GD$3,0,0,'Données projet'!$E$17+1,1))-AVERAGE(OFFSET($H$3,0,0,'Données projet'!$E$17+1,1))</f>
        <v>216.36762889365235</v>
      </c>
      <c r="GF59" s="60">
        <f t="shared" si="50"/>
        <v>333.29599352215496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8.0675536301486588</v>
      </c>
      <c r="GM59" s="23">
        <f>EXP(-LN(2)/25)*GM58+(1-EXP(-LN(2)/25))/(LN(2)/25)*Calculateur!GH59*Calculateur!GJ59*VLOOKUP('Données projet'!$B$17,Paramètres!$A$1:$I$89,3,0)*0.475*44/12</f>
        <v>4.7414077015040874</v>
      </c>
      <c r="GN59" s="23">
        <f>EXP(-LN(2)/2)*GN58+(1-EXP(-LN(2)/2))/(LN(2)/2)*GH59*GK59*VLOOKUP('Données projet'!$B$17,Paramètres!$A$1:$I$89,3,0)*0.475*44/12</f>
        <v>3.5698580284580198E-4</v>
      </c>
      <c r="GO59" s="23">
        <f t="shared" si="27"/>
        <v>12.809318317455592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4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205.23983999999999</v>
      </c>
      <c r="P60" s="14">
        <f t="shared" si="33"/>
        <v>50.893986960458122</v>
      </c>
      <c r="Q60" s="22">
        <f t="shared" si="53"/>
        <v>446.0997486227979</v>
      </c>
      <c r="R60" s="60">
        <f t="shared" si="0"/>
        <v>705.62638867347562</v>
      </c>
      <c r="S60" s="60">
        <f ca="1">AVERAGE(OFFSET($R$3,0,0,'Données projet'!$E$9+1,1))-AVERAGE(OFFSET($H$3,0,0,'Données projet'!$E$9+1,1))</f>
        <v>496.33873798282525</v>
      </c>
      <c r="T60" s="60">
        <f t="shared" si="34"/>
        <v>280.25465074992246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10.784615384615382</v>
      </c>
      <c r="AI60" s="14">
        <f>IF('Données projet'!$A$62&gt;35,AI59+AH60-AQ59,IF(A60&lt;'Données projet'!$A$62,$AF$205^A60,IF(A60='Données projet'!$A$62,'Données projet'!$B$62,AI59+AH60-AQ59)))</f>
        <v>285.04615384615391</v>
      </c>
      <c r="AJ60" s="14">
        <f>AI60*VLOOKUP('Données projet'!$B$10,Paramètres!$A$1:$I$89,3,0)*VLOOKUP('Données projet'!$B$10,Paramètres!$A$1:$I$89,5,0)</f>
        <v>133.40160000000003</v>
      </c>
      <c r="AK60" s="14">
        <f t="shared" si="35"/>
        <v>34.781183724598222</v>
      </c>
      <c r="AL60" s="22">
        <f t="shared" si="4"/>
        <v>292.91834832034198</v>
      </c>
      <c r="AM60" s="60">
        <f t="shared" si="5"/>
        <v>552.44498837101969</v>
      </c>
      <c r="AN60" s="60">
        <f ca="1">AVERAGE(OFFSET($AM$3,0,0,'Données projet'!$E$10+1,1))-AVERAGE(OFFSET($H$3,0,0,'Données projet'!$E$10+1,1))</f>
        <v>277.7918215389401</v>
      </c>
      <c r="AO60" s="60">
        <f t="shared" si="36"/>
        <v>164.65640238394164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4.7435897435897401</v>
      </c>
      <c r="BD60" s="13">
        <f>IF('Données projet'!$A$88&gt;35,BD59+BC60-BL59,IF(A60&lt;'Données projet'!$A$88,$BA$205^A60,IF(A60='Données projet'!$A$88,'Données projet'!$B$88,BD59+BC60-BL59)))</f>
        <v>149.87179487179472</v>
      </c>
      <c r="BE60" s="14">
        <f>BD60*VLOOKUP('Données projet'!$B$11,Paramètres!$A$1:$I$89,3,0)*VLOOKUP('Données projet'!$B$11,Paramètres!$A$1:$I$89,5,0)</f>
        <v>142.61799999999985</v>
      </c>
      <c r="BF60" s="14">
        <f t="shared" si="37"/>
        <v>36.896104300998218</v>
      </c>
      <c r="BG60" s="22">
        <f t="shared" si="7"/>
        <v>312.65373165757165</v>
      </c>
      <c r="BH60" s="60">
        <f t="shared" si="8"/>
        <v>572.18037170824937</v>
      </c>
      <c r="BI60" s="60">
        <f ca="1">AVERAGE(OFFSET($BH$3,0,0,'Données projet'!$E$11+1,1))-AVERAGE(OFFSET($H$3,0,0,'Données projet'!$E$11+1,1))</f>
        <v>366.21371543563254</v>
      </c>
      <c r="BJ60" s="60">
        <f t="shared" si="38"/>
        <v>237.43356317334084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5.2564102564102599</v>
      </c>
      <c r="BY60" s="13">
        <f>IF('Données projet'!$A$114&gt;35,BY59+BX60-CG59,IF(A60&lt;'Données projet'!$A$114,$BV$205^A60,IF(A60='Données projet'!$A$114,'Données projet'!$B$114,BY59+BX60-CG59)))</f>
        <v>205.38461538461524</v>
      </c>
      <c r="BZ60" s="14">
        <f>BY60*VLOOKUP('Données projet'!$B$12,Paramètres!$A$1:$I$89,3,0)*VLOOKUP('Données projet'!$B$12,Paramètres!$A$1:$I$89,5,0)</f>
        <v>214.66799999999986</v>
      </c>
      <c r="CA60" s="14">
        <f t="shared" si="39"/>
        <v>52.954352258652939</v>
      </c>
      <c r="CB60" s="22">
        <f t="shared" si="10"/>
        <v>466.10893018382029</v>
      </c>
      <c r="CC60" s="60">
        <f t="shared" si="11"/>
        <v>725.635570234498</v>
      </c>
      <c r="CD60" s="60">
        <f ca="1">AVERAGE(OFFSET($CC$3,0,0,'Données projet'!$E$12+1,1))-AVERAGE(OFFSET($H$3,0,0,'Données projet'!$E$12+1,1))</f>
        <v>530.79860063513229</v>
      </c>
      <c r="CE60" s="60">
        <f t="shared" si="40"/>
        <v>302.50876440460434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191.99855999999997</v>
      </c>
      <c r="CV60" s="14">
        <f t="shared" si="41"/>
        <v>47.981536645873334</v>
      </c>
      <c r="CW60" s="22">
        <f t="shared" si="13"/>
        <v>417.96533499156266</v>
      </c>
      <c r="CX60" s="60">
        <f t="shared" si="14"/>
        <v>677.49197504224037</v>
      </c>
      <c r="CY60" s="60">
        <f ca="1">AVERAGE(OFFSET($CX$3,0,0,'Données projet'!$E$13+1,1))-AVERAGE(OFFSET($H$3,0,0,'Données projet'!$E$13+1,1))</f>
        <v>469.67944008675863</v>
      </c>
      <c r="CZ60" s="60">
        <f t="shared" si="42"/>
        <v>266.11908070867173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212.2</v>
      </c>
      <c r="DP60" s="18">
        <f>DO60*VLOOKUP('Données projet'!$B$14,Paramètres!$A$1:$I$89,3,0)*VLOOKUP('Données projet'!$B$14,Paramètres!$A$1:$I$89,5,0)</f>
        <v>228.41207999999997</v>
      </c>
      <c r="DQ60" s="14">
        <f t="shared" si="43"/>
        <v>55.939197785226767</v>
      </c>
      <c r="DR60" s="22">
        <f t="shared" si="16"/>
        <v>495.24514214260324</v>
      </c>
      <c r="DS60" s="60">
        <f t="shared" si="17"/>
        <v>754.77178219328096</v>
      </c>
      <c r="DT60" s="60">
        <f ca="1">AVERAGE(OFFSET($DS$3,0,0,'Données projet'!$E$14+1,1))-AVERAGE(OFFSET($H$3,0,0,'Données projet'!$E$14+1,1))</f>
        <v>542.90832990875208</v>
      </c>
      <c r="DU60" s="60">
        <f t="shared" si="44"/>
        <v>304.94365539329362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4.0600000000000023</v>
      </c>
      <c r="EJ60" s="13">
        <f>IF('Données projet'!$A$192&gt;35,EJ59+EI60-ER59,IF(A60&lt;'Données projet'!$A$192,$EG$205^A60,IF(A60='Données projet'!$A$192,'Données projet'!$B$192,EJ59+EI60-ER59)))</f>
        <v>193.32000000000014</v>
      </c>
      <c r="EK60" s="18">
        <f>EJ60*VLOOKUP('Données projet'!$B$15,Paramètres!$A$1:$I$89,3,0)*VLOOKUP('Données projet'!$B$15,Paramètres!$A$1:$I$89,5,0)</f>
        <v>153.8053920000001</v>
      </c>
      <c r="EL60" s="14">
        <f t="shared" si="45"/>
        <v>39.442109649056299</v>
      </c>
      <c r="EM60" s="22">
        <f t="shared" si="19"/>
        <v>336.57273203877321</v>
      </c>
      <c r="EN60" s="60">
        <f t="shared" si="20"/>
        <v>596.09937208945098</v>
      </c>
      <c r="EO60" s="60">
        <f ca="1">AVERAGE(OFFSET($EN$3,0,0,'Données projet'!$E$15+1,1))-AVERAGE(OFFSET($H$3,0,0,'Données projet'!$E$15+1,1))</f>
        <v>273.72403794510291</v>
      </c>
      <c r="EP60" s="60">
        <f t="shared" si="46"/>
        <v>292.00185554564109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9.375</v>
      </c>
      <c r="FE60" s="13">
        <f>IF('Données projet'!$A$218&gt;35,FE59+FD60-FM59,IF(A60&lt;'Données projet'!$A$218,$FB$205^A60,IF(A60='Données projet'!$A$218,'Données projet'!$B$218,FE59+FD60-FM59)))</f>
        <v>268.87499999999989</v>
      </c>
      <c r="FF60" s="18">
        <f>FE60*VLOOKUP('Données projet'!$B$16,Paramètres!$A$1:$I$89,3,0)*VLOOKUP('Données projet'!$B$16,Paramètres!$A$1:$I$89,5,0)</f>
        <v>209.72249999999991</v>
      </c>
      <c r="FG60" s="14">
        <f t="shared" si="47"/>
        <v>51.874940300502246</v>
      </c>
      <c r="FH60" s="22">
        <f t="shared" si="22"/>
        <v>455.61554185670792</v>
      </c>
      <c r="FI60" s="60">
        <f t="shared" si="23"/>
        <v>715.14218190738563</v>
      </c>
      <c r="FJ60" s="60">
        <f ca="1">AVERAGE(OFFSET($FI$3,0,0,'Données projet'!$E$16+1,1))-AVERAGE(OFFSET($H$3,0,0,'Données projet'!$E$16+1,1))</f>
        <v>309.21625451786218</v>
      </c>
      <c r="FK60" s="60">
        <f t="shared" si="48"/>
        <v>302.59481222418219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>
        <f>FZ60*VLOOKUP('Données projet'!$B$17,Paramètres!$A$1:$I$89,3,0)*VLOOKUP('Données projet'!$B$17,Paramètres!$A$1:$I$89,5,0)</f>
        <v>0</v>
      </c>
      <c r="GB60" s="14" t="e">
        <f t="shared" si="49"/>
        <v>#NUM!</v>
      </c>
      <c r="GC60" s="22" t="e">
        <f t="shared" si="25"/>
        <v>#NUM!</v>
      </c>
      <c r="GD60" s="60" t="e">
        <f t="shared" si="26"/>
        <v>#NUM!</v>
      </c>
      <c r="GE60" s="60">
        <f ca="1">AVERAGE(OFFSET($GD$3,0,0,'Données projet'!$E$17+1,1))-AVERAGE(OFFSET($H$3,0,0,'Données projet'!$E$17+1,1))</f>
        <v>216.36762889365235</v>
      </c>
      <c r="GF60" s="60">
        <f t="shared" si="50"/>
        <v>333.29599352215496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7.9093538241832775</v>
      </c>
      <c r="GM60" s="23">
        <f>EXP(-LN(2)/25)*GM59+(1-EXP(-LN(2)/25))/(LN(2)/25)*Calculateur!GH60*Calculateur!GJ60*VLOOKUP('Données projet'!$B$17,Paramètres!$A$1:$I$89,3,0)*0.475*44/12</f>
        <v>4.6117536585666636</v>
      </c>
      <c r="GN60" s="23">
        <f>EXP(-LN(2)/2)*GN59+(1-EXP(-LN(2)/2))/(LN(2)/2)*GH60*GK60*VLOOKUP('Données projet'!$B$17,Paramètres!$A$1:$I$89,3,0)*0.475*44/12</f>
        <v>2.5242708197959049E-4</v>
      </c>
      <c r="GO60" s="23">
        <f t="shared" si="27"/>
        <v>12.52135990983192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4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212.59055999999998</v>
      </c>
      <c r="P61" s="14">
        <f t="shared" si="33"/>
        <v>52.501283653296404</v>
      </c>
      <c r="Q61" s="22">
        <f t="shared" si="53"/>
        <v>461.70162769615786</v>
      </c>
      <c r="R61" s="60">
        <f t="shared" si="0"/>
        <v>721.81473829484628</v>
      </c>
      <c r="S61" s="60">
        <f ca="1">AVERAGE(OFFSET($R$3,0,0,'Données projet'!$E$9+1,1))-AVERAGE(OFFSET($H$3,0,0,'Données projet'!$E$9+1,1))</f>
        <v>496.33873798282525</v>
      </c>
      <c r="T61" s="60">
        <f t="shared" si="34"/>
        <v>280.25465074992246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10.784615384615382</v>
      </c>
      <c r="AI61" s="14">
        <f>IF('Données projet'!$A$62&gt;35,AI60+AH61-AQ60,IF(A61&lt;'Données projet'!$A$62,$AF$205^A61,IF(A61='Données projet'!$A$62,'Données projet'!$B$62,AI60+AH61-AQ60)))</f>
        <v>295.83076923076931</v>
      </c>
      <c r="AJ61" s="14">
        <f>AI61*VLOOKUP('Données projet'!$B$10,Paramètres!$A$1:$I$89,3,0)*VLOOKUP('Données projet'!$B$10,Paramètres!$A$1:$I$89,5,0)</f>
        <v>138.44880000000003</v>
      </c>
      <c r="AK61" s="14">
        <f t="shared" si="35"/>
        <v>35.941417252409821</v>
      </c>
      <c r="AL61" s="22">
        <f t="shared" si="4"/>
        <v>303.72962838128052</v>
      </c>
      <c r="AM61" s="60">
        <f t="shared" si="5"/>
        <v>563.842738979969</v>
      </c>
      <c r="AN61" s="60">
        <f ca="1">AVERAGE(OFFSET($AM$3,0,0,'Données projet'!$E$10+1,1))-AVERAGE(OFFSET($H$3,0,0,'Données projet'!$E$10+1,1))</f>
        <v>277.7918215389401</v>
      </c>
      <c r="AO61" s="60">
        <f t="shared" si="36"/>
        <v>164.65640238394164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4.7435897435897401</v>
      </c>
      <c r="BD61" s="13">
        <f>IF('Données projet'!$A$88&gt;35,BD60+BC61-BL60,IF(A61&lt;'Données projet'!$A$88,$BA$205^A61,IF(A61='Données projet'!$A$88,'Données projet'!$B$88,BD60+BC61-BL60)))</f>
        <v>154.61538461538447</v>
      </c>
      <c r="BE61" s="14">
        <f>BD61*VLOOKUP('Données projet'!$B$11,Paramètres!$A$1:$I$89,3,0)*VLOOKUP('Données projet'!$B$11,Paramètres!$A$1:$I$89,5,0)</f>
        <v>147.13199999999986</v>
      </c>
      <c r="BF61" s="14">
        <f t="shared" si="37"/>
        <v>37.926091844382064</v>
      </c>
      <c r="BG61" s="22">
        <f t="shared" si="7"/>
        <v>322.30950996229848</v>
      </c>
      <c r="BH61" s="60">
        <f t="shared" si="8"/>
        <v>582.42262056098684</v>
      </c>
      <c r="BI61" s="60">
        <f ca="1">AVERAGE(OFFSET($BH$3,0,0,'Données projet'!$E$11+1,1))-AVERAGE(OFFSET($H$3,0,0,'Données projet'!$E$11+1,1))</f>
        <v>366.21371543563254</v>
      </c>
      <c r="BJ61" s="60">
        <f t="shared" si="38"/>
        <v>237.43356317334084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5.2564102564102599</v>
      </c>
      <c r="BY61" s="13">
        <f>IF('Données projet'!$A$114&gt;35,BY60+BX61-CG60,IF(A61&lt;'Données projet'!$A$114,$BV$205^A61,IF(A61='Données projet'!$A$114,'Données projet'!$B$114,BY60+BX61-CG60)))</f>
        <v>210.64102564102549</v>
      </c>
      <c r="BZ61" s="14">
        <f>BY61*VLOOKUP('Données projet'!$B$12,Paramètres!$A$1:$I$89,3,0)*VLOOKUP('Données projet'!$B$12,Paramètres!$A$1:$I$89,5,0)</f>
        <v>220.16199999999986</v>
      </c>
      <c r="CA61" s="14">
        <f t="shared" si="39"/>
        <v>54.150094111630509</v>
      </c>
      <c r="CB61" s="22">
        <f t="shared" si="10"/>
        <v>477.76023057775615</v>
      </c>
      <c r="CC61" s="60">
        <f t="shared" si="11"/>
        <v>737.87334117644457</v>
      </c>
      <c r="CD61" s="60">
        <f ca="1">AVERAGE(OFFSET($CC$3,0,0,'Données projet'!$E$12+1,1))-AVERAGE(OFFSET($H$3,0,0,'Données projet'!$E$12+1,1))</f>
        <v>530.79860063513229</v>
      </c>
      <c r="CE61" s="60">
        <f t="shared" si="40"/>
        <v>302.50876440460434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198.87503999999998</v>
      </c>
      <c r="CV61" s="14">
        <f t="shared" si="41"/>
        <v>49.496854461868558</v>
      </c>
      <c r="CW61" s="22">
        <f t="shared" si="13"/>
        <v>432.58104952108766</v>
      </c>
      <c r="CX61" s="60">
        <f t="shared" si="14"/>
        <v>692.69416011977614</v>
      </c>
      <c r="CY61" s="60">
        <f ca="1">AVERAGE(OFFSET($CX$3,0,0,'Données projet'!$E$13+1,1))-AVERAGE(OFFSET($H$3,0,0,'Données projet'!$E$13+1,1))</f>
        <v>469.67944008675863</v>
      </c>
      <c r="CZ61" s="60">
        <f t="shared" si="42"/>
        <v>266.11908070867173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219.79999999999998</v>
      </c>
      <c r="DP61" s="18">
        <f>DO61*VLOOKUP('Données projet'!$B$14,Paramètres!$A$1:$I$89,3,0)*VLOOKUP('Données projet'!$B$14,Paramètres!$A$1:$I$89,5,0)</f>
        <v>236.59271999999999</v>
      </c>
      <c r="DQ61" s="14">
        <f t="shared" si="43"/>
        <v>57.705828638299394</v>
      </c>
      <c r="DR61" s="22">
        <f t="shared" si="16"/>
        <v>512.56997221170479</v>
      </c>
      <c r="DS61" s="60">
        <f t="shared" si="17"/>
        <v>772.68308281039322</v>
      </c>
      <c r="DT61" s="60">
        <f ca="1">AVERAGE(OFFSET($DS$3,0,0,'Données projet'!$E$14+1,1))-AVERAGE(OFFSET($H$3,0,0,'Données projet'!$E$14+1,1))</f>
        <v>542.90832990875208</v>
      </c>
      <c r="DU61" s="60">
        <f t="shared" si="44"/>
        <v>304.94365539329362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4.0600000000000023</v>
      </c>
      <c r="EJ61" s="13">
        <f>IF('Données projet'!$A$192&gt;35,EJ60+EI61-ER60,IF(A61&lt;'Données projet'!$A$192,$EG$205^A61,IF(A61='Données projet'!$A$192,'Données projet'!$B$192,EJ60+EI61-ER60)))</f>
        <v>197.38000000000014</v>
      </c>
      <c r="EK61" s="18">
        <f>EJ61*VLOOKUP('Données projet'!$B$15,Paramètres!$A$1:$I$89,3,0)*VLOOKUP('Données projet'!$B$15,Paramètres!$A$1:$I$89,5,0)</f>
        <v>157.03552800000011</v>
      </c>
      <c r="EL61" s="14">
        <f t="shared" si="45"/>
        <v>40.173144433960829</v>
      </c>
      <c r="EM61" s="22">
        <f t="shared" si="19"/>
        <v>343.4717711558153</v>
      </c>
      <c r="EN61" s="60">
        <f t="shared" si="20"/>
        <v>603.58488175450373</v>
      </c>
      <c r="EO61" s="60">
        <f ca="1">AVERAGE(OFFSET($EN$3,0,0,'Données projet'!$E$15+1,1))-AVERAGE(OFFSET($H$3,0,0,'Données projet'!$E$15+1,1))</f>
        <v>273.72403794510291</v>
      </c>
      <c r="EP61" s="60">
        <f t="shared" si="46"/>
        <v>292.00185554564109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9.375</v>
      </c>
      <c r="FE61" s="13">
        <f>IF('Données projet'!$A$218&gt;35,FE60+FD61-FM60,IF(A61&lt;'Données projet'!$A$218,$FB$205^A61,IF(A61='Données projet'!$A$218,'Données projet'!$B$218,FE60+FD61-FM60)))</f>
        <v>278.24999999999989</v>
      </c>
      <c r="FF61" s="18">
        <f>FE61*VLOOKUP('Données projet'!$B$16,Paramètres!$A$1:$I$89,3,0)*VLOOKUP('Données projet'!$B$16,Paramètres!$A$1:$I$89,5,0)</f>
        <v>217.03499999999991</v>
      </c>
      <c r="FG61" s="14">
        <f t="shared" si="47"/>
        <v>53.469949591969474</v>
      </c>
      <c r="FH61" s="22">
        <f t="shared" si="22"/>
        <v>471.12945387267996</v>
      </c>
      <c r="FI61" s="60">
        <f t="shared" si="23"/>
        <v>731.24256447136838</v>
      </c>
      <c r="FJ61" s="60">
        <f ca="1">AVERAGE(OFFSET($FI$3,0,0,'Données projet'!$E$16+1,1))-AVERAGE(OFFSET($H$3,0,0,'Données projet'!$E$16+1,1))</f>
        <v>309.21625451786218</v>
      </c>
      <c r="FK61" s="60">
        <f t="shared" si="48"/>
        <v>302.59481222418219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>
        <f>FZ61*VLOOKUP('Données projet'!$B$17,Paramètres!$A$1:$I$89,3,0)*VLOOKUP('Données projet'!$B$17,Paramètres!$A$1:$I$89,5,0)</f>
        <v>0</v>
      </c>
      <c r="GB61" s="14" t="e">
        <f t="shared" si="49"/>
        <v>#NUM!</v>
      </c>
      <c r="GC61" s="22" t="e">
        <f t="shared" si="25"/>
        <v>#NUM!</v>
      </c>
      <c r="GD61" s="60" t="e">
        <f t="shared" si="26"/>
        <v>#NUM!</v>
      </c>
      <c r="GE61" s="60">
        <f ca="1">AVERAGE(OFFSET($GD$3,0,0,'Données projet'!$E$17+1,1))-AVERAGE(OFFSET($H$3,0,0,'Données projet'!$E$17+1,1))</f>
        <v>216.36762889365235</v>
      </c>
      <c r="GF61" s="60">
        <f t="shared" si="50"/>
        <v>333.29599352215496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7.7542562199205234</v>
      </c>
      <c r="GM61" s="23">
        <f>EXP(-LN(2)/25)*GM60+(1-EXP(-LN(2)/25))/(LN(2)/25)*Calculateur!GH61*Calculateur!GJ61*VLOOKUP('Données projet'!$B$17,Paramètres!$A$1:$I$89,3,0)*0.475*44/12</f>
        <v>4.4856450122515739</v>
      </c>
      <c r="GN61" s="23">
        <f>EXP(-LN(2)/2)*GN60+(1-EXP(-LN(2)/2))/(LN(2)/2)*GH61*GK61*VLOOKUP('Données projet'!$B$17,Paramètres!$A$1:$I$89,3,0)*0.475*44/12</f>
        <v>1.7849290142290099E-4</v>
      </c>
      <c r="GO61" s="23">
        <f t="shared" si="27"/>
        <v>12.240079725073521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4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219.94127999999995</v>
      </c>
      <c r="P62" s="14">
        <f t="shared" si="33"/>
        <v>54.102123020446285</v>
      </c>
      <c r="Q62" s="22">
        <f t="shared" si="53"/>
        <v>477.29226026061059</v>
      </c>
      <c r="R62" s="60">
        <f t="shared" si="0"/>
        <v>737.98166745445337</v>
      </c>
      <c r="S62" s="60">
        <f ca="1">AVERAGE(OFFSET($R$3,0,0,'Données projet'!$E$9+1,1))-AVERAGE(OFFSET($H$3,0,0,'Données projet'!$E$9+1,1))</f>
        <v>496.33873798282525</v>
      </c>
      <c r="T62" s="60">
        <f t="shared" si="34"/>
        <v>280.25465074992246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10.784615384615382</v>
      </c>
      <c r="AI62" s="14">
        <f>IF('Données projet'!$A$62&gt;35,AI61+AH62-AQ61,IF(A62&lt;'Données projet'!$A$62,$AF$205^A62,IF(A62='Données projet'!$A$62,'Données projet'!$B$62,AI61+AH62-AQ61)))</f>
        <v>306.6153846153847</v>
      </c>
      <c r="AJ62" s="14">
        <f>AI62*VLOOKUP('Données projet'!$B$10,Paramètres!$A$1:$I$89,3,0)*VLOOKUP('Données projet'!$B$10,Paramètres!$A$1:$I$89,5,0)</f>
        <v>143.49600000000004</v>
      </c>
      <c r="AK62" s="14">
        <f t="shared" si="35"/>
        <v>37.096736722926138</v>
      </c>
      <c r="AL62" s="22">
        <f t="shared" si="4"/>
        <v>314.53234979242978</v>
      </c>
      <c r="AM62" s="60">
        <f t="shared" si="5"/>
        <v>575.22175698627257</v>
      </c>
      <c r="AN62" s="60">
        <f ca="1">AVERAGE(OFFSET($AM$3,0,0,'Données projet'!$E$10+1,1))-AVERAGE(OFFSET($H$3,0,0,'Données projet'!$E$10+1,1))</f>
        <v>277.7918215389401</v>
      </c>
      <c r="AO62" s="60">
        <f t="shared" si="36"/>
        <v>164.65640238394164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4.7435897435897401</v>
      </c>
      <c r="BD62" s="13">
        <f>IF('Données projet'!$A$88&gt;35,BD61+BC62-BL61,IF(A62&lt;'Données projet'!$A$88,$BA$205^A62,IF(A62='Données projet'!$A$88,'Données projet'!$B$88,BD61+BC62-BL61)))</f>
        <v>159.35897435897422</v>
      </c>
      <c r="BE62" s="14">
        <f>BD62*VLOOKUP('Données projet'!$B$11,Paramètres!$A$1:$I$89,3,0)*VLOOKUP('Données projet'!$B$11,Paramètres!$A$1:$I$89,5,0)</f>
        <v>151.64599999999987</v>
      </c>
      <c r="BF62" s="14">
        <f t="shared" si="37"/>
        <v>38.95240710491035</v>
      </c>
      <c r="BG62" s="22">
        <f t="shared" si="7"/>
        <v>331.9588923743853</v>
      </c>
      <c r="BH62" s="60">
        <f t="shared" si="8"/>
        <v>592.64829956822814</v>
      </c>
      <c r="BI62" s="60">
        <f ca="1">AVERAGE(OFFSET($BH$3,0,0,'Données projet'!$E$11+1,1))-AVERAGE(OFFSET($H$3,0,0,'Données projet'!$E$11+1,1))</f>
        <v>366.21371543563254</v>
      </c>
      <c r="BJ62" s="60">
        <f t="shared" si="38"/>
        <v>237.43356317334084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5.2564102564102599</v>
      </c>
      <c r="BY62" s="13">
        <f>IF('Données projet'!$A$114&gt;35,BY61+BX62-CG61,IF(A62&lt;'Données projet'!$A$114,$BV$205^A62,IF(A62='Données projet'!$A$114,'Données projet'!$B$114,BY61+BX62-CG61)))</f>
        <v>215.89743589743574</v>
      </c>
      <c r="BZ62" s="14">
        <f>BY62*VLOOKUP('Données projet'!$B$12,Paramètres!$A$1:$I$89,3,0)*VLOOKUP('Données projet'!$B$12,Paramètres!$A$1:$I$89,5,0)</f>
        <v>225.65599999999986</v>
      </c>
      <c r="CA62" s="14">
        <f t="shared" si="39"/>
        <v>55.342367368360115</v>
      </c>
      <c r="CB62" s="22">
        <f t="shared" si="10"/>
        <v>489.40548983322697</v>
      </c>
      <c r="CC62" s="60">
        <f t="shared" si="11"/>
        <v>750.09489702706969</v>
      </c>
      <c r="CD62" s="60">
        <f ca="1">AVERAGE(OFFSET($CC$3,0,0,'Données projet'!$E$12+1,1))-AVERAGE(OFFSET($H$3,0,0,'Données projet'!$E$12+1,1))</f>
        <v>530.79860063513229</v>
      </c>
      <c r="CE62" s="60">
        <f t="shared" si="40"/>
        <v>302.50876440460434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205.75151999999994</v>
      </c>
      <c r="CV62" s="14">
        <f t="shared" si="41"/>
        <v>51.006084477955554</v>
      </c>
      <c r="CW62" s="22">
        <f t="shared" si="13"/>
        <v>447.18616113243911</v>
      </c>
      <c r="CX62" s="60">
        <f t="shared" si="14"/>
        <v>707.87556832628184</v>
      </c>
      <c r="CY62" s="60">
        <f ca="1">AVERAGE(OFFSET($CX$3,0,0,'Données projet'!$E$13+1,1))-AVERAGE(OFFSET($H$3,0,0,'Données projet'!$E$13+1,1))</f>
        <v>469.67944008675863</v>
      </c>
      <c r="CZ62" s="60">
        <f t="shared" si="42"/>
        <v>266.11908070867173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227.39999999999998</v>
      </c>
      <c r="DP62" s="18">
        <f>DO62*VLOOKUP('Données projet'!$B$14,Paramètres!$A$1:$I$89,3,0)*VLOOKUP('Données projet'!$B$14,Paramètres!$A$1:$I$89,5,0)</f>
        <v>244.77335999999997</v>
      </c>
      <c r="DQ62" s="14">
        <f t="shared" si="43"/>
        <v>59.465362039582196</v>
      </c>
      <c r="DR62" s="22">
        <f t="shared" si="16"/>
        <v>529.88244088560566</v>
      </c>
      <c r="DS62" s="60">
        <f t="shared" si="17"/>
        <v>790.5718480794485</v>
      </c>
      <c r="DT62" s="60">
        <f ca="1">AVERAGE(OFFSET($DS$3,0,0,'Données projet'!$E$14+1,1))-AVERAGE(OFFSET($H$3,0,0,'Données projet'!$E$14+1,1))</f>
        <v>542.90832990875208</v>
      </c>
      <c r="DU62" s="60">
        <f t="shared" si="44"/>
        <v>304.94365539329362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4.0600000000000023</v>
      </c>
      <c r="EJ62" s="13">
        <f>IF('Données projet'!$A$192&gt;35,EJ61+EI62-ER61,IF(A62&lt;'Données projet'!$A$192,$EG$205^A62,IF(A62='Données projet'!$A$192,'Données projet'!$B$192,EJ61+EI62-ER61)))</f>
        <v>201.44000000000014</v>
      </c>
      <c r="EK62" s="18">
        <f>EJ62*VLOOKUP('Données projet'!$B$15,Paramètres!$A$1:$I$89,3,0)*VLOOKUP('Données projet'!$B$15,Paramètres!$A$1:$I$89,5,0)</f>
        <v>160.26566400000013</v>
      </c>
      <c r="EL62" s="14">
        <f t="shared" si="45"/>
        <v>40.902430876519979</v>
      </c>
      <c r="EM62" s="22">
        <f t="shared" si="19"/>
        <v>350.36776524327252</v>
      </c>
      <c r="EN62" s="60">
        <f t="shared" si="20"/>
        <v>611.05717243711524</v>
      </c>
      <c r="EO62" s="60">
        <f ca="1">AVERAGE(OFFSET($EN$3,0,0,'Données projet'!$E$15+1,1))-AVERAGE(OFFSET($H$3,0,0,'Données projet'!$E$15+1,1))</f>
        <v>273.72403794510291</v>
      </c>
      <c r="EP62" s="60">
        <f t="shared" si="46"/>
        <v>292.00185554564109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9.375</v>
      </c>
      <c r="FE62" s="13">
        <f>IF('Données projet'!$A$218&gt;35,FE61+FD62-FM61,IF(A62&lt;'Données projet'!$A$218,$FB$205^A62,IF(A62='Données projet'!$A$218,'Données projet'!$B$218,FE61+FD62-FM61)))</f>
        <v>287.62499999999989</v>
      </c>
      <c r="FF62" s="18">
        <f>FE62*VLOOKUP('Données projet'!$B$16,Paramètres!$A$1:$I$89,3,0)*VLOOKUP('Données projet'!$B$16,Paramètres!$A$1:$I$89,5,0)</f>
        <v>224.34749999999991</v>
      </c>
      <c r="FG62" s="14">
        <f t="shared" si="47"/>
        <v>55.058714525680429</v>
      </c>
      <c r="FH62" s="22">
        <f t="shared" si="22"/>
        <v>486.63249029889329</v>
      </c>
      <c r="FI62" s="60">
        <f t="shared" si="23"/>
        <v>747.32189749273607</v>
      </c>
      <c r="FJ62" s="60">
        <f ca="1">AVERAGE(OFFSET($FI$3,0,0,'Données projet'!$E$16+1,1))-AVERAGE(OFFSET($H$3,0,0,'Données projet'!$E$16+1,1))</f>
        <v>309.21625451786218</v>
      </c>
      <c r="FK62" s="60">
        <f t="shared" si="48"/>
        <v>302.59481222418219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>
        <f>FZ62*VLOOKUP('Données projet'!$B$17,Paramètres!$A$1:$I$89,3,0)*VLOOKUP('Données projet'!$B$17,Paramètres!$A$1:$I$89,5,0)</f>
        <v>0</v>
      </c>
      <c r="GB62" s="14" t="e">
        <f t="shared" si="49"/>
        <v>#NUM!</v>
      </c>
      <c r="GC62" s="22" t="e">
        <f t="shared" si="25"/>
        <v>#NUM!</v>
      </c>
      <c r="GD62" s="60" t="e">
        <f t="shared" si="26"/>
        <v>#NUM!</v>
      </c>
      <c r="GE62" s="60">
        <f ca="1">AVERAGE(OFFSET($GD$3,0,0,'Données projet'!$E$17+1,1))-AVERAGE(OFFSET($H$3,0,0,'Données projet'!$E$17+1,1))</f>
        <v>216.36762889365235</v>
      </c>
      <c r="GF62" s="60">
        <f t="shared" si="50"/>
        <v>333.29599352215496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7.6021999850771635</v>
      </c>
      <c r="GM62" s="23">
        <f>EXP(-LN(2)/25)*GM61+(1-EXP(-LN(2)/25))/(LN(2)/25)*Calculateur!GH62*Calculateur!GJ62*VLOOKUP('Données projet'!$B$17,Paramètres!$A$1:$I$89,3,0)*0.475*44/12</f>
        <v>4.3629848135017353</v>
      </c>
      <c r="GN62" s="23">
        <f>EXP(-LN(2)/2)*GN61+(1-EXP(-LN(2)/2))/(LN(2)/2)*GH62*GK62*VLOOKUP('Données projet'!$B$17,Paramètres!$A$1:$I$89,3,0)*0.475*44/12</f>
        <v>1.2621354098979524E-4</v>
      </c>
      <c r="GO62" s="23">
        <f t="shared" si="27"/>
        <v>11.965311012119889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4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227.292</v>
      </c>
      <c r="P63" s="14">
        <f t="shared" si="33"/>
        <v>55.6967456174837</v>
      </c>
      <c r="Q63" s="22">
        <f t="shared" si="53"/>
        <v>492.87206528378402</v>
      </c>
      <c r="R63" s="60">
        <f t="shared" si="0"/>
        <v>754.12777161526151</v>
      </c>
      <c r="S63" s="60">
        <f ca="1">AVERAGE(OFFSET($R$3,0,0,'Données projet'!$E$9+1,1))-AVERAGE(OFFSET($H$3,0,0,'Données projet'!$E$9+1,1))</f>
        <v>496.33873798282525</v>
      </c>
      <c r="T63" s="60">
        <f t="shared" si="34"/>
        <v>280.25465074992246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317.39999999999998</v>
      </c>
      <c r="AG63" s="13">
        <f>VLOOKUP(A63,'Données projet'!$A$61:$I$81,9,0)</f>
        <v>10.784615384615382</v>
      </c>
      <c r="AH63" s="13">
        <f t="array" ref="AH63">INDEX(AG:AG,MIN(IF(ISNUMBER(AG63:AG259),ROW(AG63:AG259),"")))</f>
        <v>10.784615384615382</v>
      </c>
      <c r="AI63" s="14">
        <f>IF('Données projet'!$A$62&gt;35,AI62+AH63-AQ62,IF(A63&lt;'Données projet'!$A$62,$AF$205^A63,IF(A63='Données projet'!$A$62,'Données projet'!$B$62,AI62+AH63-AQ62)))</f>
        <v>317.40000000000009</v>
      </c>
      <c r="AJ63" s="14">
        <f>AI63*VLOOKUP('Données projet'!$B$10,Paramètres!$A$1:$I$89,3,0)*VLOOKUP('Données projet'!$B$10,Paramètres!$A$1:$I$89,5,0)</f>
        <v>148.54320000000004</v>
      </c>
      <c r="AK63" s="14">
        <f t="shared" si="35"/>
        <v>38.247334783976747</v>
      </c>
      <c r="AL63" s="22">
        <f t="shared" si="4"/>
        <v>325.32684808209291</v>
      </c>
      <c r="AM63" s="60">
        <f t="shared" si="5"/>
        <v>586.58255441357039</v>
      </c>
      <c r="AN63" s="60">
        <f ca="1">AVERAGE(OFFSET($AM$3,0,0,'Données projet'!$E$10+1,1))-AVERAGE(OFFSET($H$3,0,0,'Données projet'!$E$10+1,1))</f>
        <v>277.7918215389401</v>
      </c>
      <c r="AO63" s="60">
        <f t="shared" si="36"/>
        <v>164.65640238394164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164.10256410256409</v>
      </c>
      <c r="BB63" s="13">
        <f>VLOOKUP(A63,'Données projet'!$A$87:$I$107,9,0)</f>
        <v>4.7435897435897401</v>
      </c>
      <c r="BC63" s="13">
        <f t="array" ref="BC63">INDEX(BB:BB,MIN(IF(ISNUMBER(BB63:BB259),ROW(BB63:BB259),"")))</f>
        <v>4.7435897435897401</v>
      </c>
      <c r="BD63" s="13">
        <f>IF('Données projet'!$A$88&gt;35,BD62+BC63-BL62,IF(A63&lt;'Données projet'!$A$88,$BA$205^A63,IF(A63='Données projet'!$A$88,'Données projet'!$B$88,BD62+BC63-BL62)))</f>
        <v>164.10256410256397</v>
      </c>
      <c r="BE63" s="14">
        <f>BD63*VLOOKUP('Données projet'!$B$11,Paramètres!$A$1:$I$89,3,0)*VLOOKUP('Données projet'!$B$11,Paramètres!$A$1:$I$89,5,0)</f>
        <v>156.15999999999988</v>
      </c>
      <c r="BF63" s="14">
        <f t="shared" si="37"/>
        <v>39.975171943501458</v>
      </c>
      <c r="BG63" s="22">
        <f t="shared" si="7"/>
        <v>341.60209113493147</v>
      </c>
      <c r="BH63" s="60">
        <f t="shared" si="8"/>
        <v>602.85779746640901</v>
      </c>
      <c r="BI63" s="60">
        <f ca="1">AVERAGE(OFFSET($BH$3,0,0,'Données projet'!$E$11+1,1))-AVERAGE(OFFSET($H$3,0,0,'Données projet'!$E$11+1,1))</f>
        <v>366.21371543563254</v>
      </c>
      <c r="BJ63" s="60">
        <f t="shared" si="38"/>
        <v>237.43356317334084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221.15384615384616</v>
      </c>
      <c r="BW63" s="13">
        <f>VLOOKUP(A63,'Données projet'!$A$113:$I$133,9,0)</f>
        <v>5.2564102564102599</v>
      </c>
      <c r="BX63" s="13">
        <f t="array" ref="BX63">INDEX(BW:BW,MIN(IF(ISNUMBER(BW63:BW259),ROW(BW63:BW259),"")))</f>
        <v>5.2564102564102599</v>
      </c>
      <c r="BY63" s="13">
        <f>IF('Données projet'!$A$114&gt;35,BY62+BX63-CG62,IF(A63&lt;'Données projet'!$A$114,$BV$205^A63,IF(A63='Données projet'!$A$114,'Données projet'!$B$114,BY62+BX63-CG62)))</f>
        <v>221.15384615384599</v>
      </c>
      <c r="BZ63" s="14">
        <f>BY63*VLOOKUP('Données projet'!$B$12,Paramètres!$A$1:$I$89,3,0)*VLOOKUP('Données projet'!$B$12,Paramètres!$A$1:$I$89,5,0)</f>
        <v>231.14999999999984</v>
      </c>
      <c r="CA63" s="14">
        <f t="shared" si="39"/>
        <v>56.531266193272629</v>
      </c>
      <c r="CB63" s="22">
        <f t="shared" si="10"/>
        <v>501.04487195328284</v>
      </c>
      <c r="CC63" s="60">
        <f t="shared" si="11"/>
        <v>762.30057828476038</v>
      </c>
      <c r="CD63" s="60">
        <f ca="1">AVERAGE(OFFSET($CC$3,0,0,'Données projet'!$E$12+1,1))-AVERAGE(OFFSET($H$3,0,0,'Données projet'!$E$12+1,1))</f>
        <v>530.79860063513229</v>
      </c>
      <c r="CE63" s="60">
        <f t="shared" si="40"/>
        <v>302.50876440460434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212.62799999999999</v>
      </c>
      <c r="CV63" s="14">
        <f t="shared" si="41"/>
        <v>52.509453483719035</v>
      </c>
      <c r="CW63" s="22">
        <f t="shared" si="13"/>
        <v>461.78106481747727</v>
      </c>
      <c r="CX63" s="60">
        <f t="shared" si="14"/>
        <v>723.03677114895481</v>
      </c>
      <c r="CY63" s="60">
        <f ca="1">AVERAGE(OFFSET($CX$3,0,0,'Données projet'!$E$13+1,1))-AVERAGE(OFFSET($H$3,0,0,'Données projet'!$E$13+1,1))</f>
        <v>469.67944008675863</v>
      </c>
      <c r="CZ63" s="60">
        <f t="shared" si="42"/>
        <v>266.11908070867173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235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234.99999999999997</v>
      </c>
      <c r="DP63" s="18">
        <f>DO63*VLOOKUP('Données projet'!$B$14,Paramètres!$A$1:$I$89,3,0)*VLOOKUP('Données projet'!$B$14,Paramètres!$A$1:$I$89,5,0)</f>
        <v>252.95399999999998</v>
      </c>
      <c r="DQ63" s="14">
        <f t="shared" si="43"/>
        <v>61.218062391350081</v>
      </c>
      <c r="DR63" s="22">
        <f t="shared" si="16"/>
        <v>547.18300866493462</v>
      </c>
      <c r="DS63" s="60">
        <f t="shared" si="17"/>
        <v>808.43871499641205</v>
      </c>
      <c r="DT63" s="60">
        <f ca="1">AVERAGE(OFFSET($DS$3,0,0,'Données projet'!$E$14+1,1))-AVERAGE(OFFSET($H$3,0,0,'Données projet'!$E$14+1,1))</f>
        <v>542.90832990875208</v>
      </c>
      <c r="DU63" s="60">
        <f t="shared" si="44"/>
        <v>304.94365539329362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42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205.5</v>
      </c>
      <c r="EH63" s="13">
        <f>VLOOKUP(A63,'Données projet'!$A$191:$I$211,9,0)</f>
        <v>4.0600000000000023</v>
      </c>
      <c r="EI63" s="13">
        <f t="array" ref="EI63">INDEX(EH:EH,MIN(IF(ISNUMBER(EH63:EH259),ROW(EH63:EH259),"")))</f>
        <v>4.0600000000000023</v>
      </c>
      <c r="EJ63" s="13">
        <f>IF('Données projet'!$A$192&gt;35,EJ62+EI63-ER62,IF(A63&lt;'Données projet'!$A$192,$EG$205^A63,IF(A63='Données projet'!$A$192,'Données projet'!$B$192,EJ62+EI63-ER62)))</f>
        <v>205.50000000000014</v>
      </c>
      <c r="EK63" s="18">
        <f>EJ63*VLOOKUP('Données projet'!$B$15,Paramètres!$A$1:$I$89,3,0)*VLOOKUP('Données projet'!$B$15,Paramètres!$A$1:$I$89,5,0)</f>
        <v>163.49580000000012</v>
      </c>
      <c r="EL63" s="14">
        <f t="shared" si="45"/>
        <v>41.630008275294323</v>
      </c>
      <c r="EM63" s="22">
        <f t="shared" si="19"/>
        <v>357.26078274613786</v>
      </c>
      <c r="EN63" s="60">
        <f t="shared" si="20"/>
        <v>618.51648907761535</v>
      </c>
      <c r="EO63" s="60">
        <f ca="1">AVERAGE(OFFSET($EN$3,0,0,'Données projet'!$E$15+1,1))-AVERAGE(OFFSET($H$3,0,0,'Données projet'!$E$15+1,1))</f>
        <v>273.72403794510291</v>
      </c>
      <c r="EP63" s="60">
        <f t="shared" si="46"/>
        <v>292.00185554564109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20.3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297</v>
      </c>
      <c r="FC63" s="13">
        <f>VLOOKUP(A63,'Données projet'!$A$217:$I$237,9,0)</f>
        <v>9.375</v>
      </c>
      <c r="FD63" s="13">
        <f t="array" ref="FD63">INDEX(FC:FC,MIN(IF(ISNUMBER(FC63:FC259),ROW(FC63:FC259),"")))</f>
        <v>9.375</v>
      </c>
      <c r="FE63" s="13">
        <f>IF('Données projet'!$A$218&gt;35,FE62+FD63-FM62,IF(A63&lt;'Données projet'!$A$218,$FB$205^A63,IF(A63='Données projet'!$A$218,'Données projet'!$B$218,FE62+FD63-FM62)))</f>
        <v>296.99999999999989</v>
      </c>
      <c r="FF63" s="18">
        <f>FE63*VLOOKUP('Données projet'!$B$16,Paramètres!$A$1:$I$89,3,0)*VLOOKUP('Données projet'!$B$16,Paramètres!$A$1:$I$89,5,0)</f>
        <v>231.65999999999991</v>
      </c>
      <c r="FG63" s="14">
        <f t="shared" si="47"/>
        <v>56.641461975682766</v>
      </c>
      <c r="FH63" s="22">
        <f t="shared" si="22"/>
        <v>502.125046274314</v>
      </c>
      <c r="FI63" s="60">
        <f t="shared" si="23"/>
        <v>763.38075260579149</v>
      </c>
      <c r="FJ63" s="60">
        <f ca="1">AVERAGE(OFFSET($FI$3,0,0,'Données projet'!$E$16+1,1))-AVERAGE(OFFSET($H$3,0,0,'Données projet'!$E$16+1,1))</f>
        <v>309.21625451786218</v>
      </c>
      <c r="FK63" s="60">
        <f t="shared" si="48"/>
        <v>302.59481222418219</v>
      </c>
      <c r="FL63" s="16">
        <f>IF(ISNA(VLOOKUP(A63,'Données projet'!$A$217:$I$237,3,0)),0,VLOOKUP(A63,'Données projet'!$A$217:$I$237,3,0))</f>
        <v>7</v>
      </c>
      <c r="FM63" s="16">
        <f>IF(ISNA(VLOOKUP(A63,'Données projet'!$A$217:$I$237,4,0)),0,VLOOKUP(A63,'Données projet'!$A$217:$I$237,4,0))</f>
        <v>47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>
        <f>FZ63*VLOOKUP('Données projet'!$B$17,Paramètres!$A$1:$I$89,3,0)*VLOOKUP('Données projet'!$B$17,Paramètres!$A$1:$I$89,5,0)</f>
        <v>0</v>
      </c>
      <c r="GB63" s="14" t="e">
        <f t="shared" si="49"/>
        <v>#NUM!</v>
      </c>
      <c r="GC63" s="22" t="e">
        <f t="shared" si="25"/>
        <v>#NUM!</v>
      </c>
      <c r="GD63" s="60" t="e">
        <f t="shared" si="26"/>
        <v>#NUM!</v>
      </c>
      <c r="GE63" s="60">
        <f ca="1">AVERAGE(OFFSET($GD$3,0,0,'Données projet'!$E$17+1,1))-AVERAGE(OFFSET($H$3,0,0,'Données projet'!$E$17+1,1))</f>
        <v>216.36762889365235</v>
      </c>
      <c r="GF63" s="60">
        <f t="shared" si="50"/>
        <v>333.29599352215496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7.4531254802539371</v>
      </c>
      <c r="GM63" s="23">
        <f>EXP(-LN(2)/25)*GM62+(1-EXP(-LN(2)/25))/(LN(2)/25)*Calculateur!GH63*Calculateur!GJ63*VLOOKUP('Données projet'!$B$17,Paramètres!$A$1:$I$89,3,0)*0.475*44/12</f>
        <v>4.2436787643371305</v>
      </c>
      <c r="GN63" s="23">
        <f>EXP(-LN(2)/2)*GN62+(1-EXP(-LN(2)/2))/(LN(2)/2)*GH63*GK63*VLOOKUP('Données projet'!$B$17,Paramètres!$A$1:$I$89,3,0)*0.475*44/12</f>
        <v>8.9246450711450494E-5</v>
      </c>
      <c r="GO63" s="23">
        <f t="shared" si="27"/>
        <v>11.696893491041779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4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193.63343999999998</v>
      </c>
      <c r="P64" s="14">
        <f t="shared" si="33"/>
        <v>48.342367086681229</v>
      </c>
      <c r="Q64" s="22">
        <f t="shared" si="53"/>
        <v>421.44119734263637</v>
      </c>
      <c r="R64" s="60">
        <f t="shared" si="0"/>
        <v>683.25337878776577</v>
      </c>
      <c r="S64" s="60">
        <f ca="1">AVERAGE(OFFSET($R$3,0,0,'Données projet'!$E$9+1,1))-AVERAGE(OFFSET($H$3,0,0,'Données projet'!$E$9+1,1))</f>
        <v>496.33873798282525</v>
      </c>
      <c r="T64" s="60">
        <f t="shared" si="34"/>
        <v>280.25465074992246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11.097435897435901</v>
      </c>
      <c r="AI64" s="14">
        <f>IF('Données projet'!$A$62&gt;35,AI63+AH64-AQ63,IF(A64&lt;'Données projet'!$A$62,$AF$205^A64,IF(A64='Données projet'!$A$62,'Données projet'!$B$62,AI63+AH64-AQ63)))</f>
        <v>328.49743589743599</v>
      </c>
      <c r="AJ64" s="14">
        <f>AI64*VLOOKUP('Données projet'!$B$10,Paramètres!$A$1:$I$89,3,0)*VLOOKUP('Données projet'!$B$10,Paramètres!$A$1:$I$89,5,0)</f>
        <v>153.73680000000004</v>
      </c>
      <c r="AK64" s="14">
        <f t="shared" si="35"/>
        <v>39.426566857509222</v>
      </c>
      <c r="AL64" s="22">
        <f t="shared" si="4"/>
        <v>336.42619727682859</v>
      </c>
      <c r="AM64" s="60">
        <f t="shared" si="5"/>
        <v>598.23837872195793</v>
      </c>
      <c r="AN64" s="60">
        <f ca="1">AVERAGE(OFFSET($AM$3,0,0,'Données projet'!$E$10+1,1))-AVERAGE(OFFSET($H$3,0,0,'Données projet'!$E$10+1,1))</f>
        <v>277.7918215389401</v>
      </c>
      <c r="AO64" s="60">
        <f t="shared" si="36"/>
        <v>164.65640238394164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4.4871794871794863</v>
      </c>
      <c r="BD64" s="13">
        <f>IF('Données projet'!$A$88&gt;35,BD63+BC64-BL63,IF(A64&lt;'Données projet'!$A$88,$BA$205^A64,IF(A64='Données projet'!$A$88,'Données projet'!$B$88,BD63+BC64-BL63)))</f>
        <v>168.58974358974345</v>
      </c>
      <c r="BE64" s="14">
        <f>BD64*VLOOKUP('Données projet'!$B$11,Paramètres!$A$1:$I$89,3,0)*VLOOKUP('Données projet'!$B$11,Paramètres!$A$1:$I$89,5,0)</f>
        <v>160.42999999999986</v>
      </c>
      <c r="BF64" s="14">
        <f t="shared" si="37"/>
        <v>40.939487952030703</v>
      </c>
      <c r="BG64" s="22">
        <f t="shared" si="7"/>
        <v>350.71852484978655</v>
      </c>
      <c r="BH64" s="60">
        <f t="shared" si="8"/>
        <v>612.53070629491594</v>
      </c>
      <c r="BI64" s="60">
        <f ca="1">AVERAGE(OFFSET($BH$3,0,0,'Données projet'!$E$11+1,1))-AVERAGE(OFFSET($H$3,0,0,'Données projet'!$E$11+1,1))</f>
        <v>366.21371543563254</v>
      </c>
      <c r="BJ64" s="60">
        <f t="shared" si="38"/>
        <v>237.43356317334084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4.9999999999999947</v>
      </c>
      <c r="BY64" s="13">
        <f>IF('Données projet'!$A$114&gt;35,BY63+BX64-CG63,IF(A64&lt;'Données projet'!$A$114,$BV$205^A64,IF(A64='Données projet'!$A$114,'Données projet'!$B$114,BY63+BX64-CG63)))</f>
        <v>226.15384615384599</v>
      </c>
      <c r="BZ64" s="14">
        <f>BY64*VLOOKUP('Données projet'!$B$12,Paramètres!$A$1:$I$89,3,0)*VLOOKUP('Données projet'!$B$12,Paramètres!$A$1:$I$89,5,0)</f>
        <v>236.37599999999983</v>
      </c>
      <c r="CA64" s="14">
        <f t="shared" si="39"/>
        <v>57.659120112122238</v>
      </c>
      <c r="CB64" s="22">
        <f t="shared" si="10"/>
        <v>512.11116752861255</v>
      </c>
      <c r="CC64" s="60">
        <f t="shared" si="11"/>
        <v>773.92334897374189</v>
      </c>
      <c r="CD64" s="60">
        <f ca="1">AVERAGE(OFFSET($CC$3,0,0,'Données projet'!$E$12+1,1))-AVERAGE(OFFSET($H$3,0,0,'Données projet'!$E$12+1,1))</f>
        <v>530.79860063513229</v>
      </c>
      <c r="CE64" s="60">
        <f t="shared" si="40"/>
        <v>302.50876440460434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181.14095999999995</v>
      </c>
      <c r="CV64" s="14">
        <f t="shared" si="41"/>
        <v>45.575935320610945</v>
      </c>
      <c r="CW64" s="22">
        <f t="shared" si="13"/>
        <v>394.86525935006392</v>
      </c>
      <c r="CX64" s="60">
        <f t="shared" si="14"/>
        <v>656.67744079519321</v>
      </c>
      <c r="CY64" s="60">
        <f ca="1">AVERAGE(OFFSET($CX$3,0,0,'Données projet'!$E$13+1,1))-AVERAGE(OFFSET($H$3,0,0,'Données projet'!$E$13+1,1))</f>
        <v>469.67944008675863</v>
      </c>
      <c r="CZ64" s="60">
        <f t="shared" si="42"/>
        <v>266.11908070867173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200.19999999999996</v>
      </c>
      <c r="DP64" s="18">
        <f>DO64*VLOOKUP('Données projet'!$B$14,Paramètres!$A$1:$I$89,3,0)*VLOOKUP('Données projet'!$B$14,Paramètres!$A$1:$I$89,5,0)</f>
        <v>215.49527999999992</v>
      </c>
      <c r="DQ64" s="14">
        <f t="shared" si="43"/>
        <v>53.134631326269272</v>
      </c>
      <c r="DR64" s="22">
        <f t="shared" si="16"/>
        <v>467.86376222658549</v>
      </c>
      <c r="DS64" s="60">
        <f t="shared" si="17"/>
        <v>729.67594367171478</v>
      </c>
      <c r="DT64" s="60">
        <f ca="1">AVERAGE(OFFSET($DS$3,0,0,'Données projet'!$E$14+1,1))-AVERAGE(OFFSET($H$3,0,0,'Données projet'!$E$14+1,1))</f>
        <v>542.90832990875208</v>
      </c>
      <c r="DU64" s="60">
        <f t="shared" si="44"/>
        <v>304.94365539329362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3.4400000000000035</v>
      </c>
      <c r="EJ64" s="13">
        <f>IF('Données projet'!$A$192&gt;35,EJ63+EI64-ER63,IF(A64&lt;'Données projet'!$A$192,$EG$205^A64,IF(A64='Données projet'!$A$192,'Données projet'!$B$192,EJ63+EI64-ER63)))</f>
        <v>188.64000000000013</v>
      </c>
      <c r="EK64" s="18">
        <f>EJ64*VLOOKUP('Données projet'!$B$15,Paramètres!$A$1:$I$89,3,0)*VLOOKUP('Données projet'!$B$15,Paramètres!$A$1:$I$89,5,0)</f>
        <v>150.08198400000012</v>
      </c>
      <c r="EL64" s="14">
        <f t="shared" si="45"/>
        <v>38.597216186509378</v>
      </c>
      <c r="EM64" s="22">
        <f t="shared" si="19"/>
        <v>328.61627365817066</v>
      </c>
      <c r="EN64" s="60">
        <f t="shared" si="20"/>
        <v>590.42845510329994</v>
      </c>
      <c r="EO64" s="60">
        <f ca="1">AVERAGE(OFFSET($EN$3,0,0,'Données projet'!$E$15+1,1))-AVERAGE(OFFSET($H$3,0,0,'Données projet'!$E$15+1,1))</f>
        <v>273.72403794510291</v>
      </c>
      <c r="EP64" s="60">
        <f t="shared" si="46"/>
        <v>292.00185554564109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8.6666666666666661</v>
      </c>
      <c r="FE64" s="13">
        <f>IF('Données projet'!$A$218&gt;35,FE63+FD64-FM63,IF(A64&lt;'Données projet'!$A$218,$FB$205^A64,IF(A64='Données projet'!$A$218,'Données projet'!$B$218,FE63+FD64-FM63)))</f>
        <v>258.66666666666657</v>
      </c>
      <c r="FF64" s="18">
        <f>FE64*VLOOKUP('Données projet'!$B$16,Paramètres!$A$1:$I$89,3,0)*VLOOKUP('Données projet'!$B$16,Paramètres!$A$1:$I$89,5,0)</f>
        <v>201.75999999999993</v>
      </c>
      <c r="FG64" s="14">
        <f t="shared" si="47"/>
        <v>50.130765000424169</v>
      </c>
      <c r="FH64" s="22">
        <f t="shared" si="22"/>
        <v>438.70974904240529</v>
      </c>
      <c r="FI64" s="60">
        <f t="shared" si="23"/>
        <v>700.52193048753463</v>
      </c>
      <c r="FJ64" s="60">
        <f ca="1">AVERAGE(OFFSET($FI$3,0,0,'Données projet'!$E$16+1,1))-AVERAGE(OFFSET($H$3,0,0,'Données projet'!$E$16+1,1))</f>
        <v>309.21625451786218</v>
      </c>
      <c r="FK64" s="60">
        <f t="shared" si="48"/>
        <v>302.59481222418219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>
        <f>FZ64*VLOOKUP('Données projet'!$B$17,Paramètres!$A$1:$I$89,3,0)*VLOOKUP('Données projet'!$B$17,Paramètres!$A$1:$I$89,5,0)</f>
        <v>0</v>
      </c>
      <c r="GB64" s="14" t="e">
        <f t="shared" si="49"/>
        <v>#NUM!</v>
      </c>
      <c r="GC64" s="22" t="e">
        <f t="shared" si="25"/>
        <v>#NUM!</v>
      </c>
      <c r="GD64" s="60" t="e">
        <f t="shared" si="26"/>
        <v>#NUM!</v>
      </c>
      <c r="GE64" s="60">
        <f ca="1">AVERAGE(OFFSET($GD$3,0,0,'Données projet'!$E$17+1,1))-AVERAGE(OFFSET($H$3,0,0,'Données projet'!$E$17+1,1))</f>
        <v>216.36762889365235</v>
      </c>
      <c r="GF64" s="60">
        <f t="shared" si="50"/>
        <v>333.29599352215496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7.3069742355438239</v>
      </c>
      <c r="GM64" s="23">
        <f>EXP(-LN(2)/25)*GM63+(1-EXP(-LN(2)/25))/(LN(2)/25)*Calculateur!GH64*Calculateur!GJ64*VLOOKUP('Données projet'!$B$17,Paramètres!$A$1:$I$89,3,0)*0.475*44/12</f>
        <v>4.1276351453609648</v>
      </c>
      <c r="GN64" s="23">
        <f>EXP(-LN(2)/2)*GN63+(1-EXP(-LN(2)/2))/(LN(2)/2)*GH64*GK64*VLOOKUP('Données projet'!$B$17,Paramètres!$A$1:$I$89,3,0)*0.475*44/12</f>
        <v>6.3106770494897622E-5</v>
      </c>
      <c r="GO64" s="23">
        <f t="shared" si="27"/>
        <v>11.434672487675284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4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200.59727999999996</v>
      </c>
      <c r="P65" s="14">
        <f t="shared" si="33"/>
        <v>49.875409002022977</v>
      </c>
      <c r="Q65" s="22">
        <f t="shared" si="53"/>
        <v>436.23993334518991</v>
      </c>
      <c r="R65" s="60">
        <f t="shared" si="0"/>
        <v>698.59893630484123</v>
      </c>
      <c r="S65" s="60">
        <f ca="1">AVERAGE(OFFSET($R$3,0,0,'Données projet'!$E$9+1,1))-AVERAGE(OFFSET($H$3,0,0,'Données projet'!$E$9+1,1))</f>
        <v>496.33873798282525</v>
      </c>
      <c r="T65" s="60">
        <f t="shared" si="34"/>
        <v>280.25465074992246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11.097435897435901</v>
      </c>
      <c r="AI65" s="14">
        <f>IF('Données projet'!$A$62&gt;35,AI64+AH65-AQ64,IF(A65&lt;'Données projet'!$A$62,$AF$205^A65,IF(A65='Données projet'!$A$62,'Données projet'!$B$62,AI64+AH65-AQ64)))</f>
        <v>339.59487179487189</v>
      </c>
      <c r="AJ65" s="14">
        <f>AI65*VLOOKUP('Données projet'!$B$10,Paramètres!$A$1:$I$89,3,0)*VLOOKUP('Données projet'!$B$10,Paramètres!$A$1:$I$89,5,0)</f>
        <v>158.93040000000005</v>
      </c>
      <c r="AK65" s="14">
        <f t="shared" si="35"/>
        <v>40.60117004384621</v>
      </c>
      <c r="AL65" s="22">
        <f t="shared" si="4"/>
        <v>347.51748449303227</v>
      </c>
      <c r="AM65" s="60">
        <f t="shared" si="5"/>
        <v>609.87648745268359</v>
      </c>
      <c r="AN65" s="60">
        <f ca="1">AVERAGE(OFFSET($AM$3,0,0,'Données projet'!$E$10+1,1))-AVERAGE(OFFSET($H$3,0,0,'Données projet'!$E$10+1,1))</f>
        <v>277.7918215389401</v>
      </c>
      <c r="AO65" s="60">
        <f t="shared" si="36"/>
        <v>164.65640238394164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4.4871794871794863</v>
      </c>
      <c r="BD65" s="13">
        <f>IF('Données projet'!$A$88&gt;35,BD64+BC65-BL64,IF(A65&lt;'Données projet'!$A$88,$BA$205^A65,IF(A65='Données projet'!$A$88,'Données projet'!$B$88,BD64+BC65-BL64)))</f>
        <v>173.07692307692292</v>
      </c>
      <c r="BE65" s="14">
        <f>BD65*VLOOKUP('Données projet'!$B$11,Paramètres!$A$1:$I$89,3,0)*VLOOKUP('Données projet'!$B$11,Paramètres!$A$1:$I$89,5,0)</f>
        <v>164.69999999999985</v>
      </c>
      <c r="BF65" s="14">
        <f t="shared" si="37"/>
        <v>41.900820665095949</v>
      </c>
      <c r="BG65" s="22">
        <f t="shared" si="7"/>
        <v>359.82976265837516</v>
      </c>
      <c r="BH65" s="60">
        <f t="shared" si="8"/>
        <v>622.18876561802654</v>
      </c>
      <c r="BI65" s="60">
        <f ca="1">AVERAGE(OFFSET($BH$3,0,0,'Données projet'!$E$11+1,1))-AVERAGE(OFFSET($H$3,0,0,'Données projet'!$E$11+1,1))</f>
        <v>366.21371543563254</v>
      </c>
      <c r="BJ65" s="60">
        <f t="shared" si="38"/>
        <v>237.43356317334084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4.9999999999999947</v>
      </c>
      <c r="BY65" s="13">
        <f>IF('Données projet'!$A$114&gt;35,BY64+BX65-CG64,IF(A65&lt;'Données projet'!$A$114,$BV$205^A65,IF(A65='Données projet'!$A$114,'Données projet'!$B$114,BY64+BX65-CG64)))</f>
        <v>231.15384615384599</v>
      </c>
      <c r="BZ65" s="14">
        <f>BY65*VLOOKUP('Données projet'!$B$12,Paramètres!$A$1:$I$89,3,0)*VLOOKUP('Données projet'!$B$12,Paramètres!$A$1:$I$89,5,0)</f>
        <v>241.60199999999983</v>
      </c>
      <c r="CA65" s="14">
        <f t="shared" si="39"/>
        <v>58.784075015353338</v>
      </c>
      <c r="CB65" s="22">
        <f t="shared" si="10"/>
        <v>523.17241398507338</v>
      </c>
      <c r="CC65" s="60">
        <f t="shared" si="11"/>
        <v>785.5314169447247</v>
      </c>
      <c r="CD65" s="60">
        <f ca="1">AVERAGE(OFFSET($CC$3,0,0,'Données projet'!$E$12+1,1))-AVERAGE(OFFSET($H$3,0,0,'Données projet'!$E$12+1,1))</f>
        <v>530.79860063513229</v>
      </c>
      <c r="CE65" s="60">
        <f t="shared" si="40"/>
        <v>302.50876440460434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187.65551999999994</v>
      </c>
      <c r="CV65" s="14">
        <f t="shared" si="41"/>
        <v>47.021247649900147</v>
      </c>
      <c r="CW65" s="22">
        <f t="shared" si="13"/>
        <v>408.72870365690932</v>
      </c>
      <c r="CX65" s="60">
        <f t="shared" si="14"/>
        <v>671.08770661656058</v>
      </c>
      <c r="CY65" s="60">
        <f ca="1">AVERAGE(OFFSET($CX$3,0,0,'Données projet'!$E$13+1,1))-AVERAGE(OFFSET($H$3,0,0,'Données projet'!$E$13+1,1))</f>
        <v>469.67944008675863</v>
      </c>
      <c r="CZ65" s="60">
        <f t="shared" si="42"/>
        <v>266.11908070867173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207.39999999999995</v>
      </c>
      <c r="DP65" s="18">
        <f>DO65*VLOOKUP('Données projet'!$B$14,Paramètres!$A$1:$I$89,3,0)*VLOOKUP('Données projet'!$B$14,Paramètres!$A$1:$I$89,5,0)</f>
        <v>223.24535999999995</v>
      </c>
      <c r="DQ65" s="14">
        <f t="shared" si="43"/>
        <v>54.819646394591118</v>
      </c>
      <c r="DR65" s="22">
        <f t="shared" si="16"/>
        <v>484.29655280391279</v>
      </c>
      <c r="DS65" s="60">
        <f t="shared" si="17"/>
        <v>746.65555576356405</v>
      </c>
      <c r="DT65" s="60">
        <f ca="1">AVERAGE(OFFSET($DS$3,0,0,'Données projet'!$E$14+1,1))-AVERAGE(OFFSET($H$3,0,0,'Données projet'!$E$14+1,1))</f>
        <v>542.90832990875208</v>
      </c>
      <c r="DU65" s="60">
        <f t="shared" si="44"/>
        <v>304.94365539329362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3.4400000000000035</v>
      </c>
      <c r="EJ65" s="13">
        <f>IF('Données projet'!$A$192&gt;35,EJ64+EI65-ER64,IF(A65&lt;'Données projet'!$A$192,$EG$205^A65,IF(A65='Données projet'!$A$192,'Données projet'!$B$192,EJ64+EI65-ER64)))</f>
        <v>192.08000000000013</v>
      </c>
      <c r="EK65" s="18">
        <f>EJ65*VLOOKUP('Données projet'!$B$15,Paramètres!$A$1:$I$89,3,0)*VLOOKUP('Données projet'!$B$15,Paramètres!$A$1:$I$89,5,0)</f>
        <v>152.81884800000012</v>
      </c>
      <c r="EL65" s="14">
        <f t="shared" si="45"/>
        <v>39.218483170138413</v>
      </c>
      <c r="EM65" s="22">
        <f t="shared" si="19"/>
        <v>334.46501845465792</v>
      </c>
      <c r="EN65" s="60">
        <f t="shared" si="20"/>
        <v>596.8240214143093</v>
      </c>
      <c r="EO65" s="60">
        <f ca="1">AVERAGE(OFFSET($EN$3,0,0,'Données projet'!$E$15+1,1))-AVERAGE(OFFSET($H$3,0,0,'Données projet'!$E$15+1,1))</f>
        <v>273.72403794510291</v>
      </c>
      <c r="EP65" s="60">
        <f t="shared" si="46"/>
        <v>292.00185554564109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8.6666666666666661</v>
      </c>
      <c r="FE65" s="13">
        <f>IF('Données projet'!$A$218&gt;35,FE64+FD65-FM64,IF(A65&lt;'Données projet'!$A$218,$FB$205^A65,IF(A65='Données projet'!$A$218,'Données projet'!$B$218,FE64+FD65-FM64)))</f>
        <v>267.33333333333326</v>
      </c>
      <c r="FF65" s="18">
        <f>FE65*VLOOKUP('Données projet'!$B$16,Paramètres!$A$1:$I$89,3,0)*VLOOKUP('Données projet'!$B$16,Paramètres!$A$1:$I$89,5,0)</f>
        <v>208.51999999999995</v>
      </c>
      <c r="FG65" s="14">
        <f t="shared" si="47"/>
        <v>51.612035456318459</v>
      </c>
      <c r="FH65" s="22">
        <f t="shared" si="22"/>
        <v>453.06329508642119</v>
      </c>
      <c r="FI65" s="60">
        <f t="shared" si="23"/>
        <v>715.42229804607246</v>
      </c>
      <c r="FJ65" s="60">
        <f ca="1">AVERAGE(OFFSET($FI$3,0,0,'Données projet'!$E$16+1,1))-AVERAGE(OFFSET($H$3,0,0,'Données projet'!$E$16+1,1))</f>
        <v>309.21625451786218</v>
      </c>
      <c r="FK65" s="60">
        <f t="shared" si="48"/>
        <v>302.59481222418219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>
        <f>FZ65*VLOOKUP('Données projet'!$B$17,Paramètres!$A$1:$I$89,3,0)*VLOOKUP('Données projet'!$B$17,Paramètres!$A$1:$I$89,5,0)</f>
        <v>0</v>
      </c>
      <c r="GB65" s="14" t="e">
        <f t="shared" si="49"/>
        <v>#NUM!</v>
      </c>
      <c r="GC65" s="22" t="e">
        <f t="shared" si="25"/>
        <v>#NUM!</v>
      </c>
      <c r="GD65" s="60" t="e">
        <f t="shared" si="26"/>
        <v>#NUM!</v>
      </c>
      <c r="GE65" s="60">
        <f ca="1">AVERAGE(OFFSET($GD$3,0,0,'Données projet'!$E$17+1,1))-AVERAGE(OFFSET($H$3,0,0,'Données projet'!$E$17+1,1))</f>
        <v>216.36762889365235</v>
      </c>
      <c r="GF65" s="60">
        <f t="shared" si="50"/>
        <v>333.29599352215496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7.1636889275990194</v>
      </c>
      <c r="GM65" s="23">
        <f>EXP(-LN(2)/25)*GM64+(1-EXP(-LN(2)/25))/(LN(2)/25)*Calculateur!GH65*Calculateur!GJ65*VLOOKUP('Données projet'!$B$17,Paramètres!$A$1:$I$89,3,0)*0.475*44/12</f>
        <v>4.0147647452481703</v>
      </c>
      <c r="GN65" s="23">
        <f>EXP(-LN(2)/2)*GN64+(1-EXP(-LN(2)/2))/(LN(2)/2)*GH65*GK65*VLOOKUP('Données projet'!$B$17,Paramètres!$A$1:$I$89,3,0)*0.475*44/12</f>
        <v>4.4623225355725247E-5</v>
      </c>
      <c r="GO65" s="23">
        <f t="shared" si="27"/>
        <v>11.178498296072547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4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207.56111999999996</v>
      </c>
      <c r="P66" s="14">
        <f t="shared" si="33"/>
        <v>51.40226725537714</v>
      </c>
      <c r="Q66" s="22">
        <f t="shared" si="53"/>
        <v>451.02789946978169</v>
      </c>
      <c r="R66" s="60">
        <f t="shared" si="0"/>
        <v>713.9242378131878</v>
      </c>
      <c r="S66" s="60">
        <f ca="1">AVERAGE(OFFSET($R$3,0,0,'Données projet'!$E$9+1,1))-AVERAGE(OFFSET($H$3,0,0,'Données projet'!$E$9+1,1))</f>
        <v>496.33873798282525</v>
      </c>
      <c r="T66" s="60">
        <f t="shared" si="34"/>
        <v>280.25465074992246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>
        <f>VLOOKUP(A66,'Données projet'!$A$61:$I$81,2,0)</f>
        <v>350.69230769230768</v>
      </c>
      <c r="AG66" s="13">
        <f>VLOOKUP(A66,'Données projet'!$A$61:$I$81,9,0)</f>
        <v>11.097435897435901</v>
      </c>
      <c r="AH66" s="13">
        <f t="array" ref="AH66">INDEX(AG:AG,MIN(IF(ISNUMBER(AG66:AG262),ROW(AG66:AG262),"")))</f>
        <v>11.097435897435901</v>
      </c>
      <c r="AI66" s="14">
        <f>IF('Données projet'!$A$62&gt;35,AI65+AH66-AQ65,IF(A66&lt;'Données projet'!$A$62,$AF$205^A66,IF(A66='Données projet'!$A$62,'Données projet'!$B$62,AI65+AH66-AQ65)))</f>
        <v>350.69230769230779</v>
      </c>
      <c r="AJ66" s="14">
        <f>AI66*VLOOKUP('Données projet'!$B$10,Paramètres!$A$1:$I$89,3,0)*VLOOKUP('Données projet'!$B$10,Paramètres!$A$1:$I$89,5,0)</f>
        <v>164.12400000000005</v>
      </c>
      <c r="AK66" s="14">
        <f t="shared" si="35"/>
        <v>41.771312955270567</v>
      </c>
      <c r="AL66" s="22">
        <f t="shared" si="4"/>
        <v>358.60100339709629</v>
      </c>
      <c r="AM66" s="60">
        <f t="shared" si="5"/>
        <v>621.49734174050241</v>
      </c>
      <c r="AN66" s="60">
        <f ca="1">AVERAGE(OFFSET($AM$3,0,0,'Données projet'!$E$10+1,1))-AVERAGE(OFFSET($H$3,0,0,'Données projet'!$E$10+1,1))</f>
        <v>277.7918215389401</v>
      </c>
      <c r="AO66" s="60">
        <f t="shared" si="36"/>
        <v>164.65640238394164</v>
      </c>
      <c r="AP66" s="16">
        <f>IF(ISNA(VLOOKUP(A66,'Données projet'!$A$61:$I$81,3,0)),0,VLOOKUP(A66,'Données projet'!$A$61:$I$81,3,0))</f>
        <v>2</v>
      </c>
      <c r="AQ66" s="16">
        <f>IF(ISNA(VLOOKUP(A66,'Données projet'!$A$61:$I$81,4,0)),0,VLOOKUP(A66,'Données projet'!$A$61:$I$81,4,0))</f>
        <v>108.0923076923077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4.4871794871794863</v>
      </c>
      <c r="BD66" s="13">
        <f>IF('Données projet'!$A$88&gt;35,BD65+BC66-BL65,IF(A66&lt;'Données projet'!$A$88,$BA$205^A66,IF(A66='Données projet'!$A$88,'Données projet'!$B$88,BD65+BC66-BL65)))</f>
        <v>177.5641025641024</v>
      </c>
      <c r="BE66" s="14">
        <f>BD66*VLOOKUP('Données projet'!$B$11,Paramètres!$A$1:$I$89,3,0)*VLOOKUP('Données projet'!$B$11,Paramètres!$A$1:$I$89,5,0)</f>
        <v>168.96999999999983</v>
      </c>
      <c r="BF66" s="14">
        <f t="shared" si="37"/>
        <v>42.859256319711662</v>
      </c>
      <c r="BG66" s="22">
        <f t="shared" si="7"/>
        <v>368.93595475683082</v>
      </c>
      <c r="BH66" s="60">
        <f t="shared" si="8"/>
        <v>631.83229310023694</v>
      </c>
      <c r="BI66" s="60">
        <f ca="1">AVERAGE(OFFSET($BH$3,0,0,'Données projet'!$E$11+1,1))-AVERAGE(OFFSET($H$3,0,0,'Données projet'!$E$11+1,1))</f>
        <v>366.21371543563254</v>
      </c>
      <c r="BJ66" s="60">
        <f t="shared" si="38"/>
        <v>237.43356317334084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4.9999999999999947</v>
      </c>
      <c r="BY66" s="13">
        <f>IF('Données projet'!$A$114&gt;35,BY65+BX66-CG65,IF(A66&lt;'Données projet'!$A$114,$BV$205^A66,IF(A66='Données projet'!$A$114,'Données projet'!$B$114,BY65+BX66-CG65)))</f>
        <v>236.15384615384599</v>
      </c>
      <c r="BZ66" s="14">
        <f>BY66*VLOOKUP('Données projet'!$B$12,Paramètres!$A$1:$I$89,3,0)*VLOOKUP('Données projet'!$B$12,Paramètres!$A$1:$I$89,5,0)</f>
        <v>246.82799999999986</v>
      </c>
      <c r="CA66" s="14">
        <f t="shared" si="39"/>
        <v>59.906200832567379</v>
      </c>
      <c r="CB66" s="22">
        <f t="shared" si="10"/>
        <v>534.22873311672129</v>
      </c>
      <c r="CC66" s="60">
        <f t="shared" si="11"/>
        <v>797.1250714601274</v>
      </c>
      <c r="CD66" s="60">
        <f ca="1">AVERAGE(OFFSET($CC$3,0,0,'Données projet'!$E$12+1,1))-AVERAGE(OFFSET($H$3,0,0,'Données projet'!$E$12+1,1))</f>
        <v>530.79860063513229</v>
      </c>
      <c r="CE66" s="60">
        <f t="shared" si="40"/>
        <v>302.50876440460434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194.17007999999996</v>
      </c>
      <c r="CV66" s="14">
        <f t="shared" si="41"/>
        <v>48.460730182351035</v>
      </c>
      <c r="CW66" s="22">
        <f t="shared" si="13"/>
        <v>422.5819944009279</v>
      </c>
      <c r="CX66" s="60">
        <f t="shared" si="14"/>
        <v>685.47833274433401</v>
      </c>
      <c r="CY66" s="60">
        <f ca="1">AVERAGE(OFFSET($CX$3,0,0,'Données projet'!$E$13+1,1))-AVERAGE(OFFSET($H$3,0,0,'Données projet'!$E$13+1,1))</f>
        <v>469.67944008675863</v>
      </c>
      <c r="CZ66" s="60">
        <f t="shared" si="42"/>
        <v>266.11908070867173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214.59999999999994</v>
      </c>
      <c r="DP66" s="18">
        <f>DO66*VLOOKUP('Données projet'!$B$14,Paramètres!$A$1:$I$89,3,0)*VLOOKUP('Données projet'!$B$14,Paramètres!$A$1:$I$89,5,0)</f>
        <v>230.99543999999995</v>
      </c>
      <c r="DQ66" s="14">
        <f t="shared" si="43"/>
        <v>56.497864803589785</v>
      </c>
      <c r="DR66" s="22">
        <f t="shared" si="16"/>
        <v>500.71750586625211</v>
      </c>
      <c r="DS66" s="60">
        <f t="shared" si="17"/>
        <v>763.61384420965828</v>
      </c>
      <c r="DT66" s="60">
        <f ca="1">AVERAGE(OFFSET($DS$3,0,0,'Données projet'!$E$14+1,1))-AVERAGE(OFFSET($H$3,0,0,'Données projet'!$E$14+1,1))</f>
        <v>542.90832990875208</v>
      </c>
      <c r="DU66" s="60">
        <f t="shared" si="44"/>
        <v>304.94365539329362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3.4400000000000035</v>
      </c>
      <c r="EJ66" s="13">
        <f>IF('Données projet'!$A$192&gt;35,EJ65+EI66-ER65,IF(A66&lt;'Données projet'!$A$192,$EG$205^A66,IF(A66='Données projet'!$A$192,'Données projet'!$B$192,EJ65+EI66-ER65)))</f>
        <v>195.52000000000012</v>
      </c>
      <c r="EK66" s="18">
        <f>EJ66*VLOOKUP('Données projet'!$B$15,Paramètres!$A$1:$I$89,3,0)*VLOOKUP('Données projet'!$B$15,Paramètres!$A$1:$I$89,5,0)</f>
        <v>155.55571200000011</v>
      </c>
      <c r="EL66" s="14">
        <f t="shared" si="45"/>
        <v>39.83845631696316</v>
      </c>
      <c r="EM66" s="22">
        <f t="shared" si="19"/>
        <v>340.31150981871093</v>
      </c>
      <c r="EN66" s="60">
        <f t="shared" si="20"/>
        <v>603.20784816211699</v>
      </c>
      <c r="EO66" s="60">
        <f ca="1">AVERAGE(OFFSET($EN$3,0,0,'Données projet'!$E$15+1,1))-AVERAGE(OFFSET($H$3,0,0,'Données projet'!$E$15+1,1))</f>
        <v>273.72403794510291</v>
      </c>
      <c r="EP66" s="60">
        <f t="shared" si="46"/>
        <v>292.00185554564109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8.6666666666666661</v>
      </c>
      <c r="FE66" s="13">
        <f>IF('Données projet'!$A$218&gt;35,FE65+FD66-FM65,IF(A66&lt;'Données projet'!$A$218,$FB$205^A66,IF(A66='Données projet'!$A$218,'Données projet'!$B$218,FE65+FD66-FM65)))</f>
        <v>275.99999999999994</v>
      </c>
      <c r="FF66" s="18">
        <f>FE66*VLOOKUP('Données projet'!$B$16,Paramètres!$A$1:$I$89,3,0)*VLOOKUP('Données projet'!$B$16,Paramètres!$A$1:$I$89,5,0)</f>
        <v>215.27999999999997</v>
      </c>
      <c r="FG66" s="14">
        <f t="shared" si="47"/>
        <v>53.087725740853138</v>
      </c>
      <c r="FH66" s="22">
        <f t="shared" si="22"/>
        <v>467.40712233198587</v>
      </c>
      <c r="FI66" s="60">
        <f t="shared" si="23"/>
        <v>730.30346067539199</v>
      </c>
      <c r="FJ66" s="60">
        <f ca="1">AVERAGE(OFFSET($FI$3,0,0,'Données projet'!$E$16+1,1))-AVERAGE(OFFSET($H$3,0,0,'Données projet'!$E$16+1,1))</f>
        <v>309.21625451786218</v>
      </c>
      <c r="FK66" s="60">
        <f t="shared" si="48"/>
        <v>302.59481222418219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>
        <f>FZ66*VLOOKUP('Données projet'!$B$17,Paramètres!$A$1:$I$89,3,0)*VLOOKUP('Données projet'!$B$17,Paramètres!$A$1:$I$89,5,0)</f>
        <v>0</v>
      </c>
      <c r="GB66" s="14" t="e">
        <f t="shared" si="49"/>
        <v>#NUM!</v>
      </c>
      <c r="GC66" s="22" t="e">
        <f t="shared" si="25"/>
        <v>#NUM!</v>
      </c>
      <c r="GD66" s="60" t="e">
        <f t="shared" si="26"/>
        <v>#NUM!</v>
      </c>
      <c r="GE66" s="60">
        <f ca="1">AVERAGE(OFFSET($GD$3,0,0,'Données projet'!$E$17+1,1))-AVERAGE(OFFSET($H$3,0,0,'Données projet'!$E$17+1,1))</f>
        <v>216.36762889365235</v>
      </c>
      <c r="GF66" s="60">
        <f t="shared" si="50"/>
        <v>333.29599352215496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7.0232133571476041</v>
      </c>
      <c r="GM66" s="23">
        <f>EXP(-LN(2)/25)*GM65+(1-EXP(-LN(2)/25))/(LN(2)/25)*Calculateur!GH66*Calculateur!GJ66*VLOOKUP('Données projet'!$B$17,Paramètres!$A$1:$I$89,3,0)*0.475*44/12</f>
        <v>3.904980792162057</v>
      </c>
      <c r="GN66" s="23">
        <f>EXP(-LN(2)/2)*GN65+(1-EXP(-LN(2)/2))/(LN(2)/2)*GH66*GK66*VLOOKUP('Données projet'!$B$17,Paramètres!$A$1:$I$89,3,0)*0.475*44/12</f>
        <v>3.1553385247448811E-5</v>
      </c>
      <c r="GO66" s="23">
        <f t="shared" si="27"/>
        <v>10.928225702694908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4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214.52495999999994</v>
      </c>
      <c r="P67" s="14">
        <f t="shared" si="33"/>
        <v>52.923173099085716</v>
      </c>
      <c r="Q67" s="22">
        <f t="shared" ref="Q67:Q98" si="54">(O67+P67)*0.475*44/12</f>
        <v>465.80549848090754</v>
      </c>
      <c r="R67" s="60">
        <f t="shared" ref="R67:R130" si="55">Q67+(I67+J67)*44/12</f>
        <v>729.22985064046225</v>
      </c>
      <c r="S67" s="60">
        <f ca="1">AVERAGE(OFFSET($R$3,0,0,'Données projet'!$E$9+1,1))-AVERAGE(OFFSET($H$3,0,0,'Données projet'!$E$9+1,1))</f>
        <v>496.33873798282525</v>
      </c>
      <c r="T67" s="60">
        <f t="shared" si="34"/>
        <v>280.25465074992246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9.6538461538461604</v>
      </c>
      <c r="AI67" s="14">
        <f>IF('Données projet'!$A$62&gt;35,AI66+AH67-AQ66,IF(A67&lt;'Données projet'!$A$62,$AF$205^A67,IF(A67='Données projet'!$A$62,'Données projet'!$B$62,AI66+AH67-AQ66)))</f>
        <v>252.25384615384621</v>
      </c>
      <c r="AJ67" s="14">
        <f>AI67*VLOOKUP('Données projet'!$B$10,Paramètres!$A$1:$I$89,3,0)*VLOOKUP('Données projet'!$B$10,Paramètres!$A$1:$I$89,5,0)</f>
        <v>118.05480000000003</v>
      </c>
      <c r="AK67" s="14">
        <f t="shared" si="35"/>
        <v>31.220882716329786</v>
      </c>
      <c r="AL67" s="22">
        <f t="shared" si="4"/>
        <v>259.98848073094109</v>
      </c>
      <c r="AM67" s="60">
        <f t="shared" si="5"/>
        <v>523.41283289049579</v>
      </c>
      <c r="AN67" s="60">
        <f ca="1">AVERAGE(OFFSET($AM$3,0,0,'Données projet'!$E$10+1,1))-AVERAGE(OFFSET($H$3,0,0,'Données projet'!$E$10+1,1))</f>
        <v>277.7918215389401</v>
      </c>
      <c r="AO67" s="60">
        <f t="shared" si="36"/>
        <v>164.65640238394164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4.4871794871794863</v>
      </c>
      <c r="BD67" s="13">
        <f>IF('Données projet'!$A$88&gt;35,BD66+BC67-BL66,IF(A67&lt;'Données projet'!$A$88,$BA$205^A67,IF(A67='Données projet'!$A$88,'Données projet'!$B$88,BD66+BC67-BL66)))</f>
        <v>182.05128205128187</v>
      </c>
      <c r="BE67" s="14">
        <f>BD67*VLOOKUP('Données projet'!$B$11,Paramètres!$A$1:$I$89,3,0)*VLOOKUP('Données projet'!$B$11,Paramètres!$A$1:$I$89,5,0)</f>
        <v>173.23999999999984</v>
      </c>
      <c r="BF67" s="14">
        <f t="shared" si="37"/>
        <v>43.814876545973412</v>
      </c>
      <c r="BG67" s="22">
        <f t="shared" si="7"/>
        <v>378.03724331757007</v>
      </c>
      <c r="BH67" s="60">
        <f t="shared" si="8"/>
        <v>641.46159547712477</v>
      </c>
      <c r="BI67" s="60">
        <f ca="1">AVERAGE(OFFSET($BH$3,0,0,'Données projet'!$E$11+1,1))-AVERAGE(OFFSET($H$3,0,0,'Données projet'!$E$11+1,1))</f>
        <v>366.21371543563254</v>
      </c>
      <c r="BJ67" s="60">
        <f t="shared" si="38"/>
        <v>237.43356317334084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4.9999999999999947</v>
      </c>
      <c r="BY67" s="13">
        <f>IF('Données projet'!$A$114&gt;35,BY66+BX67-CG66,IF(A67&lt;'Données projet'!$A$114,$BV$205^A67,IF(A67='Données projet'!$A$114,'Données projet'!$B$114,BY66+BX67-CG66)))</f>
        <v>241.15384615384599</v>
      </c>
      <c r="BZ67" s="14">
        <f>BY67*VLOOKUP('Données projet'!$B$12,Paramètres!$A$1:$I$89,3,0)*VLOOKUP('Données projet'!$B$12,Paramètres!$A$1:$I$89,5,0)</f>
        <v>252.05399999999986</v>
      </c>
      <c r="CA67" s="14">
        <f t="shared" si="39"/>
        <v>61.025564362992029</v>
      </c>
      <c r="CB67" s="22">
        <f t="shared" si="10"/>
        <v>545.28024126554419</v>
      </c>
      <c r="CC67" s="60">
        <f t="shared" si="11"/>
        <v>808.70459342509889</v>
      </c>
      <c r="CD67" s="60">
        <f ca="1">AVERAGE(OFFSET($CC$3,0,0,'Données projet'!$E$12+1,1))-AVERAGE(OFFSET($H$3,0,0,'Données projet'!$E$12+1,1))</f>
        <v>530.79860063513229</v>
      </c>
      <c r="CE67" s="60">
        <f t="shared" si="40"/>
        <v>302.50876440460434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200.68463999999992</v>
      </c>
      <c r="CV67" s="14">
        <f t="shared" si="41"/>
        <v>49.894600936700193</v>
      </c>
      <c r="CW67" s="22">
        <f t="shared" si="13"/>
        <v>436.42551129808606</v>
      </c>
      <c r="CX67" s="60">
        <f t="shared" si="14"/>
        <v>699.84986345764082</v>
      </c>
      <c r="CY67" s="60">
        <f ca="1">AVERAGE(OFFSET($CX$3,0,0,'Données projet'!$E$13+1,1))-AVERAGE(OFFSET($H$3,0,0,'Données projet'!$E$13+1,1))</f>
        <v>469.67944008675863</v>
      </c>
      <c r="CZ67" s="60">
        <f t="shared" si="42"/>
        <v>266.11908070867173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221.79999999999993</v>
      </c>
      <c r="DP67" s="18">
        <f>DO67*VLOOKUP('Données projet'!$B$14,Paramètres!$A$1:$I$89,3,0)*VLOOKUP('Données projet'!$B$14,Paramètres!$A$1:$I$89,5,0)</f>
        <v>238.74551999999991</v>
      </c>
      <c r="DQ67" s="14">
        <f t="shared" si="43"/>
        <v>58.169540730060781</v>
      </c>
      <c r="DR67" s="22">
        <f t="shared" si="16"/>
        <v>517.12706410485578</v>
      </c>
      <c r="DS67" s="60">
        <f t="shared" si="17"/>
        <v>780.55141626441059</v>
      </c>
      <c r="DT67" s="60">
        <f ca="1">AVERAGE(OFFSET($DS$3,0,0,'Données projet'!$E$14+1,1))-AVERAGE(OFFSET($H$3,0,0,'Données projet'!$E$14+1,1))</f>
        <v>542.90832990875208</v>
      </c>
      <c r="DU67" s="60">
        <f t="shared" si="44"/>
        <v>304.94365539329362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3.4400000000000035</v>
      </c>
      <c r="EJ67" s="13">
        <f>IF('Données projet'!$A$192&gt;35,EJ66+EI67-ER66,IF(A67&lt;'Données projet'!$A$192,$EG$205^A67,IF(A67='Données projet'!$A$192,'Données projet'!$B$192,EJ66+EI67-ER66)))</f>
        <v>198.96000000000012</v>
      </c>
      <c r="EK67" s="18">
        <f>EJ67*VLOOKUP('Données projet'!$B$15,Paramètres!$A$1:$I$89,3,0)*VLOOKUP('Données projet'!$B$15,Paramètres!$A$1:$I$89,5,0)</f>
        <v>158.29257600000011</v>
      </c>
      <c r="EL67" s="14">
        <f t="shared" si="45"/>
        <v>40.457161017242292</v>
      </c>
      <c r="EM67" s="22">
        <f t="shared" si="19"/>
        <v>346.15579197169717</v>
      </c>
      <c r="EN67" s="60">
        <f t="shared" si="20"/>
        <v>609.58014413125193</v>
      </c>
      <c r="EO67" s="60">
        <f ca="1">AVERAGE(OFFSET($EN$3,0,0,'Données projet'!$E$15+1,1))-AVERAGE(OFFSET($H$3,0,0,'Données projet'!$E$15+1,1))</f>
        <v>273.72403794510291</v>
      </c>
      <c r="EP67" s="60">
        <f t="shared" si="46"/>
        <v>292.00185554564109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8.6666666666666661</v>
      </c>
      <c r="FE67" s="13">
        <f>IF('Données projet'!$A$218&gt;35,FE66+FD67-FM66,IF(A67&lt;'Données projet'!$A$218,$FB$205^A67,IF(A67='Données projet'!$A$218,'Données projet'!$B$218,FE66+FD67-FM66)))</f>
        <v>284.66666666666663</v>
      </c>
      <c r="FF67" s="18">
        <f>FE67*VLOOKUP('Données projet'!$B$16,Paramètres!$A$1:$I$89,3,0)*VLOOKUP('Données projet'!$B$16,Paramètres!$A$1:$I$89,5,0)</f>
        <v>222.04</v>
      </c>
      <c r="FG67" s="14">
        <f t="shared" si="47"/>
        <v>54.558031180803546</v>
      </c>
      <c r="FH67" s="22">
        <f t="shared" si="22"/>
        <v>481.74157097323285</v>
      </c>
      <c r="FI67" s="60">
        <f t="shared" si="23"/>
        <v>745.16592313278761</v>
      </c>
      <c r="FJ67" s="60">
        <f ca="1">AVERAGE(OFFSET($FI$3,0,0,'Données projet'!$E$16+1,1))-AVERAGE(OFFSET($H$3,0,0,'Données projet'!$E$16+1,1))</f>
        <v>309.21625451786218</v>
      </c>
      <c r="FK67" s="60">
        <f t="shared" si="48"/>
        <v>302.59481222418219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>
        <f>FZ67*VLOOKUP('Données projet'!$B$17,Paramètres!$A$1:$I$89,3,0)*VLOOKUP('Données projet'!$B$17,Paramètres!$A$1:$I$89,5,0)</f>
        <v>0</v>
      </c>
      <c r="GB67" s="14" t="e">
        <f t="shared" si="49"/>
        <v>#NUM!</v>
      </c>
      <c r="GC67" s="22" t="e">
        <f t="shared" si="25"/>
        <v>#NUM!</v>
      </c>
      <c r="GD67" s="60" t="e">
        <f t="shared" si="26"/>
        <v>#NUM!</v>
      </c>
      <c r="GE67" s="60">
        <f ca="1">AVERAGE(OFFSET($GD$3,0,0,'Données projet'!$E$17+1,1))-AVERAGE(OFFSET($H$3,0,0,'Données projet'!$E$17+1,1))</f>
        <v>216.36762889365235</v>
      </c>
      <c r="GF67" s="60">
        <f t="shared" si="50"/>
        <v>333.29599352215496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6.8854924269511031</v>
      </c>
      <c r="GM67" s="23">
        <f>EXP(-LN(2)/25)*GM66+(1-EXP(-LN(2)/25))/(LN(2)/25)*Calculateur!GH67*Calculateur!GJ67*VLOOKUP('Données projet'!$B$17,Paramètres!$A$1:$I$89,3,0)*0.475*44/12</f>
        <v>3.7981988870463708</v>
      </c>
      <c r="GN67" s="23">
        <f>EXP(-LN(2)/2)*GN66+(1-EXP(-LN(2)/2))/(LN(2)/2)*GH67*GK67*VLOOKUP('Données projet'!$B$17,Paramètres!$A$1:$I$89,3,0)*0.475*44/12</f>
        <v>2.2311612677862624E-5</v>
      </c>
      <c r="GO67" s="23">
        <f t="shared" si="27"/>
        <v>10.683713625610153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4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221.48879999999991</v>
      </c>
      <c r="P68" s="14">
        <f t="shared" si="33"/>
        <v>54.43834191952984</v>
      </c>
      <c r="Q68" s="22">
        <f t="shared" si="54"/>
        <v>480.57310550984766</v>
      </c>
      <c r="R68" s="60">
        <f t="shared" si="55"/>
        <v>744.51631162630292</v>
      </c>
      <c r="S68" s="60">
        <f ca="1">AVERAGE(OFFSET($R$3,0,0,'Données projet'!$E$9+1,1))-AVERAGE(OFFSET($H$3,0,0,'Données projet'!$E$9+1,1))</f>
        <v>496.33873798282525</v>
      </c>
      <c r="T68" s="60">
        <f t="shared" si="34"/>
        <v>280.25465074992246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261.90769230769229</v>
      </c>
      <c r="AG68" s="13">
        <f>VLOOKUP(A68,'Données projet'!$A$61:$I$81,9,0)</f>
        <v>9.6538461538461604</v>
      </c>
      <c r="AH68" s="13">
        <f t="array" ref="AH68">INDEX(AG:AG,MIN(IF(ISNUMBER(AG68:AG264),ROW(AG68:AG264),"")))</f>
        <v>9.6538461538461604</v>
      </c>
      <c r="AI68" s="14">
        <f>IF('Données projet'!$A$62&gt;35,AI67+AH68-AQ67,IF(A68&lt;'Données projet'!$A$62,$AF$205^A68,IF(A68='Données projet'!$A$62,'Données projet'!$B$62,AI67+AH68-AQ67)))</f>
        <v>261.9076923076924</v>
      </c>
      <c r="AJ68" s="14">
        <f>AI68*VLOOKUP('Données projet'!$B$10,Paramètres!$A$1:$I$89,3,0)*VLOOKUP('Données projet'!$B$10,Paramètres!$A$1:$I$89,5,0)</f>
        <v>122.57280000000004</v>
      </c>
      <c r="AK68" s="14">
        <f t="shared" si="35"/>
        <v>32.274319787267089</v>
      </c>
      <c r="AL68" s="22">
        <f t="shared" ref="AL68:AL131" si="58">(AJ68+AK68)*0.475*44/12</f>
        <v>269.69206696282356</v>
      </c>
      <c r="AM68" s="60">
        <f t="shared" ref="AM68:AM131" si="59">AL68+(AD68+AE68)*44/12</f>
        <v>533.6352730792787</v>
      </c>
      <c r="AN68" s="60">
        <f ca="1">AVERAGE(OFFSET($AM$3,0,0,'Données projet'!$E$10+1,1))-AVERAGE(OFFSET($H$3,0,0,'Données projet'!$E$10+1,1))</f>
        <v>277.7918215389401</v>
      </c>
      <c r="AO68" s="60">
        <f t="shared" si="36"/>
        <v>164.65640238394164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186.53846153846152</v>
      </c>
      <c r="BB68" s="13">
        <f>VLOOKUP(A68,'Données projet'!$A$87:$I$107,9,0)</f>
        <v>4.4871794871794863</v>
      </c>
      <c r="BC68" s="13">
        <f t="array" ref="BC68">INDEX(BB:BB,MIN(IF(ISNUMBER(BB68:BB264),ROW(BB68:BB264),"")))</f>
        <v>4.4871794871794863</v>
      </c>
      <c r="BD68" s="13">
        <f>IF('Données projet'!$A$88&gt;35,BD67+BC68-BL67,IF(A68&lt;'Données projet'!$A$88,$BA$205^A68,IF(A68='Données projet'!$A$88,'Données projet'!$B$88,BD67+BC68-BL67)))</f>
        <v>186.53846153846135</v>
      </c>
      <c r="BE68" s="14">
        <f>BD68*VLOOKUP('Données projet'!$B$11,Paramètres!$A$1:$I$89,3,0)*VLOOKUP('Données projet'!$B$11,Paramètres!$A$1:$I$89,5,0)</f>
        <v>177.50999999999982</v>
      </c>
      <c r="BF68" s="14">
        <f t="shared" si="37"/>
        <v>44.767758720564856</v>
      </c>
      <c r="BG68" s="22">
        <f t="shared" ref="BG68:BG131" si="61">(BE68+BF68)*0.475*44/12</f>
        <v>387.13376310498347</v>
      </c>
      <c r="BH68" s="60">
        <f t="shared" ref="BH68:BH131" si="62">BG68+(AY68+AZ68)*44/12</f>
        <v>651.07696922143873</v>
      </c>
      <c r="BI68" s="60">
        <f ca="1">AVERAGE(OFFSET($BH$3,0,0,'Données projet'!$E$11+1,1))-AVERAGE(OFFSET($H$3,0,0,'Données projet'!$E$11+1,1))</f>
        <v>366.21371543563254</v>
      </c>
      <c r="BJ68" s="60">
        <f t="shared" si="38"/>
        <v>237.43356317334084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28.205128205128204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246.15384615384613</v>
      </c>
      <c r="BW68" s="13">
        <f>VLOOKUP(A68,'Données projet'!$A$113:$I$133,9,0)</f>
        <v>4.9999999999999947</v>
      </c>
      <c r="BX68" s="13">
        <f t="array" ref="BX68">INDEX(BW:BW,MIN(IF(ISNUMBER(BW68:BW264),ROW(BW68:BW264),"")))</f>
        <v>4.9999999999999947</v>
      </c>
      <c r="BY68" s="13">
        <f>IF('Données projet'!$A$114&gt;35,BY67+BX68-CG67,IF(A68&lt;'Données projet'!$A$114,$BV$205^A68,IF(A68='Données projet'!$A$114,'Données projet'!$B$114,BY67+BX68-CG67)))</f>
        <v>246.15384615384599</v>
      </c>
      <c r="BZ68" s="14">
        <f>BY68*VLOOKUP('Données projet'!$B$12,Paramètres!$A$1:$I$89,3,0)*VLOOKUP('Données projet'!$B$12,Paramètres!$A$1:$I$89,5,0)</f>
        <v>257.27999999999986</v>
      </c>
      <c r="CA68" s="14">
        <f t="shared" si="39"/>
        <v>62.142229477562289</v>
      </c>
      <c r="CB68" s="22">
        <f t="shared" ref="CB68:CB131" si="64">(BZ68+CA68)*0.475*44/12</f>
        <v>556.32704967342067</v>
      </c>
      <c r="CC68" s="60">
        <f t="shared" ref="CC68:CC131" si="65">CB68+(BT68+BU68)*44/12</f>
        <v>820.27025578987582</v>
      </c>
      <c r="CD68" s="60">
        <f ca="1">AVERAGE(OFFSET($CC$3,0,0,'Données projet'!$E$12+1,1))-AVERAGE(OFFSET($H$3,0,0,'Données projet'!$E$12+1,1))</f>
        <v>530.79860063513229</v>
      </c>
      <c r="CE68" s="60">
        <f t="shared" si="40"/>
        <v>302.50876440460434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23.717948717948715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207.19919999999991</v>
      </c>
      <c r="CV68" s="14">
        <f t="shared" si="41"/>
        <v>51.3230629736655</v>
      </c>
      <c r="CW68" s="22">
        <f t="shared" ref="CW68:CW131" si="67">(CU68+CV68)*0.475*44/12</f>
        <v>450.25960801246725</v>
      </c>
      <c r="CX68" s="60">
        <f t="shared" ref="CX68:CX131" si="68">CW68+(CO68+CP68)*44/12</f>
        <v>714.20281412892245</v>
      </c>
      <c r="CY68" s="60">
        <f ca="1">AVERAGE(OFFSET($CX$3,0,0,'Données projet'!$E$13+1,1))-AVERAGE(OFFSET($H$3,0,0,'Données projet'!$E$13+1,1))</f>
        <v>469.67944008675863</v>
      </c>
      <c r="CZ68" s="60">
        <f t="shared" si="42"/>
        <v>266.11908070867173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228.99999999999991</v>
      </c>
      <c r="DP68" s="18">
        <f>DO68*VLOOKUP('Données projet'!$B$14,Paramètres!$A$1:$I$89,3,0)*VLOOKUP('Données projet'!$B$14,Paramètres!$A$1:$I$89,5,0)</f>
        <v>246.49559999999991</v>
      </c>
      <c r="DQ68" s="14">
        <f t="shared" si="43"/>
        <v>59.834910912017278</v>
      </c>
      <c r="DR68" s="22">
        <f t="shared" ref="DR68:DR131" si="70">(DP68+DQ68)*0.475*44/12</f>
        <v>533.52563983842992</v>
      </c>
      <c r="DS68" s="60">
        <f t="shared" ref="DS68:DS131" si="71">DR68+(DJ68+DK68)*44/12</f>
        <v>797.46884595488518</v>
      </c>
      <c r="DT68" s="60">
        <f ca="1">AVERAGE(OFFSET($DS$3,0,0,'Données projet'!$E$14+1,1))-AVERAGE(OFFSET($H$3,0,0,'Données projet'!$E$14+1,1))</f>
        <v>542.90832990875208</v>
      </c>
      <c r="DU68" s="60">
        <f t="shared" si="44"/>
        <v>304.94365539329362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202.4</v>
      </c>
      <c r="EH68" s="13">
        <f>VLOOKUP(A68,'Données projet'!$A$191:$I$211,9,0)</f>
        <v>3.4400000000000035</v>
      </c>
      <c r="EI68" s="13">
        <f t="array" ref="EI68">INDEX(EH:EH,MIN(IF(ISNUMBER(EH68:EH264),ROW(EH68:EH264),"")))</f>
        <v>3.4400000000000035</v>
      </c>
      <c r="EJ68" s="13">
        <f>IF('Données projet'!$A$192&gt;35,EJ67+EI68-ER67,IF(A68&lt;'Données projet'!$A$192,$EG$205^A68,IF(A68='Données projet'!$A$192,'Données projet'!$B$192,EJ67+EI68-ER67)))</f>
        <v>202.40000000000012</v>
      </c>
      <c r="EK68" s="18">
        <f>EJ68*VLOOKUP('Données projet'!$B$15,Paramètres!$A$1:$I$89,3,0)*VLOOKUP('Données projet'!$B$15,Paramètres!$A$1:$I$89,5,0)</f>
        <v>161.02944000000011</v>
      </c>
      <c r="EL68" s="14">
        <f t="shared" si="45"/>
        <v>41.074621732940727</v>
      </c>
      <c r="EM68" s="22">
        <f t="shared" ref="EM68:EM131" si="73">(EK68+EL68)*0.475*44/12</f>
        <v>351.9979075182053</v>
      </c>
      <c r="EN68" s="60">
        <f t="shared" ref="EN68:EN131" si="74">EM68+(EE68+EF68)*44/12</f>
        <v>615.9411136346605</v>
      </c>
      <c r="EO68" s="60">
        <f ca="1">AVERAGE(OFFSET($EN$3,0,0,'Données projet'!$E$15+1,1))-AVERAGE(OFFSET($H$3,0,0,'Données projet'!$E$15+1,1))</f>
        <v>273.72403794510291</v>
      </c>
      <c r="EP68" s="60">
        <f t="shared" si="46"/>
        <v>292.00185554564109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8.6666666666666661</v>
      </c>
      <c r="FE68" s="13">
        <f>IF('Données projet'!$A$218&gt;35,FE67+FD68-FM67,IF(A68&lt;'Données projet'!$A$218,$FB$205^A68,IF(A68='Données projet'!$A$218,'Données projet'!$B$218,FE67+FD68-FM67)))</f>
        <v>293.33333333333331</v>
      </c>
      <c r="FF68" s="18">
        <f>FE68*VLOOKUP('Données projet'!$B$16,Paramètres!$A$1:$I$89,3,0)*VLOOKUP('Données projet'!$B$16,Paramètres!$A$1:$I$89,5,0)</f>
        <v>228.79999999999998</v>
      </c>
      <c r="FG68" s="14">
        <f t="shared" si="47"/>
        <v>56.023134533701196</v>
      </c>
      <c r="FH68" s="22">
        <f t="shared" ref="FH68:FH131" si="76">(FF68+FG68)*0.475*44/12</f>
        <v>496.06695931286293</v>
      </c>
      <c r="FI68" s="60">
        <f t="shared" ref="FI68:FI131" si="77">FH68+(EZ68+FA68)*44/12</f>
        <v>760.01016542931814</v>
      </c>
      <c r="FJ68" s="60">
        <f ca="1">AVERAGE(OFFSET($FI$3,0,0,'Données projet'!$E$16+1,1))-AVERAGE(OFFSET($H$3,0,0,'Données projet'!$E$16+1,1))</f>
        <v>309.21625451786218</v>
      </c>
      <c r="FK68" s="60">
        <f t="shared" si="48"/>
        <v>302.59481222418219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>
        <f>FZ68*VLOOKUP('Données projet'!$B$17,Paramètres!$A$1:$I$89,3,0)*VLOOKUP('Données projet'!$B$17,Paramètres!$A$1:$I$89,5,0)</f>
        <v>0</v>
      </c>
      <c r="GB68" s="14" t="e">
        <f t="shared" si="49"/>
        <v>#NUM!</v>
      </c>
      <c r="GC68" s="22" t="e">
        <f t="shared" ref="GC68:GC131" si="79">(GA68+GB68)*0.475*44/12</f>
        <v>#NUM!</v>
      </c>
      <c r="GD68" s="60" t="e">
        <f t="shared" ref="GD68:GD131" si="80">GC68+(FU68+FV68)*44/12</f>
        <v>#NUM!</v>
      </c>
      <c r="GE68" s="60">
        <f ca="1">AVERAGE(OFFSET($GD$3,0,0,'Données projet'!$E$17+1,1))-AVERAGE(OFFSET($H$3,0,0,'Données projet'!$E$17+1,1))</f>
        <v>216.36762889365235</v>
      </c>
      <c r="GF68" s="60">
        <f t="shared" si="50"/>
        <v>333.29599352215496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6.7504721201942832</v>
      </c>
      <c r="GM68" s="23">
        <f>EXP(-LN(2)/25)*GM67+(1-EXP(-LN(2)/25))/(LN(2)/25)*Calculateur!GH68*Calculateur!GJ68*VLOOKUP('Données projet'!$B$17,Paramètres!$A$1:$I$89,3,0)*0.475*44/12</f>
        <v>3.6943369387414893</v>
      </c>
      <c r="GN68" s="23">
        <f>EXP(-LN(2)/2)*GN67+(1-EXP(-LN(2)/2))/(LN(2)/2)*GH68*GK68*VLOOKUP('Données projet'!$B$17,Paramètres!$A$1:$I$89,3,0)*0.475*44/12</f>
        <v>1.5776692623724406E-5</v>
      </c>
      <c r="GO68" s="23">
        <f t="shared" ref="GO68:GO131" si="81">SUM(GL68:GN68)</f>
        <v>10.444824835628397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4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228.06575999999993</v>
      </c>
      <c r="P69" s="14">
        <f t="shared" ref="P69:P132" si="87">EXP(-1.0587+0.8836*LN(O69)+0.284)</f>
        <v>55.864248276798108</v>
      </c>
      <c r="Q69" s="22">
        <f t="shared" si="54"/>
        <v>494.51143108208981</v>
      </c>
      <c r="R69" s="60">
        <f t="shared" si="55"/>
        <v>758.96449019927695</v>
      </c>
      <c r="S69" s="60">
        <f ca="1">AVERAGE(OFFSET($R$3,0,0,'Données projet'!$E$9+1,1))-AVERAGE(OFFSET($H$3,0,0,'Données projet'!$E$9+1,1))</f>
        <v>496.33873798282525</v>
      </c>
      <c r="T69" s="60">
        <f t="shared" ref="T69:T132" si="88">$T$3</f>
        <v>280.25465074992246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9.7400000000000091</v>
      </c>
      <c r="AI69" s="14">
        <f>IF('Données projet'!$A$62&gt;35,AI68+AH69-AQ68,IF(A69&lt;'Données projet'!$A$62,$AF$205^A69,IF(A69='Données projet'!$A$62,'Données projet'!$B$62,AI68+AH69-AQ68)))</f>
        <v>271.64769230769241</v>
      </c>
      <c r="AJ69" s="14">
        <f>AI69*VLOOKUP('Données projet'!$B$10,Paramètres!$A$1:$I$89,3,0)*VLOOKUP('Données projet'!$B$10,Paramètres!$A$1:$I$89,5,0)</f>
        <v>127.13112000000005</v>
      </c>
      <c r="AK69" s="14">
        <f t="shared" ref="AK69:AK132" si="89">EXP(-1.0587+0.8836*LN(AJ69)+0.284)</f>
        <v>33.332586891285729</v>
      </c>
      <c r="AL69" s="22">
        <f t="shared" si="58"/>
        <v>279.47428950232273</v>
      </c>
      <c r="AM69" s="60">
        <f t="shared" si="59"/>
        <v>543.92734861950976</v>
      </c>
      <c r="AN69" s="60">
        <f ca="1">AVERAGE(OFFSET($AM$3,0,0,'Données projet'!$E$10+1,1))-AVERAGE(OFFSET($H$3,0,0,'Données projet'!$E$10+1,1))</f>
        <v>277.7918215389401</v>
      </c>
      <c r="AO69" s="60">
        <f t="shared" ref="AO69:AO132" si="90">$AO$3</f>
        <v>164.65640238394164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4.4871794871794917</v>
      </c>
      <c r="BD69" s="13">
        <f>IF('Données projet'!$A$88&gt;35,BD68+BC69-BL68,IF(A69&lt;'Données projet'!$A$88,$BA$205^A69,IF(A69='Données projet'!$A$88,'Données projet'!$B$88,BD68+BC69-BL68)))</f>
        <v>162.82051282051265</v>
      </c>
      <c r="BE69" s="14">
        <f>BD69*VLOOKUP('Données projet'!$B$11,Paramètres!$A$1:$I$89,3,0)*VLOOKUP('Données projet'!$B$11,Paramètres!$A$1:$I$89,5,0)</f>
        <v>154.93999999999986</v>
      </c>
      <c r="BF69" s="14">
        <f t="shared" ref="BF69:BF132" si="91">EXP(-1.0587+0.8836*LN(BE69)+0.284)</f>
        <v>39.699092495721587</v>
      </c>
      <c r="BG69" s="22">
        <f t="shared" si="61"/>
        <v>338.99641943004821</v>
      </c>
      <c r="BH69" s="60">
        <f t="shared" si="62"/>
        <v>603.44947854723523</v>
      </c>
      <c r="BI69" s="60">
        <f ca="1">AVERAGE(OFFSET($BH$3,0,0,'Données projet'!$E$11+1,1))-AVERAGE(OFFSET($H$3,0,0,'Données projet'!$E$11+1,1))</f>
        <v>366.21371543563254</v>
      </c>
      <c r="BJ69" s="60">
        <f t="shared" ref="BJ69:BJ132" si="92">$BJ$3</f>
        <v>237.43356317334084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4.8717948717948785</v>
      </c>
      <c r="BY69" s="13">
        <f>IF('Données projet'!$A$114&gt;35,BY68+BX69-CG68,IF(A69&lt;'Données projet'!$A$114,$BV$205^A69,IF(A69='Données projet'!$A$114,'Données projet'!$B$114,BY68+BX69-CG68)))</f>
        <v>227.30769230769215</v>
      </c>
      <c r="BZ69" s="14">
        <f>BY69*VLOOKUP('Données projet'!$B$12,Paramètres!$A$1:$I$89,3,0)*VLOOKUP('Données projet'!$B$12,Paramètres!$A$1:$I$89,5,0)</f>
        <v>237.58199999999985</v>
      </c>
      <c r="CA69" s="14">
        <f t="shared" ref="CA69:CA132" si="93">EXP(-1.0587+0.8836*LN(BZ69)+0.284)</f>
        <v>57.918979800180793</v>
      </c>
      <c r="CB69" s="22">
        <f t="shared" si="64"/>
        <v>514.66420648531459</v>
      </c>
      <c r="CC69" s="60">
        <f t="shared" si="65"/>
        <v>779.11726560250167</v>
      </c>
      <c r="CD69" s="60">
        <f ca="1">AVERAGE(OFFSET($CC$3,0,0,'Données projet'!$E$12+1,1))-AVERAGE(OFFSET($H$3,0,0,'Données projet'!$E$12+1,1))</f>
        <v>530.79860063513229</v>
      </c>
      <c r="CE69" s="60">
        <f t="shared" ref="CE69:CE132" si="94">$CE$3</f>
        <v>302.50876440460434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213.35183999999992</v>
      </c>
      <c r="CV69" s="14">
        <f t="shared" ref="CV69:CV132" si="95">EXP(-1.0587+0.8836*LN(CU69)+0.284)</f>
        <v>52.667370665417188</v>
      </c>
      <c r="CW69" s="22">
        <f t="shared" si="67"/>
        <v>463.31679190893482</v>
      </c>
      <c r="CX69" s="60">
        <f t="shared" si="68"/>
        <v>727.76985102612184</v>
      </c>
      <c r="CY69" s="60">
        <f ca="1">AVERAGE(OFFSET($CX$3,0,0,'Données projet'!$E$13+1,1))-AVERAGE(OFFSET($H$3,0,0,'Données projet'!$E$13+1,1))</f>
        <v>469.67944008675863</v>
      </c>
      <c r="CZ69" s="60">
        <f t="shared" ref="CZ69:CZ132" si="96">$CZ$3</f>
        <v>266.11908070867173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235.79999999999993</v>
      </c>
      <c r="DP69" s="18">
        <f>DO69*VLOOKUP('Données projet'!$B$14,Paramètres!$A$1:$I$89,3,0)*VLOOKUP('Données projet'!$B$14,Paramètres!$A$1:$I$89,5,0)</f>
        <v>253.81511999999992</v>
      </c>
      <c r="DQ69" s="14">
        <f t="shared" ref="DQ69:DQ132" si="97">EXP(-1.0587+0.8836*LN(DP69)+0.284)</f>
        <v>61.402169885153235</v>
      </c>
      <c r="DR69" s="22">
        <f t="shared" si="70"/>
        <v>549.00344654997514</v>
      </c>
      <c r="DS69" s="60">
        <f t="shared" si="71"/>
        <v>813.45650566716222</v>
      </c>
      <c r="DT69" s="60">
        <f ca="1">AVERAGE(OFFSET($DS$3,0,0,'Données projet'!$E$14+1,1))-AVERAGE(OFFSET($H$3,0,0,'Données projet'!$E$14+1,1))</f>
        <v>542.90832990875208</v>
      </c>
      <c r="DU69" s="60">
        <f t="shared" ref="DU69:DU132" si="98">$DU$3</f>
        <v>304.94365539329362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2.919999999999999</v>
      </c>
      <c r="EJ69" s="13">
        <f>IF('Données projet'!$A$192&gt;35,EJ68+EI69-ER68,IF(A69&lt;'Données projet'!$A$192,$EG$205^A69,IF(A69='Données projet'!$A$192,'Données projet'!$B$192,EJ68+EI69-ER68)))</f>
        <v>205.32000000000011</v>
      </c>
      <c r="EK69" s="18">
        <f>EJ69*VLOOKUP('Données projet'!$B$15,Paramètres!$A$1:$I$89,3,0)*VLOOKUP('Données projet'!$B$15,Paramètres!$A$1:$I$89,5,0)</f>
        <v>163.3525920000001</v>
      </c>
      <c r="EL69" s="14">
        <f t="shared" ref="EL69:EL132" si="99">EXP(-1.0587+0.8836*LN(EK69)+0.284)</f>
        <v>41.597786829061228</v>
      </c>
      <c r="EM69" s="22">
        <f t="shared" si="73"/>
        <v>356.95524312728179</v>
      </c>
      <c r="EN69" s="60">
        <f t="shared" si="74"/>
        <v>621.40830224446881</v>
      </c>
      <c r="EO69" s="60">
        <f ca="1">AVERAGE(OFFSET($EN$3,0,0,'Données projet'!$E$15+1,1))-AVERAGE(OFFSET($H$3,0,0,'Données projet'!$E$15+1,1))</f>
        <v>273.72403794510291</v>
      </c>
      <c r="EP69" s="60">
        <f t="shared" ref="EP69:EP132" si="100">$EP$3</f>
        <v>292.00185554564109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8.6666666666666661</v>
      </c>
      <c r="FE69" s="13">
        <f>IF('Données projet'!$A$218&gt;35,FE68+FD69-FM68,IF(A69&lt;'Données projet'!$A$218,$FB$205^A69,IF(A69='Données projet'!$A$218,'Données projet'!$B$218,FE68+FD69-FM68)))</f>
        <v>302</v>
      </c>
      <c r="FF69" s="18">
        <f>FE69*VLOOKUP('Données projet'!$B$16,Paramètres!$A$1:$I$89,3,0)*VLOOKUP('Données projet'!$B$16,Paramètres!$A$1:$I$89,5,0)</f>
        <v>235.56</v>
      </c>
      <c r="FG69" s="14">
        <f t="shared" ref="FG69:FG132" si="101">EXP(-1.0587+0.8836*LN(FF69)+0.284)</f>
        <v>57.483207143847721</v>
      </c>
      <c r="FH69" s="22">
        <f t="shared" si="76"/>
        <v>510.38358577553481</v>
      </c>
      <c r="FI69" s="60">
        <f t="shared" si="77"/>
        <v>774.83664489272189</v>
      </c>
      <c r="FJ69" s="60">
        <f ca="1">AVERAGE(OFFSET($FI$3,0,0,'Données projet'!$E$16+1,1))-AVERAGE(OFFSET($H$3,0,0,'Données projet'!$E$16+1,1))</f>
        <v>309.21625451786218</v>
      </c>
      <c r="FK69" s="60">
        <f t="shared" ref="FK69:FK132" si="102">$FK$3</f>
        <v>302.59481222418219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>
        <f>FZ69*VLOOKUP('Données projet'!$B$17,Paramètres!$A$1:$I$89,3,0)*VLOOKUP('Données projet'!$B$17,Paramètres!$A$1:$I$89,5,0)</f>
        <v>0</v>
      </c>
      <c r="GB69" s="14" t="e">
        <f t="shared" ref="GB69:GB132" si="103">EXP(-1.0587+0.8836*LN(GA69)+0.284)</f>
        <v>#NUM!</v>
      </c>
      <c r="GC69" s="22" t="e">
        <f t="shared" si="79"/>
        <v>#NUM!</v>
      </c>
      <c r="GD69" s="60" t="e">
        <f t="shared" si="80"/>
        <v>#NUM!</v>
      </c>
      <c r="GE69" s="60">
        <f ca="1">AVERAGE(OFFSET($GD$3,0,0,'Données projet'!$E$17+1,1))-AVERAGE(OFFSET($H$3,0,0,'Données projet'!$E$17+1,1))</f>
        <v>216.36762889365235</v>
      </c>
      <c r="GF69" s="60">
        <f t="shared" ref="GF69:GF132" si="104">$GF$3</f>
        <v>333.29599352215496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6.6180994792987091</v>
      </c>
      <c r="GM69" s="23">
        <f>EXP(-LN(2)/25)*GM68+(1-EXP(-LN(2)/25))/(LN(2)/25)*Calculateur!GH69*Calculateur!GJ69*VLOOKUP('Données projet'!$B$17,Paramètres!$A$1:$I$89,3,0)*0.475*44/12</f>
        <v>3.5933151008748672</v>
      </c>
      <c r="GN69" s="23">
        <f>EXP(-LN(2)/2)*GN68+(1-EXP(-LN(2)/2))/(LN(2)/2)*GH69*GK69*VLOOKUP('Données projet'!$B$17,Paramètres!$A$1:$I$89,3,0)*0.475*44/12</f>
        <v>1.1155806338931312E-5</v>
      </c>
      <c r="GO69" s="23">
        <f t="shared" si="81"/>
        <v>10.211425735979915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4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234.64271999999994</v>
      </c>
      <c r="P70" s="14">
        <f t="shared" si="87"/>
        <v>57.285375557336316</v>
      </c>
      <c r="Q70" s="22">
        <f t="shared" si="54"/>
        <v>508.44143309569387</v>
      </c>
      <c r="R70" s="60">
        <f t="shared" si="55"/>
        <v>773.39550040391077</v>
      </c>
      <c r="S70" s="60">
        <f ca="1">AVERAGE(OFFSET($R$3,0,0,'Données projet'!$E$9+1,1))-AVERAGE(OFFSET($H$3,0,0,'Données projet'!$E$9+1,1))</f>
        <v>496.33873798282525</v>
      </c>
      <c r="T70" s="60">
        <f t="shared" si="88"/>
        <v>280.25465074992246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9.7400000000000091</v>
      </c>
      <c r="AI70" s="14">
        <f>IF('Données projet'!$A$62&gt;35,AI69+AH70-AQ69,IF(A70&lt;'Données projet'!$A$62,$AF$205^A70,IF(A70='Données projet'!$A$62,'Données projet'!$B$62,AI69+AH70-AQ69)))</f>
        <v>281.38769230769242</v>
      </c>
      <c r="AJ70" s="14">
        <f>AI70*VLOOKUP('Données projet'!$B$10,Paramètres!$A$1:$I$89,3,0)*VLOOKUP('Données projet'!$B$10,Paramètres!$A$1:$I$89,5,0)</f>
        <v>131.68944000000005</v>
      </c>
      <c r="AK70" s="14">
        <f t="shared" si="89"/>
        <v>34.386445467742071</v>
      </c>
      <c r="AL70" s="22">
        <f t="shared" si="58"/>
        <v>289.2488338563175</v>
      </c>
      <c r="AM70" s="60">
        <f t="shared" si="59"/>
        <v>554.20290116453441</v>
      </c>
      <c r="AN70" s="60">
        <f ca="1">AVERAGE(OFFSET($AM$3,0,0,'Données projet'!$E$10+1,1))-AVERAGE(OFFSET($H$3,0,0,'Données projet'!$E$10+1,1))</f>
        <v>277.7918215389401</v>
      </c>
      <c r="AO70" s="60">
        <f t="shared" si="90"/>
        <v>164.65640238394164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4.4871794871794917</v>
      </c>
      <c r="BD70" s="13">
        <f>IF('Données projet'!$A$88&gt;35,BD69+BC70-BL69,IF(A70&lt;'Données projet'!$A$88,$BA$205^A70,IF(A70='Données projet'!$A$88,'Données projet'!$B$88,BD69+BC70-BL69)))</f>
        <v>167.30769230769215</v>
      </c>
      <c r="BE70" s="14">
        <f>BD70*VLOOKUP('Données projet'!$B$11,Paramètres!$A$1:$I$89,3,0)*VLOOKUP('Données projet'!$B$11,Paramètres!$A$1:$I$89,5,0)</f>
        <v>159.20999999999984</v>
      </c>
      <c r="BF70" s="14">
        <f t="shared" si="91"/>
        <v>40.664277403035747</v>
      </c>
      <c r="BG70" s="22">
        <f t="shared" si="61"/>
        <v>348.11436647695365</v>
      </c>
      <c r="BH70" s="60">
        <f t="shared" si="62"/>
        <v>613.06843378517055</v>
      </c>
      <c r="BI70" s="60">
        <f ca="1">AVERAGE(OFFSET($BH$3,0,0,'Données projet'!$E$11+1,1))-AVERAGE(OFFSET($H$3,0,0,'Données projet'!$E$11+1,1))</f>
        <v>366.21371543563254</v>
      </c>
      <c r="BJ70" s="60">
        <f t="shared" si="92"/>
        <v>237.43356317334084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4.8717948717948785</v>
      </c>
      <c r="BY70" s="13">
        <f>IF('Données projet'!$A$114&gt;35,BY69+BX70-CG69,IF(A70&lt;'Données projet'!$A$114,$BV$205^A70,IF(A70='Données projet'!$A$114,'Données projet'!$B$114,BY69+BX70-CG69)))</f>
        <v>232.17948717948704</v>
      </c>
      <c r="BZ70" s="14">
        <f>BY70*VLOOKUP('Données projet'!$B$12,Paramètres!$A$1:$I$89,3,0)*VLOOKUP('Données projet'!$B$12,Paramètres!$A$1:$I$89,5,0)</f>
        <v>242.67399999999989</v>
      </c>
      <c r="CA70" s="14">
        <f t="shared" si="93"/>
        <v>59.014483080009285</v>
      </c>
      <c r="CB70" s="22">
        <f t="shared" si="64"/>
        <v>525.44077469768263</v>
      </c>
      <c r="CC70" s="60">
        <f t="shared" si="65"/>
        <v>790.39484200589959</v>
      </c>
      <c r="CD70" s="60">
        <f ca="1">AVERAGE(OFFSET($CC$3,0,0,'Données projet'!$E$12+1,1))-AVERAGE(OFFSET($H$3,0,0,'Données projet'!$E$12+1,1))</f>
        <v>530.79860063513229</v>
      </c>
      <c r="CE70" s="60">
        <f t="shared" si="94"/>
        <v>302.50876440460434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219.50447999999992</v>
      </c>
      <c r="CV70" s="14">
        <f t="shared" si="95"/>
        <v>54.007172767040167</v>
      </c>
      <c r="CW70" s="22">
        <f t="shared" si="67"/>
        <v>476.36612856926143</v>
      </c>
      <c r="CX70" s="60">
        <f t="shared" si="68"/>
        <v>741.32019587747834</v>
      </c>
      <c r="CY70" s="60">
        <f ca="1">AVERAGE(OFFSET($CX$3,0,0,'Données projet'!$E$13+1,1))-AVERAGE(OFFSET($H$3,0,0,'Données projet'!$E$13+1,1))</f>
        <v>469.67944008675863</v>
      </c>
      <c r="CZ70" s="60">
        <f t="shared" si="96"/>
        <v>266.11908070867173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242.59999999999994</v>
      </c>
      <c r="DP70" s="18">
        <f>DO70*VLOOKUP('Données projet'!$B$14,Paramètres!$A$1:$I$89,3,0)*VLOOKUP('Données projet'!$B$14,Paramètres!$A$1:$I$89,5,0)</f>
        <v>261.13463999999993</v>
      </c>
      <c r="DQ70" s="14">
        <f t="shared" si="97"/>
        <v>62.964176023241265</v>
      </c>
      <c r="DR70" s="22">
        <f t="shared" si="70"/>
        <v>564.47210457381163</v>
      </c>
      <c r="DS70" s="60">
        <f t="shared" si="71"/>
        <v>829.42617188202848</v>
      </c>
      <c r="DT70" s="60">
        <f ca="1">AVERAGE(OFFSET($DS$3,0,0,'Données projet'!$E$14+1,1))-AVERAGE(OFFSET($H$3,0,0,'Données projet'!$E$14+1,1))</f>
        <v>542.90832990875208</v>
      </c>
      <c r="DU70" s="60">
        <f t="shared" si="98"/>
        <v>304.94365539329362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2.919999999999999</v>
      </c>
      <c r="EJ70" s="13">
        <f>IF('Données projet'!$A$192&gt;35,EJ69+EI70-ER69,IF(A70&lt;'Données projet'!$A$192,$EG$205^A70,IF(A70='Données projet'!$A$192,'Données projet'!$B$192,EJ69+EI70-ER69)))</f>
        <v>208.24000000000009</v>
      </c>
      <c r="EK70" s="18">
        <f>EJ70*VLOOKUP('Données projet'!$B$15,Paramètres!$A$1:$I$89,3,0)*VLOOKUP('Données projet'!$B$15,Paramètres!$A$1:$I$89,5,0)</f>
        <v>165.67574400000009</v>
      </c>
      <c r="EL70" s="14">
        <f t="shared" si="99"/>
        <v>42.120086560033222</v>
      </c>
      <c r="EM70" s="22">
        <f t="shared" si="73"/>
        <v>361.9110715587247</v>
      </c>
      <c r="EN70" s="60">
        <f t="shared" si="74"/>
        <v>626.86513886694161</v>
      </c>
      <c r="EO70" s="60">
        <f ca="1">AVERAGE(OFFSET($EN$3,0,0,'Données projet'!$E$15+1,1))-AVERAGE(OFFSET($H$3,0,0,'Données projet'!$E$15+1,1))</f>
        <v>273.72403794510291</v>
      </c>
      <c r="EP70" s="60">
        <f t="shared" si="100"/>
        <v>292.00185554564109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8.6666666666666661</v>
      </c>
      <c r="FE70" s="13">
        <f>IF('Données projet'!$A$218&gt;35,FE69+FD70-FM69,IF(A70&lt;'Données projet'!$A$218,$FB$205^A70,IF(A70='Données projet'!$A$218,'Données projet'!$B$218,FE69+FD70-FM69)))</f>
        <v>310.66666666666669</v>
      </c>
      <c r="FF70" s="18">
        <f>FE70*VLOOKUP('Données projet'!$B$16,Paramètres!$A$1:$I$89,3,0)*VLOOKUP('Données projet'!$B$16,Paramètres!$A$1:$I$89,5,0)</f>
        <v>242.32000000000002</v>
      </c>
      <c r="FG70" s="14">
        <f t="shared" si="101"/>
        <v>58.938409961900859</v>
      </c>
      <c r="FH70" s="22">
        <f t="shared" si="76"/>
        <v>524.69173068364398</v>
      </c>
      <c r="FI70" s="60">
        <f t="shared" si="77"/>
        <v>789.64579799186095</v>
      </c>
      <c r="FJ70" s="60">
        <f ca="1">AVERAGE(OFFSET($FI$3,0,0,'Données projet'!$E$16+1,1))-AVERAGE(OFFSET($H$3,0,0,'Données projet'!$E$16+1,1))</f>
        <v>309.21625451786218</v>
      </c>
      <c r="FK70" s="60">
        <f t="shared" si="102"/>
        <v>302.59481222418219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>
        <f>FZ70*VLOOKUP('Données projet'!$B$17,Paramètres!$A$1:$I$89,3,0)*VLOOKUP('Données projet'!$B$17,Paramètres!$A$1:$I$89,5,0)</f>
        <v>0</v>
      </c>
      <c r="GB70" s="14" t="e">
        <f t="shared" si="103"/>
        <v>#NUM!</v>
      </c>
      <c r="GC70" s="22" t="e">
        <f t="shared" si="79"/>
        <v>#NUM!</v>
      </c>
      <c r="GD70" s="60" t="e">
        <f t="shared" si="80"/>
        <v>#NUM!</v>
      </c>
      <c r="GE70" s="60">
        <f ca="1">AVERAGE(OFFSET($GD$3,0,0,'Données projet'!$E$17+1,1))-AVERAGE(OFFSET($H$3,0,0,'Données projet'!$E$17+1,1))</f>
        <v>216.36762889365235</v>
      </c>
      <c r="GF70" s="60">
        <f t="shared" si="104"/>
        <v>333.29599352215496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6.4883225851517583</v>
      </c>
      <c r="GM70" s="23">
        <f>EXP(-LN(2)/25)*GM69+(1-EXP(-LN(2)/25))/(LN(2)/25)*Calculateur!GH70*Calculateur!GJ70*VLOOKUP('Données projet'!$B$17,Paramètres!$A$1:$I$89,3,0)*0.475*44/12</f>
        <v>3.4950557104772155</v>
      </c>
      <c r="GN70" s="23">
        <f>EXP(-LN(2)/2)*GN69+(1-EXP(-LN(2)/2))/(LN(2)/2)*GH70*GK70*VLOOKUP('Données projet'!$B$17,Paramètres!$A$1:$I$89,3,0)*0.475*44/12</f>
        <v>7.8883463118622028E-6</v>
      </c>
      <c r="GO70" s="23">
        <f t="shared" si="81"/>
        <v>9.983386183975286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4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241.21967999999995</v>
      </c>
      <c r="P71" s="14">
        <f t="shared" si="87"/>
        <v>58.701873105526744</v>
      </c>
      <c r="Q71" s="22">
        <f t="shared" si="54"/>
        <v>522.36337165879229</v>
      </c>
      <c r="R71" s="60">
        <f t="shared" si="55"/>
        <v>787.80975578601112</v>
      </c>
      <c r="S71" s="60">
        <f ca="1">AVERAGE(OFFSET($R$3,0,0,'Données projet'!$E$9+1,1))-AVERAGE(OFFSET($H$3,0,0,'Données projet'!$E$9+1,1))</f>
        <v>496.33873798282525</v>
      </c>
      <c r="T71" s="60">
        <f t="shared" si="88"/>
        <v>280.25465074992246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9.7400000000000091</v>
      </c>
      <c r="AI71" s="14">
        <f>IF('Données projet'!$A$62&gt;35,AI70+AH71-AQ70,IF(A71&lt;'Données projet'!$A$62,$AF$205^A71,IF(A71='Données projet'!$A$62,'Données projet'!$B$62,AI70+AH71-AQ70)))</f>
        <v>291.12769230769243</v>
      </c>
      <c r="AJ71" s="14">
        <f>AI71*VLOOKUP('Données projet'!$B$10,Paramètres!$A$1:$I$89,3,0)*VLOOKUP('Données projet'!$B$10,Paramètres!$A$1:$I$89,5,0)</f>
        <v>136.24776000000006</v>
      </c>
      <c r="AK71" s="14">
        <f t="shared" si="89"/>
        <v>35.436065602778946</v>
      </c>
      <c r="AL71" s="22">
        <f t="shared" si="58"/>
        <v>299.0159962581734</v>
      </c>
      <c r="AM71" s="60">
        <f t="shared" si="59"/>
        <v>564.46238038539218</v>
      </c>
      <c r="AN71" s="60">
        <f ca="1">AVERAGE(OFFSET($AM$3,0,0,'Données projet'!$E$10+1,1))-AVERAGE(OFFSET($H$3,0,0,'Données projet'!$E$10+1,1))</f>
        <v>277.7918215389401</v>
      </c>
      <c r="AO71" s="60">
        <f t="shared" si="90"/>
        <v>164.65640238394164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4.4871794871794917</v>
      </c>
      <c r="BD71" s="13">
        <f>IF('Données projet'!$A$88&gt;35,BD70+BC71-BL70,IF(A71&lt;'Données projet'!$A$88,$BA$205^A71,IF(A71='Données projet'!$A$88,'Données projet'!$B$88,BD70+BC71-BL70)))</f>
        <v>171.79487179487165</v>
      </c>
      <c r="BE71" s="14">
        <f>BD71*VLOOKUP('Données projet'!$B$11,Paramètres!$A$1:$I$89,3,0)*VLOOKUP('Données projet'!$B$11,Paramètres!$A$1:$I$89,5,0)</f>
        <v>163.47999999999988</v>
      </c>
      <c r="BF71" s="14">
        <f t="shared" si="91"/>
        <v>41.626453475605956</v>
      </c>
      <c r="BG71" s="22">
        <f t="shared" si="61"/>
        <v>357.22707313668008</v>
      </c>
      <c r="BH71" s="60">
        <f t="shared" si="62"/>
        <v>622.67345726389885</v>
      </c>
      <c r="BI71" s="60">
        <f ca="1">AVERAGE(OFFSET($BH$3,0,0,'Données projet'!$E$11+1,1))-AVERAGE(OFFSET($H$3,0,0,'Données projet'!$E$11+1,1))</f>
        <v>366.21371543563254</v>
      </c>
      <c r="BJ71" s="60">
        <f t="shared" si="92"/>
        <v>237.43356317334084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4.8717948717948785</v>
      </c>
      <c r="BY71" s="13">
        <f>IF('Données projet'!$A$114&gt;35,BY70+BX71-CG70,IF(A71&lt;'Données projet'!$A$114,$BV$205^A71,IF(A71='Données projet'!$A$114,'Données projet'!$B$114,BY70+BX71-CG70)))</f>
        <v>237.05128205128193</v>
      </c>
      <c r="BZ71" s="14">
        <f>BY71*VLOOKUP('Données projet'!$B$12,Paramètres!$A$1:$I$89,3,0)*VLOOKUP('Données projet'!$B$12,Paramètres!$A$1:$I$89,5,0)</f>
        <v>247.76599999999991</v>
      </c>
      <c r="CA71" s="14">
        <f t="shared" si="93"/>
        <v>60.107313751974949</v>
      </c>
      <c r="CB71" s="22">
        <f t="shared" si="64"/>
        <v>536.21268811802292</v>
      </c>
      <c r="CC71" s="60">
        <f t="shared" si="65"/>
        <v>801.65907224524176</v>
      </c>
      <c r="CD71" s="60">
        <f ca="1">AVERAGE(OFFSET($CC$3,0,0,'Données projet'!$E$12+1,1))-AVERAGE(OFFSET($H$3,0,0,'Données projet'!$E$12+1,1))</f>
        <v>530.79860063513229</v>
      </c>
      <c r="CE71" s="60">
        <f t="shared" si="94"/>
        <v>302.50876440460434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225.65711999999994</v>
      </c>
      <c r="CV71" s="14">
        <f t="shared" si="95"/>
        <v>55.342610076561513</v>
      </c>
      <c r="CW71" s="22">
        <f t="shared" si="67"/>
        <v>489.40786321667775</v>
      </c>
      <c r="CX71" s="60">
        <f t="shared" si="68"/>
        <v>754.85424734389653</v>
      </c>
      <c r="CY71" s="60">
        <f ca="1">AVERAGE(OFFSET($CX$3,0,0,'Données projet'!$E$13+1,1))-AVERAGE(OFFSET($H$3,0,0,'Données projet'!$E$13+1,1))</f>
        <v>469.67944008675863</v>
      </c>
      <c r="CZ71" s="60">
        <f t="shared" si="96"/>
        <v>266.11908070867173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249.39999999999995</v>
      </c>
      <c r="DP71" s="18">
        <f>DO71*VLOOKUP('Données projet'!$B$14,Paramètres!$A$1:$I$89,3,0)*VLOOKUP('Données projet'!$B$14,Paramètres!$A$1:$I$89,5,0)</f>
        <v>268.45415999999994</v>
      </c>
      <c r="DQ71" s="14">
        <f t="shared" si="97"/>
        <v>64.521093475436089</v>
      </c>
      <c r="DR71" s="22">
        <f t="shared" si="70"/>
        <v>579.93189980305101</v>
      </c>
      <c r="DS71" s="60">
        <f t="shared" si="71"/>
        <v>845.37828393026984</v>
      </c>
      <c r="DT71" s="60">
        <f ca="1">AVERAGE(OFFSET($DS$3,0,0,'Données projet'!$E$14+1,1))-AVERAGE(OFFSET($H$3,0,0,'Données projet'!$E$14+1,1))</f>
        <v>542.90832990875208</v>
      </c>
      <c r="DU71" s="60">
        <f t="shared" si="98"/>
        <v>304.94365539329362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2.919999999999999</v>
      </c>
      <c r="EJ71" s="13">
        <f>IF('Données projet'!$A$192&gt;35,EJ70+EI71-ER70,IF(A71&lt;'Données projet'!$A$192,$EG$205^A71,IF(A71='Données projet'!$A$192,'Données projet'!$B$192,EJ70+EI71-ER70)))</f>
        <v>211.16000000000008</v>
      </c>
      <c r="EK71" s="18">
        <f>EJ71*VLOOKUP('Données projet'!$B$15,Paramètres!$A$1:$I$89,3,0)*VLOOKUP('Données projet'!$B$15,Paramètres!$A$1:$I$89,5,0)</f>
        <v>167.99889600000006</v>
      </c>
      <c r="EL71" s="14">
        <f t="shared" si="99"/>
        <v>42.641534462537706</v>
      </c>
      <c r="EM71" s="22">
        <f t="shared" si="73"/>
        <v>366.86541638891998</v>
      </c>
      <c r="EN71" s="60">
        <f t="shared" si="74"/>
        <v>632.31180051613887</v>
      </c>
      <c r="EO71" s="60">
        <f ca="1">AVERAGE(OFFSET($EN$3,0,0,'Données projet'!$E$15+1,1))-AVERAGE(OFFSET($H$3,0,0,'Données projet'!$E$15+1,1))</f>
        <v>273.72403794510291</v>
      </c>
      <c r="EP71" s="60">
        <f t="shared" si="100"/>
        <v>292.00185554564109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8.6666666666666661</v>
      </c>
      <c r="FE71" s="13">
        <f>IF('Données projet'!$A$218&gt;35,FE70+FD71-FM70,IF(A71&lt;'Données projet'!$A$218,$FB$205^A71,IF(A71='Données projet'!$A$218,'Données projet'!$B$218,FE70+FD71-FM70)))</f>
        <v>319.33333333333337</v>
      </c>
      <c r="FF71" s="18">
        <f>FE71*VLOOKUP('Données projet'!$B$16,Paramètres!$A$1:$I$89,3,0)*VLOOKUP('Données projet'!$B$16,Paramètres!$A$1:$I$89,5,0)</f>
        <v>249.08000000000004</v>
      </c>
      <c r="FG71" s="14">
        <f t="shared" si="101"/>
        <v>60.388894447487807</v>
      </c>
      <c r="FH71" s="22">
        <f t="shared" si="76"/>
        <v>538.99165782937473</v>
      </c>
      <c r="FI71" s="60">
        <f t="shared" si="77"/>
        <v>804.43804195659357</v>
      </c>
      <c r="FJ71" s="60">
        <f ca="1">AVERAGE(OFFSET($FI$3,0,0,'Données projet'!$E$16+1,1))-AVERAGE(OFFSET($H$3,0,0,'Données projet'!$E$16+1,1))</f>
        <v>309.21625451786218</v>
      </c>
      <c r="FK71" s="60">
        <f t="shared" si="102"/>
        <v>302.59481222418219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>
        <f>FZ71*VLOOKUP('Données projet'!$B$17,Paramètres!$A$1:$I$89,3,0)*VLOOKUP('Données projet'!$B$17,Paramètres!$A$1:$I$89,5,0)</f>
        <v>0</v>
      </c>
      <c r="GB71" s="14" t="e">
        <f t="shared" si="103"/>
        <v>#NUM!</v>
      </c>
      <c r="GC71" s="22" t="e">
        <f t="shared" si="79"/>
        <v>#NUM!</v>
      </c>
      <c r="GD71" s="60" t="e">
        <f t="shared" si="80"/>
        <v>#NUM!</v>
      </c>
      <c r="GE71" s="60">
        <f ca="1">AVERAGE(OFFSET($GD$3,0,0,'Données projet'!$E$17+1,1))-AVERAGE(OFFSET($H$3,0,0,'Données projet'!$E$17+1,1))</f>
        <v>216.36762889365235</v>
      </c>
      <c r="GF71" s="60">
        <f t="shared" si="104"/>
        <v>333.29599352215496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6.3610905367429398</v>
      </c>
      <c r="GM71" s="23">
        <f>EXP(-LN(2)/25)*GM70+(1-EXP(-LN(2)/25))/(LN(2)/25)*Calculateur!GH71*Calculateur!GJ71*VLOOKUP('Données projet'!$B$17,Paramètres!$A$1:$I$89,3,0)*0.475*44/12</f>
        <v>3.3994832282772243</v>
      </c>
      <c r="GN71" s="23">
        <f>EXP(-LN(2)/2)*GN70+(1-EXP(-LN(2)/2))/(LN(2)/2)*GH71*GK71*VLOOKUP('Données projet'!$B$17,Paramètres!$A$1:$I$89,3,0)*0.475*44/12</f>
        <v>5.5779031694656559E-6</v>
      </c>
      <c r="GO71" s="23">
        <f t="shared" si="81"/>
        <v>9.7605793429233323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4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247.79663999999997</v>
      </c>
      <c r="P72" s="14">
        <f t="shared" si="87"/>
        <v>60.113881658336368</v>
      </c>
      <c r="Q72" s="22">
        <f t="shared" si="54"/>
        <v>536.27749188826908</v>
      </c>
      <c r="R72" s="60">
        <f t="shared" si="55"/>
        <v>802.20765223833564</v>
      </c>
      <c r="S72" s="60">
        <f ca="1">AVERAGE(OFFSET($R$3,0,0,'Données projet'!$E$9+1,1))-AVERAGE(OFFSET($H$3,0,0,'Données projet'!$E$9+1,1))</f>
        <v>496.33873798282525</v>
      </c>
      <c r="T72" s="60">
        <f t="shared" si="88"/>
        <v>280.25465074992246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9.7400000000000091</v>
      </c>
      <c r="AI72" s="14">
        <f>IF('Données projet'!$A$62&gt;35,AI71+AH72-AQ71,IF(A72&lt;'Données projet'!$A$62,$AF$205^A72,IF(A72='Données projet'!$A$62,'Données projet'!$B$62,AI71+AH72-AQ71)))</f>
        <v>300.86769230769244</v>
      </c>
      <c r="AJ72" s="14">
        <f>AI72*VLOOKUP('Données projet'!$B$10,Paramètres!$A$1:$I$89,3,0)*VLOOKUP('Données projet'!$B$10,Paramètres!$A$1:$I$89,5,0)</f>
        <v>140.80608000000007</v>
      </c>
      <c r="AK72" s="14">
        <f t="shared" si="89"/>
        <v>36.481605355929283</v>
      </c>
      <c r="AL72" s="22">
        <f t="shared" si="58"/>
        <v>308.77605199491023</v>
      </c>
      <c r="AM72" s="60">
        <f t="shared" si="59"/>
        <v>574.70621234497685</v>
      </c>
      <c r="AN72" s="60">
        <f ca="1">AVERAGE(OFFSET($AM$3,0,0,'Données projet'!$E$10+1,1))-AVERAGE(OFFSET($H$3,0,0,'Données projet'!$E$10+1,1))</f>
        <v>277.7918215389401</v>
      </c>
      <c r="AO72" s="60">
        <f t="shared" si="90"/>
        <v>164.65640238394164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4.4871794871794917</v>
      </c>
      <c r="BD72" s="13">
        <f>IF('Données projet'!$A$88&gt;35,BD71+BC72-BL71,IF(A72&lt;'Données projet'!$A$88,$BA$205^A72,IF(A72='Données projet'!$A$88,'Données projet'!$B$88,BD71+BC72-BL71)))</f>
        <v>176.28205128205116</v>
      </c>
      <c r="BE72" s="14">
        <f>BD72*VLOOKUP('Données projet'!$B$11,Paramètres!$A$1:$I$89,3,0)*VLOOKUP('Données projet'!$B$11,Paramètres!$A$1:$I$89,5,0)</f>
        <v>167.74999999999989</v>
      </c>
      <c r="BF72" s="14">
        <f t="shared" si="91"/>
        <v>42.585708337083602</v>
      </c>
      <c r="BG72" s="22">
        <f t="shared" si="61"/>
        <v>366.33469202042033</v>
      </c>
      <c r="BH72" s="60">
        <f t="shared" si="62"/>
        <v>632.26485237048689</v>
      </c>
      <c r="BI72" s="60">
        <f ca="1">AVERAGE(OFFSET($BH$3,0,0,'Données projet'!$E$11+1,1))-AVERAGE(OFFSET($H$3,0,0,'Données projet'!$E$11+1,1))</f>
        <v>366.21371543563254</v>
      </c>
      <c r="BJ72" s="60">
        <f t="shared" si="92"/>
        <v>237.43356317334084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4.8717948717948785</v>
      </c>
      <c r="BY72" s="13">
        <f>IF('Données projet'!$A$114&gt;35,BY71+BX72-CG71,IF(A72&lt;'Données projet'!$A$114,$BV$205^A72,IF(A72='Données projet'!$A$114,'Données projet'!$B$114,BY71+BX72-CG71)))</f>
        <v>241.92307692307682</v>
      </c>
      <c r="BZ72" s="14">
        <f>BY72*VLOOKUP('Données projet'!$B$12,Paramètres!$A$1:$I$89,3,0)*VLOOKUP('Données projet'!$B$12,Paramètres!$A$1:$I$89,5,0)</f>
        <v>252.85799999999992</v>
      </c>
      <c r="CA72" s="14">
        <f t="shared" si="93"/>
        <v>61.197533071441029</v>
      </c>
      <c r="CB72" s="22">
        <f t="shared" si="64"/>
        <v>546.98005343275963</v>
      </c>
      <c r="CC72" s="60">
        <f t="shared" si="65"/>
        <v>812.91021378282619</v>
      </c>
      <c r="CD72" s="60">
        <f ca="1">AVERAGE(OFFSET($CC$3,0,0,'Données projet'!$E$12+1,1))-AVERAGE(OFFSET($H$3,0,0,'Données projet'!$E$12+1,1))</f>
        <v>530.79860063513229</v>
      </c>
      <c r="CE72" s="60">
        <f t="shared" si="94"/>
        <v>302.50876440460434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231.80975999999993</v>
      </c>
      <c r="CV72" s="14">
        <f t="shared" si="95"/>
        <v>56.673815277159328</v>
      </c>
      <c r="CW72" s="22">
        <f t="shared" si="67"/>
        <v>502.44222694105241</v>
      </c>
      <c r="CX72" s="60">
        <f t="shared" si="68"/>
        <v>768.37238729111891</v>
      </c>
      <c r="CY72" s="60">
        <f ca="1">AVERAGE(OFFSET($CX$3,0,0,'Données projet'!$E$13+1,1))-AVERAGE(OFFSET($H$3,0,0,'Données projet'!$E$13+1,1))</f>
        <v>469.67944008675863</v>
      </c>
      <c r="CZ72" s="60">
        <f t="shared" si="96"/>
        <v>266.11908070867173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256.19999999999993</v>
      </c>
      <c r="DP72" s="18">
        <f>DO72*VLOOKUP('Données projet'!$B$14,Paramètres!$A$1:$I$89,3,0)*VLOOKUP('Données projet'!$B$14,Paramètres!$A$1:$I$89,5,0)</f>
        <v>275.7736799999999</v>
      </c>
      <c r="DQ72" s="14">
        <f t="shared" si="97"/>
        <v>66.073076930208813</v>
      </c>
      <c r="DR72" s="22">
        <f t="shared" si="70"/>
        <v>595.38310165344672</v>
      </c>
      <c r="DS72" s="60">
        <f t="shared" si="71"/>
        <v>861.31326200351327</v>
      </c>
      <c r="DT72" s="60">
        <f ca="1">AVERAGE(OFFSET($DS$3,0,0,'Données projet'!$E$14+1,1))-AVERAGE(OFFSET($H$3,0,0,'Données projet'!$E$14+1,1))</f>
        <v>542.90832990875208</v>
      </c>
      <c r="DU72" s="60">
        <f t="shared" si="98"/>
        <v>304.94365539329362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2.919999999999999</v>
      </c>
      <c r="EJ72" s="13">
        <f>IF('Données projet'!$A$192&gt;35,EJ71+EI72-ER71,IF(A72&lt;'Données projet'!$A$192,$EG$205^A72,IF(A72='Données projet'!$A$192,'Données projet'!$B$192,EJ71+EI72-ER71)))</f>
        <v>214.08000000000007</v>
      </c>
      <c r="EK72" s="18">
        <f>EJ72*VLOOKUP('Données projet'!$B$15,Paramètres!$A$1:$I$89,3,0)*VLOOKUP('Données projet'!$B$15,Paramètres!$A$1:$I$89,5,0)</f>
        <v>170.32204800000005</v>
      </c>
      <c r="EL72" s="14">
        <f t="shared" si="99"/>
        <v>43.162143677367034</v>
      </c>
      <c r="EM72" s="22">
        <f t="shared" si="73"/>
        <v>371.81830050474764</v>
      </c>
      <c r="EN72" s="60">
        <f t="shared" si="74"/>
        <v>637.7484608548142</v>
      </c>
      <c r="EO72" s="60">
        <f ca="1">AVERAGE(OFFSET($EN$3,0,0,'Données projet'!$E$15+1,1))-AVERAGE(OFFSET($H$3,0,0,'Données projet'!$E$15+1,1))</f>
        <v>273.72403794510291</v>
      </c>
      <c r="EP72" s="60">
        <f t="shared" si="100"/>
        <v>292.00185554564109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>
        <f>VLOOKUP(A72,'Données projet'!$A$217:$I$237,2,0)</f>
        <v>328</v>
      </c>
      <c r="FC72" s="13">
        <f>VLOOKUP(A72,'Données projet'!$A$217:$I$237,9,0)</f>
        <v>8.6666666666666661</v>
      </c>
      <c r="FD72" s="13">
        <f t="array" ref="FD72">INDEX(FC:FC,MIN(IF(ISNUMBER(FC72:FC268),ROW(FC72:FC268),"")))</f>
        <v>8.6666666666666661</v>
      </c>
      <c r="FE72" s="13">
        <f>IF('Données projet'!$A$218&gt;35,FE71+FD72-FM71,IF(A72&lt;'Données projet'!$A$218,$FB$205^A72,IF(A72='Données projet'!$A$218,'Données projet'!$B$218,FE71+FD72-FM71)))</f>
        <v>328.00000000000006</v>
      </c>
      <c r="FF72" s="18">
        <f>FE72*VLOOKUP('Données projet'!$B$16,Paramètres!$A$1:$I$89,3,0)*VLOOKUP('Données projet'!$B$16,Paramètres!$A$1:$I$89,5,0)</f>
        <v>255.84000000000006</v>
      </c>
      <c r="FG72" s="14">
        <f t="shared" si="101"/>
        <v>61.834803371075836</v>
      </c>
      <c r="FH72" s="22">
        <f t="shared" si="76"/>
        <v>553.28361587129041</v>
      </c>
      <c r="FI72" s="60">
        <f t="shared" si="77"/>
        <v>819.21377622135697</v>
      </c>
      <c r="FJ72" s="60">
        <f ca="1">AVERAGE(OFFSET($FI$3,0,0,'Données projet'!$E$16+1,1))-AVERAGE(OFFSET($H$3,0,0,'Données projet'!$E$16+1,1))</f>
        <v>309.21625451786218</v>
      </c>
      <c r="FK72" s="60">
        <f t="shared" si="102"/>
        <v>302.59481222418219</v>
      </c>
      <c r="FL72" s="16">
        <f>IF(ISNA(VLOOKUP(A72,'Données projet'!$A$217:$I$237,3,0)),0,VLOOKUP(A72,'Données projet'!$A$217:$I$237,3,0))</f>
        <v>8</v>
      </c>
      <c r="FM72" s="16">
        <f>IF(ISNA(VLOOKUP(A72,'Données projet'!$A$217:$I$237,4,0)),0,VLOOKUP(A72,'Données projet'!$A$217:$I$237,4,0))</f>
        <v>328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>
        <f>FZ72*VLOOKUP('Données projet'!$B$17,Paramètres!$A$1:$I$89,3,0)*VLOOKUP('Données projet'!$B$17,Paramètres!$A$1:$I$89,5,0)</f>
        <v>0</v>
      </c>
      <c r="GB72" s="14" t="e">
        <f t="shared" si="103"/>
        <v>#NUM!</v>
      </c>
      <c r="GC72" s="22" t="e">
        <f t="shared" si="79"/>
        <v>#NUM!</v>
      </c>
      <c r="GD72" s="60" t="e">
        <f t="shared" si="80"/>
        <v>#NUM!</v>
      </c>
      <c r="GE72" s="60">
        <f ca="1">AVERAGE(OFFSET($GD$3,0,0,'Données projet'!$E$17+1,1))-AVERAGE(OFFSET($H$3,0,0,'Données projet'!$E$17+1,1))</f>
        <v>216.36762889365235</v>
      </c>
      <c r="GF72" s="60">
        <f t="shared" si="104"/>
        <v>333.29599352215496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6.2363534311995314</v>
      </c>
      <c r="GM72" s="23">
        <f>EXP(-LN(2)/25)*GM71+(1-EXP(-LN(2)/25))/(LN(2)/25)*Calculateur!GH72*Calculateur!GJ72*VLOOKUP('Données projet'!$B$17,Paramètres!$A$1:$I$89,3,0)*0.475*44/12</f>
        <v>3.3065241806289301</v>
      </c>
      <c r="GN72" s="23">
        <f>EXP(-LN(2)/2)*GN71+(1-EXP(-LN(2)/2))/(LN(2)/2)*GH72*GK72*VLOOKUP('Données projet'!$B$17,Paramètres!$A$1:$I$89,3,0)*0.475*44/12</f>
        <v>3.9441731559311014E-6</v>
      </c>
      <c r="GO72" s="23">
        <f t="shared" si="81"/>
        <v>9.5428815560016176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4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254.37359999999998</v>
      </c>
      <c r="P73" s="14">
        <f t="shared" si="87"/>
        <v>61.521534056516209</v>
      </c>
      <c r="Q73" s="22">
        <f t="shared" si="54"/>
        <v>550.1840251484324</v>
      </c>
      <c r="R73" s="60">
        <f t="shared" si="55"/>
        <v>816.58956928544194</v>
      </c>
      <c r="S73" s="60">
        <f ca="1">AVERAGE(OFFSET($R$3,0,0,'Données projet'!$E$9+1,1))-AVERAGE(OFFSET($H$3,0,0,'Données projet'!$E$9+1,1))</f>
        <v>496.33873798282525</v>
      </c>
      <c r="T73" s="60">
        <f t="shared" si="88"/>
        <v>280.25465074992246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310.60769230769233</v>
      </c>
      <c r="AG73" s="13">
        <f>VLOOKUP(A73,'Données projet'!$A$61:$I$81,9,0)</f>
        <v>9.7400000000000091</v>
      </c>
      <c r="AH73" s="13">
        <f t="array" ref="AH73">INDEX(AG:AG,MIN(IF(ISNUMBER(AG73:AG269),ROW(AG73:AG269),"")))</f>
        <v>9.7400000000000091</v>
      </c>
      <c r="AI73" s="14">
        <f>IF('Données projet'!$A$62&gt;35,AI72+AH73-AQ72,IF(A73&lt;'Données projet'!$A$62,$AF$205^A73,IF(A73='Données projet'!$A$62,'Données projet'!$B$62,AI72+AH73-AQ72)))</f>
        <v>310.60769230769245</v>
      </c>
      <c r="AJ73" s="14">
        <f>AI73*VLOOKUP('Données projet'!$B$10,Paramètres!$A$1:$I$89,3,0)*VLOOKUP('Données projet'!$B$10,Paramètres!$A$1:$I$89,5,0)</f>
        <v>145.36440000000007</v>
      </c>
      <c r="AK73" s="14">
        <f t="shared" si="89"/>
        <v>37.523211972029195</v>
      </c>
      <c r="AL73" s="22">
        <f t="shared" si="58"/>
        <v>318.52925751795101</v>
      </c>
      <c r="AM73" s="60">
        <f t="shared" si="59"/>
        <v>584.93480165496044</v>
      </c>
      <c r="AN73" s="60">
        <f ca="1">AVERAGE(OFFSET($AM$3,0,0,'Données projet'!$E$10+1,1))-AVERAGE(OFFSET($H$3,0,0,'Données projet'!$E$10+1,1))</f>
        <v>277.7918215389401</v>
      </c>
      <c r="AO73" s="60">
        <f t="shared" si="90"/>
        <v>164.65640238394164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180.76923076923077</v>
      </c>
      <c r="BB73" s="13">
        <f>VLOOKUP(A73,'Données projet'!$A$87:$I$107,9,0)</f>
        <v>4.4871794871794917</v>
      </c>
      <c r="BC73" s="13">
        <f t="array" ref="BC73">INDEX(BB:BB,MIN(IF(ISNUMBER(BB73:BB269),ROW(BB73:BB269),"")))</f>
        <v>4.4871794871794917</v>
      </c>
      <c r="BD73" s="13">
        <f>IF('Données projet'!$A$88&gt;35,BD72+BC73-BL72,IF(A73&lt;'Données projet'!$A$88,$BA$205^A73,IF(A73='Données projet'!$A$88,'Données projet'!$B$88,BD72+BC73-BL72)))</f>
        <v>180.76923076923066</v>
      </c>
      <c r="BE73" s="14">
        <f>BD73*VLOOKUP('Données projet'!$B$11,Paramètres!$A$1:$I$89,3,0)*VLOOKUP('Données projet'!$B$11,Paramètres!$A$1:$I$89,5,0)</f>
        <v>172.0199999999999</v>
      </c>
      <c r="BF73" s="14">
        <f t="shared" si="91"/>
        <v>43.542124896109463</v>
      </c>
      <c r="BG73" s="22">
        <f t="shared" si="61"/>
        <v>375.43736752739045</v>
      </c>
      <c r="BH73" s="60">
        <f t="shared" si="62"/>
        <v>641.84291166439994</v>
      </c>
      <c r="BI73" s="60">
        <f ca="1">AVERAGE(OFFSET($BH$3,0,0,'Données projet'!$E$11+1,1))-AVERAGE(OFFSET($H$3,0,0,'Données projet'!$E$11+1,1))</f>
        <v>366.21371543563254</v>
      </c>
      <c r="BJ73" s="60">
        <f t="shared" si="92"/>
        <v>237.43356317334084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246.7948717948718</v>
      </c>
      <c r="BW73" s="13">
        <f>VLOOKUP(A73,'Données projet'!$A$113:$I$133,9,0)</f>
        <v>4.8717948717948785</v>
      </c>
      <c r="BX73" s="13">
        <f t="array" ref="BX73">INDEX(BW:BW,MIN(IF(ISNUMBER(BW73:BW269),ROW(BW73:BW269),"")))</f>
        <v>4.8717948717948785</v>
      </c>
      <c r="BY73" s="13">
        <f>IF('Données projet'!$A$114&gt;35,BY72+BX73-CG72,IF(A73&lt;'Données projet'!$A$114,$BV$205^A73,IF(A73='Données projet'!$A$114,'Données projet'!$B$114,BY72+BX73-CG72)))</f>
        <v>246.79487179487171</v>
      </c>
      <c r="BZ73" s="14">
        <f>BY73*VLOOKUP('Données projet'!$B$12,Paramètres!$A$1:$I$89,3,0)*VLOOKUP('Données projet'!$B$12,Paramètres!$A$1:$I$89,5,0)</f>
        <v>257.94999999999993</v>
      </c>
      <c r="CA73" s="14">
        <f t="shared" si="93"/>
        <v>62.285199685619638</v>
      </c>
      <c r="CB73" s="22">
        <f t="shared" si="64"/>
        <v>557.7429727857874</v>
      </c>
      <c r="CC73" s="60">
        <f t="shared" si="65"/>
        <v>824.14851692279694</v>
      </c>
      <c r="CD73" s="60">
        <f ca="1">AVERAGE(OFFSET($CC$3,0,0,'Données projet'!$E$12+1,1))-AVERAGE(OFFSET($H$3,0,0,'Données projet'!$E$12+1,1))</f>
        <v>530.79860063513229</v>
      </c>
      <c r="CE73" s="60">
        <f t="shared" si="94"/>
        <v>302.50876440460434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237.96239999999995</v>
      </c>
      <c r="CV73" s="14">
        <f t="shared" si="95"/>
        <v>58.00091360766335</v>
      </c>
      <c r="CW73" s="22">
        <f t="shared" si="67"/>
        <v>515.4694378666801</v>
      </c>
      <c r="CX73" s="60">
        <f t="shared" si="68"/>
        <v>781.87498200368964</v>
      </c>
      <c r="CY73" s="60">
        <f ca="1">AVERAGE(OFFSET($CX$3,0,0,'Données projet'!$E$13+1,1))-AVERAGE(OFFSET($H$3,0,0,'Données projet'!$E$13+1,1))</f>
        <v>469.67944008675863</v>
      </c>
      <c r="CZ73" s="60">
        <f t="shared" si="96"/>
        <v>266.11908070867173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263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262.99999999999994</v>
      </c>
      <c r="DP73" s="18">
        <f>DO73*VLOOKUP('Données projet'!$B$14,Paramètres!$A$1:$I$89,3,0)*VLOOKUP('Données projet'!$B$14,Paramètres!$A$1:$I$89,5,0)</f>
        <v>283.09319999999991</v>
      </c>
      <c r="DQ73" s="14">
        <f t="shared" si="97"/>
        <v>67.620272397048666</v>
      </c>
      <c r="DR73" s="22">
        <f t="shared" si="70"/>
        <v>610.82596442485954</v>
      </c>
      <c r="DS73" s="60">
        <f t="shared" si="71"/>
        <v>877.23150856186908</v>
      </c>
      <c r="DT73" s="60">
        <f ca="1">AVERAGE(OFFSET($DS$3,0,0,'Données projet'!$E$14+1,1))-AVERAGE(OFFSET($H$3,0,0,'Données projet'!$E$14+1,1))</f>
        <v>542.90832990875208</v>
      </c>
      <c r="DU73" s="60">
        <f t="shared" si="98"/>
        <v>304.94365539329362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42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217</v>
      </c>
      <c r="EH73" s="13">
        <f>VLOOKUP(A73,'Données projet'!$A$191:$I$211,9,0)</f>
        <v>2.919999999999999</v>
      </c>
      <c r="EI73" s="13">
        <f t="array" ref="EI73">INDEX(EH:EH,MIN(IF(ISNUMBER(EH73:EH269),ROW(EH73:EH269),"")))</f>
        <v>2.919999999999999</v>
      </c>
      <c r="EJ73" s="13">
        <f>IF('Données projet'!$A$192&gt;35,EJ72+EI73-ER72,IF(A73&lt;'Données projet'!$A$192,$EG$205^A73,IF(A73='Données projet'!$A$192,'Données projet'!$B$192,EJ72+EI73-ER72)))</f>
        <v>217.00000000000006</v>
      </c>
      <c r="EK73" s="18">
        <f>EJ73*VLOOKUP('Données projet'!$B$15,Paramètres!$A$1:$I$89,3,0)*VLOOKUP('Données projet'!$B$15,Paramètres!$A$1:$I$89,5,0)</f>
        <v>172.64520000000005</v>
      </c>
      <c r="EL73" s="14">
        <f t="shared" si="99"/>
        <v>43.68192696624174</v>
      </c>
      <c r="EM73" s="22">
        <f t="shared" si="73"/>
        <v>376.76974613287115</v>
      </c>
      <c r="EN73" s="60">
        <f t="shared" si="74"/>
        <v>643.17529026988063</v>
      </c>
      <c r="EO73" s="60">
        <f ca="1">AVERAGE(OFFSET($EN$3,0,0,'Données projet'!$E$15+1,1))-AVERAGE(OFFSET($H$3,0,0,'Données projet'!$E$15+1,1))</f>
        <v>273.72403794510291</v>
      </c>
      <c r="EP73" s="60">
        <f t="shared" si="100"/>
        <v>292.00185554564109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15.9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5.6843418860808015E-14</v>
      </c>
      <c r="FF73" s="18">
        <f>FE73*VLOOKUP('Données projet'!$B$16,Paramètres!$A$1:$I$89,3,0)*VLOOKUP('Données projet'!$B$16,Paramètres!$A$1:$I$89,5,0)</f>
        <v>4.4337866711430253E-14</v>
      </c>
      <c r="FG73" s="14">
        <f t="shared" si="101"/>
        <v>7.3222115536967035E-13</v>
      </c>
      <c r="FH73" s="22">
        <f t="shared" si="76"/>
        <v>1.3525069634579169E-12</v>
      </c>
      <c r="FI73" s="60">
        <f t="shared" si="77"/>
        <v>266.40554413701085</v>
      </c>
      <c r="FJ73" s="60">
        <f ca="1">AVERAGE(OFFSET($FI$3,0,0,'Données projet'!$E$16+1,1))-AVERAGE(OFFSET($H$3,0,0,'Données projet'!$E$16+1,1))</f>
        <v>309.21625451786218</v>
      </c>
      <c r="FK73" s="60">
        <f t="shared" si="102"/>
        <v>302.59481222418219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>
        <f>FZ73*VLOOKUP('Données projet'!$B$17,Paramètres!$A$1:$I$89,3,0)*VLOOKUP('Données projet'!$B$17,Paramètres!$A$1:$I$89,5,0)</f>
        <v>0</v>
      </c>
      <c r="GB73" s="14" t="e">
        <f t="shared" si="103"/>
        <v>#NUM!</v>
      </c>
      <c r="GC73" s="22" t="e">
        <f t="shared" si="79"/>
        <v>#NUM!</v>
      </c>
      <c r="GD73" s="60" t="e">
        <f t="shared" si="80"/>
        <v>#NUM!</v>
      </c>
      <c r="GE73" s="60">
        <f ca="1">AVERAGE(OFFSET($GD$3,0,0,'Données projet'!$E$17+1,1))-AVERAGE(OFFSET($H$3,0,0,'Données projet'!$E$17+1,1))</f>
        <v>216.36762889365235</v>
      </c>
      <c r="GF73" s="60">
        <f t="shared" si="104"/>
        <v>333.29599352215496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6.1140623442137079</v>
      </c>
      <c r="GM73" s="23">
        <f>EXP(-LN(2)/25)*GM72+(1-EXP(-LN(2)/25))/(LN(2)/25)*Calculateur!GH73*Calculateur!GJ73*VLOOKUP('Données projet'!$B$17,Paramètres!$A$1:$I$89,3,0)*0.475*44/12</f>
        <v>3.2161071030270825</v>
      </c>
      <c r="GN73" s="23">
        <f>EXP(-LN(2)/2)*GN72+(1-EXP(-LN(2)/2))/(LN(2)/2)*GH73*GK73*VLOOKUP('Données projet'!$B$17,Paramètres!$A$1:$I$89,3,0)*0.475*44/12</f>
        <v>2.7889515847328279E-6</v>
      </c>
      <c r="GO73" s="23">
        <f t="shared" si="81"/>
        <v>9.3301722361923751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4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219.74783999999994</v>
      </c>
      <c r="P74" s="14">
        <f t="shared" si="87"/>
        <v>54.060076332940561</v>
      </c>
      <c r="Q74" s="22">
        <f t="shared" si="54"/>
        <v>476.88212094653812</v>
      </c>
      <c r="R74" s="60">
        <f t="shared" si="55"/>
        <v>743.75480202458607</v>
      </c>
      <c r="S74" s="60">
        <f ca="1">AVERAGE(OFFSET($R$3,0,0,'Données projet'!$E$9+1,1))-AVERAGE(OFFSET($H$3,0,0,'Données projet'!$E$9+1,1))</f>
        <v>496.33873798282525</v>
      </c>
      <c r="T74" s="60">
        <f t="shared" si="88"/>
        <v>280.25465074992246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9.9738461538461483</v>
      </c>
      <c r="AI74" s="14">
        <f>IF('Données projet'!$A$62&gt;35,AI73+AH74-AQ73,IF(A74&lt;'Données projet'!$A$62,$AF$205^A74,IF(A74='Données projet'!$A$62,'Données projet'!$B$62,AI73+AH74-AQ73)))</f>
        <v>320.58153846153857</v>
      </c>
      <c r="AJ74" s="14">
        <f>AI74*VLOOKUP('Données projet'!$B$10,Paramètres!$A$1:$I$89,3,0)*VLOOKUP('Données projet'!$B$10,Paramètres!$A$1:$I$89,5,0)</f>
        <v>150.03216000000003</v>
      </c>
      <c r="AK74" s="14">
        <f t="shared" si="89"/>
        <v>38.585894005067033</v>
      </c>
      <c r="AL74" s="22">
        <f t="shared" si="58"/>
        <v>328.50977739215841</v>
      </c>
      <c r="AM74" s="60">
        <f t="shared" si="59"/>
        <v>595.3824584702063</v>
      </c>
      <c r="AN74" s="60">
        <f ca="1">AVERAGE(OFFSET($AM$3,0,0,'Données projet'!$E$10+1,1))-AVERAGE(OFFSET($H$3,0,0,'Données projet'!$E$10+1,1))</f>
        <v>277.7918215389401</v>
      </c>
      <c r="AO74" s="60">
        <f t="shared" si="90"/>
        <v>164.65640238394164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3.9743589743589722</v>
      </c>
      <c r="BD74" s="13">
        <f>IF('Données projet'!$A$88&gt;35,BD73+BC74-BL73,IF(A74&lt;'Données projet'!$A$88,$BA$205^A74,IF(A74='Données projet'!$A$88,'Données projet'!$B$88,BD73+BC74-BL73)))</f>
        <v>184.74358974358964</v>
      </c>
      <c r="BE74" s="14">
        <f>BD74*VLOOKUP('Données projet'!$B$11,Paramètres!$A$1:$I$89,3,0)*VLOOKUP('Données projet'!$B$11,Paramètres!$A$1:$I$89,5,0)</f>
        <v>175.80199999999991</v>
      </c>
      <c r="BF74" s="14">
        <f t="shared" si="91"/>
        <v>44.386929631997901</v>
      </c>
      <c r="BG74" s="22">
        <f t="shared" si="61"/>
        <v>383.4957191090628</v>
      </c>
      <c r="BH74" s="60">
        <f t="shared" si="62"/>
        <v>650.36840018711075</v>
      </c>
      <c r="BI74" s="60">
        <f ca="1">AVERAGE(OFFSET($BH$3,0,0,'Données projet'!$E$11+1,1))-AVERAGE(OFFSET($H$3,0,0,'Données projet'!$E$11+1,1))</f>
        <v>366.21371543563254</v>
      </c>
      <c r="BJ74" s="60">
        <f t="shared" si="92"/>
        <v>237.43356317334084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4.4871794871794863</v>
      </c>
      <c r="BY74" s="13">
        <f>IF('Données projet'!$A$114&gt;35,BY73+BX74-CG73,IF(A74&lt;'Données projet'!$A$114,$BV$205^A74,IF(A74='Données projet'!$A$114,'Données projet'!$B$114,BY73+BX74-CG73)))</f>
        <v>251.28205128205119</v>
      </c>
      <c r="BZ74" s="14">
        <f>BY74*VLOOKUP('Données projet'!$B$12,Paramètres!$A$1:$I$89,3,0)*VLOOKUP('Données projet'!$B$12,Paramètres!$A$1:$I$89,5,0)</f>
        <v>262.63999999999993</v>
      </c>
      <c r="CA74" s="14">
        <f t="shared" si="93"/>
        <v>63.284787967077669</v>
      </c>
      <c r="CB74" s="22">
        <f t="shared" si="64"/>
        <v>567.65233904266006</v>
      </c>
      <c r="CC74" s="60">
        <f t="shared" si="65"/>
        <v>834.52502012070795</v>
      </c>
      <c r="CD74" s="60">
        <f ca="1">AVERAGE(OFFSET($CC$3,0,0,'Données projet'!$E$12+1,1))-AVERAGE(OFFSET($H$3,0,0,'Données projet'!$E$12+1,1))</f>
        <v>530.79860063513229</v>
      </c>
      <c r="CE74" s="60">
        <f t="shared" si="94"/>
        <v>302.50876440460434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205.57055999999994</v>
      </c>
      <c r="CV74" s="14">
        <f t="shared" si="95"/>
        <v>50.966443946767392</v>
      </c>
      <c r="CW74" s="22">
        <f t="shared" si="67"/>
        <v>446.80194854061978</v>
      </c>
      <c r="CX74" s="60">
        <f t="shared" si="68"/>
        <v>713.67462961866772</v>
      </c>
      <c r="CY74" s="60">
        <f ca="1">AVERAGE(OFFSET($CX$3,0,0,'Données projet'!$E$13+1,1))-AVERAGE(OFFSET($H$3,0,0,'Données projet'!$E$13+1,1))</f>
        <v>469.67944008675863</v>
      </c>
      <c r="CZ74" s="60">
        <f t="shared" si="96"/>
        <v>266.11908070867173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227.19999999999993</v>
      </c>
      <c r="DP74" s="18">
        <f>DO74*VLOOKUP('Données projet'!$B$14,Paramètres!$A$1:$I$89,3,0)*VLOOKUP('Données projet'!$B$14,Paramètres!$A$1:$I$89,5,0)</f>
        <v>244.55807999999993</v>
      </c>
      <c r="DQ74" s="14">
        <f t="shared" si="97"/>
        <v>59.419147189674156</v>
      </c>
      <c r="DR74" s="22">
        <f t="shared" si="70"/>
        <v>529.42700402201569</v>
      </c>
      <c r="DS74" s="60">
        <f t="shared" si="71"/>
        <v>796.2996851000637</v>
      </c>
      <c r="DT74" s="60">
        <f ca="1">AVERAGE(OFFSET($DS$3,0,0,'Données projet'!$E$14+1,1))-AVERAGE(OFFSET($H$3,0,0,'Données projet'!$E$14+1,1))</f>
        <v>542.90832990875208</v>
      </c>
      <c r="DU74" s="60">
        <f t="shared" si="98"/>
        <v>304.94365539329362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2.580000000000001</v>
      </c>
      <c r="EJ74" s="13">
        <f>IF('Données projet'!$A$192&gt;35,EJ73+EI74-ER73,IF(A74&lt;'Données projet'!$A$192,$EG$205^A74,IF(A74='Données projet'!$A$192,'Données projet'!$B$192,EJ73+EI74-ER73)))</f>
        <v>203.68000000000006</v>
      </c>
      <c r="EK74" s="18">
        <f>EJ74*VLOOKUP('Données projet'!$B$15,Paramètres!$A$1:$I$89,3,0)*VLOOKUP('Données projet'!$B$15,Paramètres!$A$1:$I$89,5,0)</f>
        <v>162.04780800000006</v>
      </c>
      <c r="EL74" s="14">
        <f t="shared" si="99"/>
        <v>41.304061788464352</v>
      </c>
      <c r="EM74" s="22">
        <f t="shared" si="73"/>
        <v>354.17117321490878</v>
      </c>
      <c r="EN74" s="60">
        <f t="shared" si="74"/>
        <v>621.04385429295667</v>
      </c>
      <c r="EO74" s="60">
        <f ca="1">AVERAGE(OFFSET($EN$3,0,0,'Données projet'!$E$15+1,1))-AVERAGE(OFFSET($H$3,0,0,'Données projet'!$E$15+1,1))</f>
        <v>273.72403794510291</v>
      </c>
      <c r="EP74" s="60">
        <f t="shared" si="100"/>
        <v>292.00185554564109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5.6843418860808015E-14</v>
      </c>
      <c r="FF74" s="18">
        <f>FE74*VLOOKUP('Données projet'!$B$16,Paramètres!$A$1:$I$89,3,0)*VLOOKUP('Données projet'!$B$16,Paramètres!$A$1:$I$89,5,0)</f>
        <v>4.4337866711430253E-14</v>
      </c>
      <c r="FG74" s="14">
        <f t="shared" si="101"/>
        <v>7.3222115536967035E-13</v>
      </c>
      <c r="FH74" s="22">
        <f t="shared" si="76"/>
        <v>1.3525069634579169E-12</v>
      </c>
      <c r="FI74" s="60">
        <f t="shared" si="77"/>
        <v>266.87268107804931</v>
      </c>
      <c r="FJ74" s="60">
        <f ca="1">AVERAGE(OFFSET($FI$3,0,0,'Données projet'!$E$16+1,1))-AVERAGE(OFFSET($H$3,0,0,'Données projet'!$E$16+1,1))</f>
        <v>309.21625451786218</v>
      </c>
      <c r="FK74" s="60">
        <f t="shared" si="102"/>
        <v>302.59481222418219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>
        <f>FZ74*VLOOKUP('Données projet'!$B$17,Paramètres!$A$1:$I$89,3,0)*VLOOKUP('Données projet'!$B$17,Paramètres!$A$1:$I$89,5,0)</f>
        <v>0</v>
      </c>
      <c r="GB74" s="14" t="e">
        <f t="shared" si="103"/>
        <v>#NUM!</v>
      </c>
      <c r="GC74" s="22" t="e">
        <f t="shared" si="79"/>
        <v>#NUM!</v>
      </c>
      <c r="GD74" s="60" t="e">
        <f t="shared" si="80"/>
        <v>#NUM!</v>
      </c>
      <c r="GE74" s="60">
        <f ca="1">AVERAGE(OFFSET($GD$3,0,0,'Données projet'!$E$17+1,1))-AVERAGE(OFFSET($H$3,0,0,'Données projet'!$E$17+1,1))</f>
        <v>216.36762889365235</v>
      </c>
      <c r="GF74" s="60">
        <f t="shared" si="104"/>
        <v>333.29599352215496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5.9941693108534784</v>
      </c>
      <c r="GM74" s="23">
        <f>EXP(-LN(2)/25)*GM73+(1-EXP(-LN(2)/25))/(LN(2)/25)*Calculateur!GH74*Calculateur!GJ74*VLOOKUP('Données projet'!$B$17,Paramètres!$A$1:$I$89,3,0)*0.475*44/12</f>
        <v>3.1281624851670848</v>
      </c>
      <c r="GN74" s="23">
        <f>EXP(-LN(2)/2)*GN73+(1-EXP(-LN(2)/2))/(LN(2)/2)*GH74*GK74*VLOOKUP('Données projet'!$B$17,Paramètres!$A$1:$I$89,3,0)*0.475*44/12</f>
        <v>1.9720865779655507E-6</v>
      </c>
      <c r="GO74" s="23">
        <f t="shared" si="81"/>
        <v>9.1223337681071417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4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225.74447999999992</v>
      </c>
      <c r="P75" s="14">
        <f t="shared" si="87"/>
        <v>55.36154088431374</v>
      </c>
      <c r="Q75" s="22">
        <f t="shared" si="54"/>
        <v>489.59298637351299</v>
      </c>
      <c r="R75" s="60">
        <f t="shared" si="55"/>
        <v>756.92470061103404</v>
      </c>
      <c r="S75" s="60">
        <f ca="1">AVERAGE(OFFSET($R$3,0,0,'Données projet'!$E$9+1,1))-AVERAGE(OFFSET($H$3,0,0,'Données projet'!$E$9+1,1))</f>
        <v>496.33873798282525</v>
      </c>
      <c r="T75" s="60">
        <f t="shared" si="88"/>
        <v>280.25465074992246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9.9738461538461483</v>
      </c>
      <c r="AI75" s="14">
        <f>IF('Données projet'!$A$62&gt;35,AI74+AH75-AQ74,IF(A75&lt;'Données projet'!$A$62,$AF$205^A75,IF(A75='Données projet'!$A$62,'Données projet'!$B$62,AI74+AH75-AQ74)))</f>
        <v>330.5553846153847</v>
      </c>
      <c r="AJ75" s="14">
        <f>AI75*VLOOKUP('Données projet'!$B$10,Paramètres!$A$1:$I$89,3,0)*VLOOKUP('Données projet'!$B$10,Paramètres!$A$1:$I$89,5,0)</f>
        <v>154.69992000000005</v>
      </c>
      <c r="AK75" s="14">
        <f t="shared" si="89"/>
        <v>39.644733940773868</v>
      </c>
      <c r="AL75" s="22">
        <f t="shared" si="58"/>
        <v>338.48360561351461</v>
      </c>
      <c r="AM75" s="60">
        <f t="shared" si="59"/>
        <v>605.81531985103572</v>
      </c>
      <c r="AN75" s="60">
        <f ca="1">AVERAGE(OFFSET($AM$3,0,0,'Données projet'!$E$10+1,1))-AVERAGE(OFFSET($H$3,0,0,'Données projet'!$E$10+1,1))</f>
        <v>277.7918215389401</v>
      </c>
      <c r="AO75" s="60">
        <f t="shared" si="90"/>
        <v>164.65640238394164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3.9743589743589722</v>
      </c>
      <c r="BD75" s="13">
        <f>IF('Données projet'!$A$88&gt;35,BD74+BC75-BL74,IF(A75&lt;'Données projet'!$A$88,$BA$205^A75,IF(A75='Données projet'!$A$88,'Données projet'!$B$88,BD74+BC75-BL74)))</f>
        <v>188.71794871794862</v>
      </c>
      <c r="BE75" s="14">
        <f>BD75*VLOOKUP('Données projet'!$B$11,Paramètres!$A$1:$I$89,3,0)*VLOOKUP('Données projet'!$B$11,Paramètres!$A$1:$I$89,5,0)</f>
        <v>179.58399999999989</v>
      </c>
      <c r="BF75" s="14">
        <f t="shared" si="91"/>
        <v>45.229621371283365</v>
      </c>
      <c r="BG75" s="22">
        <f t="shared" si="61"/>
        <v>391.55039055498497</v>
      </c>
      <c r="BH75" s="60">
        <f t="shared" si="62"/>
        <v>658.88210479250608</v>
      </c>
      <c r="BI75" s="60">
        <f ca="1">AVERAGE(OFFSET($BH$3,0,0,'Données projet'!$E$11+1,1))-AVERAGE(OFFSET($H$3,0,0,'Données projet'!$E$11+1,1))</f>
        <v>366.21371543563254</v>
      </c>
      <c r="BJ75" s="60">
        <f t="shared" si="92"/>
        <v>237.43356317334084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4.4871794871794863</v>
      </c>
      <c r="BY75" s="13">
        <f>IF('Données projet'!$A$114&gt;35,BY74+BX75-CG74,IF(A75&lt;'Données projet'!$A$114,$BV$205^A75,IF(A75='Données projet'!$A$114,'Données projet'!$B$114,BY74+BX75-CG74)))</f>
        <v>255.76923076923066</v>
      </c>
      <c r="BZ75" s="14">
        <f>BY75*VLOOKUP('Données projet'!$B$12,Paramètres!$A$1:$I$89,3,0)*VLOOKUP('Données projet'!$B$12,Paramètres!$A$1:$I$89,5,0)</f>
        <v>267.32999999999993</v>
      </c>
      <c r="CA75" s="14">
        <f t="shared" si="93"/>
        <v>64.282300574115965</v>
      </c>
      <c r="CB75" s="22">
        <f t="shared" si="64"/>
        <v>577.5580901665852</v>
      </c>
      <c r="CC75" s="60">
        <f t="shared" si="65"/>
        <v>844.88980440410637</v>
      </c>
      <c r="CD75" s="60">
        <f ca="1">AVERAGE(OFFSET($CC$3,0,0,'Données projet'!$E$12+1,1))-AVERAGE(OFFSET($H$3,0,0,'Données projet'!$E$12+1,1))</f>
        <v>530.79860063513229</v>
      </c>
      <c r="CE75" s="60">
        <f t="shared" si="94"/>
        <v>302.50876440460434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211.18031999999994</v>
      </c>
      <c r="CV75" s="14">
        <f t="shared" si="95"/>
        <v>52.193431117443019</v>
      </c>
      <c r="CW75" s="22">
        <f t="shared" si="67"/>
        <v>458.70928319621316</v>
      </c>
      <c r="CX75" s="60">
        <f t="shared" si="68"/>
        <v>726.04099743373422</v>
      </c>
      <c r="CY75" s="60">
        <f ca="1">AVERAGE(OFFSET($CX$3,0,0,'Données projet'!$E$13+1,1))-AVERAGE(OFFSET($H$3,0,0,'Données projet'!$E$13+1,1))</f>
        <v>469.67944008675863</v>
      </c>
      <c r="CZ75" s="60">
        <f t="shared" si="96"/>
        <v>266.11908070867173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233.39999999999992</v>
      </c>
      <c r="DP75" s="18">
        <f>DO75*VLOOKUP('Données projet'!$B$14,Paramètres!$A$1:$I$89,3,0)*VLOOKUP('Données projet'!$B$14,Paramètres!$A$1:$I$89,5,0)</f>
        <v>251.23175999999989</v>
      </c>
      <c r="DQ75" s="14">
        <f t="shared" si="97"/>
        <v>60.849628220886878</v>
      </c>
      <c r="DR75" s="22">
        <f t="shared" si="70"/>
        <v>543.54175115137775</v>
      </c>
      <c r="DS75" s="60">
        <f t="shared" si="71"/>
        <v>810.87346538889892</v>
      </c>
      <c r="DT75" s="60">
        <f ca="1">AVERAGE(OFFSET($DS$3,0,0,'Données projet'!$E$14+1,1))-AVERAGE(OFFSET($H$3,0,0,'Données projet'!$E$14+1,1))</f>
        <v>542.90832990875208</v>
      </c>
      <c r="DU75" s="60">
        <f t="shared" si="98"/>
        <v>304.94365539329362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2.580000000000001</v>
      </c>
      <c r="EJ75" s="13">
        <f>IF('Données projet'!$A$192&gt;35,EJ74+EI75-ER74,IF(A75&lt;'Données projet'!$A$192,$EG$205^A75,IF(A75='Données projet'!$A$192,'Données projet'!$B$192,EJ74+EI75-ER74)))</f>
        <v>206.26000000000008</v>
      </c>
      <c r="EK75" s="18">
        <f>EJ75*VLOOKUP('Données projet'!$B$15,Paramètres!$A$1:$I$89,3,0)*VLOOKUP('Données projet'!$B$15,Paramètres!$A$1:$I$89,5,0)</f>
        <v>164.10045600000007</v>
      </c>
      <c r="EL75" s="14">
        <f t="shared" si="99"/>
        <v>41.766018203361511</v>
      </c>
      <c r="EM75" s="22">
        <f t="shared" si="73"/>
        <v>358.55077590418801</v>
      </c>
      <c r="EN75" s="60">
        <f t="shared" si="74"/>
        <v>625.88249014170913</v>
      </c>
      <c r="EO75" s="60">
        <f ca="1">AVERAGE(OFFSET($EN$3,0,0,'Données projet'!$E$15+1,1))-AVERAGE(OFFSET($H$3,0,0,'Données projet'!$E$15+1,1))</f>
        <v>273.72403794510291</v>
      </c>
      <c r="EP75" s="60">
        <f t="shared" si="100"/>
        <v>292.00185554564109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5.6843418860808015E-14</v>
      </c>
      <c r="FF75" s="18">
        <f>FE75*VLOOKUP('Données projet'!$B$16,Paramètres!$A$1:$I$89,3,0)*VLOOKUP('Données projet'!$B$16,Paramètres!$A$1:$I$89,5,0)</f>
        <v>4.4337866711430253E-14</v>
      </c>
      <c r="FG75" s="14">
        <f t="shared" si="101"/>
        <v>7.3222115536967035E-13</v>
      </c>
      <c r="FH75" s="22">
        <f t="shared" si="76"/>
        <v>1.3525069634579169E-12</v>
      </c>
      <c r="FI75" s="60">
        <f t="shared" si="77"/>
        <v>267.33171423752248</v>
      </c>
      <c r="FJ75" s="60">
        <f ca="1">AVERAGE(OFFSET($FI$3,0,0,'Données projet'!$E$16+1,1))-AVERAGE(OFFSET($H$3,0,0,'Données projet'!$E$16+1,1))</f>
        <v>309.21625451786218</v>
      </c>
      <c r="FK75" s="60">
        <f t="shared" si="102"/>
        <v>302.59481222418219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>
        <f>FZ75*VLOOKUP('Données projet'!$B$17,Paramètres!$A$1:$I$89,3,0)*VLOOKUP('Données projet'!$B$17,Paramètres!$A$1:$I$89,5,0)</f>
        <v>0</v>
      </c>
      <c r="GB75" s="14" t="e">
        <f t="shared" si="103"/>
        <v>#NUM!</v>
      </c>
      <c r="GC75" s="22" t="e">
        <f t="shared" si="79"/>
        <v>#NUM!</v>
      </c>
      <c r="GD75" s="60" t="e">
        <f t="shared" si="80"/>
        <v>#NUM!</v>
      </c>
      <c r="GE75" s="60">
        <f ca="1">AVERAGE(OFFSET($GD$3,0,0,'Données projet'!$E$17+1,1))-AVERAGE(OFFSET($H$3,0,0,'Données projet'!$E$17+1,1))</f>
        <v>216.36762889365235</v>
      </c>
      <c r="GF75" s="60">
        <f t="shared" si="104"/>
        <v>333.29599352215496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5.8766273067499135</v>
      </c>
      <c r="GM75" s="23">
        <f>EXP(-LN(2)/25)*GM74+(1-EXP(-LN(2)/25))/(LN(2)/25)*Calculateur!GH75*Calculateur!GJ75*VLOOKUP('Données projet'!$B$17,Paramètres!$A$1:$I$89,3,0)*0.475*44/12</f>
        <v>3.0426227175072755</v>
      </c>
      <c r="GN75" s="23">
        <f>EXP(-LN(2)/2)*GN74+(1-EXP(-LN(2)/2))/(LN(2)/2)*GH75*GK75*VLOOKUP('Données projet'!$B$17,Paramètres!$A$1:$I$89,3,0)*0.475*44/12</f>
        <v>1.394475792366414E-6</v>
      </c>
      <c r="GO75" s="23">
        <f t="shared" si="81"/>
        <v>8.9192514187329799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4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231.74111999999991</v>
      </c>
      <c r="P76" s="14">
        <f t="shared" si="87"/>
        <v>56.658986982752438</v>
      </c>
      <c r="Q76" s="22">
        <f t="shared" si="54"/>
        <v>502.29685299496032</v>
      </c>
      <c r="R76" s="60">
        <f t="shared" si="55"/>
        <v>770.07963719288205</v>
      </c>
      <c r="S76" s="60">
        <f ca="1">AVERAGE(OFFSET($R$3,0,0,'Données projet'!$E$9+1,1))-AVERAGE(OFFSET($H$3,0,0,'Données projet'!$E$9+1,1))</f>
        <v>496.33873798282525</v>
      </c>
      <c r="T76" s="60">
        <f t="shared" si="88"/>
        <v>280.25465074992246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9.9738461538461483</v>
      </c>
      <c r="AI76" s="14">
        <f>IF('Données projet'!$A$62&gt;35,AI75+AH76-AQ75,IF(A76&lt;'Données projet'!$A$62,$AF$205^A76,IF(A76='Données projet'!$A$62,'Données projet'!$B$62,AI75+AH76-AQ75)))</f>
        <v>340.52923076923082</v>
      </c>
      <c r="AJ76" s="14">
        <f>AI76*VLOOKUP('Données projet'!$B$10,Paramètres!$A$1:$I$89,3,0)*VLOOKUP('Données projet'!$B$10,Paramètres!$A$1:$I$89,5,0)</f>
        <v>159.36768000000004</v>
      </c>
      <c r="AK76" s="14">
        <f t="shared" si="89"/>
        <v>40.69986101346781</v>
      </c>
      <c r="AL76" s="22">
        <f t="shared" si="58"/>
        <v>348.45096726512315</v>
      </c>
      <c r="AM76" s="60">
        <f t="shared" si="59"/>
        <v>616.23375146304488</v>
      </c>
      <c r="AN76" s="60">
        <f ca="1">AVERAGE(OFFSET($AM$3,0,0,'Données projet'!$E$10+1,1))-AVERAGE(OFFSET($H$3,0,0,'Données projet'!$E$10+1,1))</f>
        <v>277.7918215389401</v>
      </c>
      <c r="AO76" s="60">
        <f t="shared" si="90"/>
        <v>164.65640238394164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3.9743589743589722</v>
      </c>
      <c r="BD76" s="13">
        <f>IF('Données projet'!$A$88&gt;35,BD75+BC76-BL75,IF(A76&lt;'Données projet'!$A$88,$BA$205^A76,IF(A76='Données projet'!$A$88,'Données projet'!$B$88,BD75+BC76-BL75)))</f>
        <v>192.69230769230759</v>
      </c>
      <c r="BE76" s="14">
        <f>BD76*VLOOKUP('Données projet'!$B$11,Paramètres!$A$1:$I$89,3,0)*VLOOKUP('Données projet'!$B$11,Paramètres!$A$1:$I$89,5,0)</f>
        <v>183.3659999999999</v>
      </c>
      <c r="BF76" s="14">
        <f t="shared" si="91"/>
        <v>46.07024973949401</v>
      </c>
      <c r="BG76" s="22">
        <f t="shared" si="61"/>
        <v>399.60146829628525</v>
      </c>
      <c r="BH76" s="60">
        <f t="shared" si="62"/>
        <v>667.38425249420698</v>
      </c>
      <c r="BI76" s="60">
        <f ca="1">AVERAGE(OFFSET($BH$3,0,0,'Données projet'!$E$11+1,1))-AVERAGE(OFFSET($H$3,0,0,'Données projet'!$E$11+1,1))</f>
        <v>366.21371543563254</v>
      </c>
      <c r="BJ76" s="60">
        <f t="shared" si="92"/>
        <v>237.43356317334084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4.4871794871794863</v>
      </c>
      <c r="BY76" s="13">
        <f>IF('Données projet'!$A$114&gt;35,BY75+BX76-CG75,IF(A76&lt;'Données projet'!$A$114,$BV$205^A76,IF(A76='Données projet'!$A$114,'Données projet'!$B$114,BY75+BX76-CG75)))</f>
        <v>260.25641025641016</v>
      </c>
      <c r="BZ76" s="14">
        <f>BY76*VLOOKUP('Données projet'!$B$12,Paramètres!$A$1:$I$89,3,0)*VLOOKUP('Données projet'!$B$12,Paramètres!$A$1:$I$89,5,0)</f>
        <v>272.01999999999992</v>
      </c>
      <c r="CA76" s="14">
        <f t="shared" si="93"/>
        <v>65.277778123539591</v>
      </c>
      <c r="CB76" s="22">
        <f t="shared" si="64"/>
        <v>587.46029689849797</v>
      </c>
      <c r="CC76" s="60">
        <f t="shared" si="65"/>
        <v>855.2430810964197</v>
      </c>
      <c r="CD76" s="60">
        <f ca="1">AVERAGE(OFFSET($CC$3,0,0,'Données projet'!$E$12+1,1))-AVERAGE(OFFSET($H$3,0,0,'Données projet'!$E$12+1,1))</f>
        <v>530.79860063513229</v>
      </c>
      <c r="CE76" s="60">
        <f t="shared" si="94"/>
        <v>302.50876440460434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216.7900799999999</v>
      </c>
      <c r="CV76" s="14">
        <f t="shared" si="95"/>
        <v>53.416629794462551</v>
      </c>
      <c r="CW76" s="22">
        <f t="shared" si="67"/>
        <v>470.61001955868869</v>
      </c>
      <c r="CX76" s="60">
        <f t="shared" si="68"/>
        <v>738.39280375661042</v>
      </c>
      <c r="CY76" s="60">
        <f ca="1">AVERAGE(OFFSET($CX$3,0,0,'Données projet'!$E$13+1,1))-AVERAGE(OFFSET($H$3,0,0,'Données projet'!$E$13+1,1))</f>
        <v>469.67944008675863</v>
      </c>
      <c r="CZ76" s="60">
        <f t="shared" si="96"/>
        <v>266.11908070867173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239.59999999999991</v>
      </c>
      <c r="DP76" s="18">
        <f>DO76*VLOOKUP('Données projet'!$B$14,Paramètres!$A$1:$I$89,3,0)*VLOOKUP('Données projet'!$B$14,Paramètres!$A$1:$I$89,5,0)</f>
        <v>257.90543999999989</v>
      </c>
      <c r="DQ76" s="14">
        <f t="shared" si="97"/>
        <v>62.275692442827719</v>
      </c>
      <c r="DR76" s="22">
        <f t="shared" si="70"/>
        <v>557.64880567125817</v>
      </c>
      <c r="DS76" s="60">
        <f t="shared" si="71"/>
        <v>825.43158986918002</v>
      </c>
      <c r="DT76" s="60">
        <f ca="1">AVERAGE(OFFSET($DS$3,0,0,'Données projet'!$E$14+1,1))-AVERAGE(OFFSET($H$3,0,0,'Données projet'!$E$14+1,1))</f>
        <v>542.90832990875208</v>
      </c>
      <c r="DU76" s="60">
        <f t="shared" si="98"/>
        <v>304.94365539329362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2.580000000000001</v>
      </c>
      <c r="EJ76" s="13">
        <f>IF('Données projet'!$A$192&gt;35,EJ75+EI76-ER75,IF(A76&lt;'Données projet'!$A$192,$EG$205^A76,IF(A76='Données projet'!$A$192,'Données projet'!$B$192,EJ75+EI76-ER75)))</f>
        <v>208.84000000000009</v>
      </c>
      <c r="EK76" s="18">
        <f>EJ76*VLOOKUP('Données projet'!$B$15,Paramètres!$A$1:$I$89,3,0)*VLOOKUP('Données projet'!$B$15,Paramètres!$A$1:$I$89,5,0)</f>
        <v>166.1531040000001</v>
      </c>
      <c r="EL76" s="14">
        <f t="shared" si="99"/>
        <v>42.227302486330821</v>
      </c>
      <c r="EM76" s="22">
        <f t="shared" si="73"/>
        <v>362.92920796369299</v>
      </c>
      <c r="EN76" s="60">
        <f t="shared" si="74"/>
        <v>630.71199216161472</v>
      </c>
      <c r="EO76" s="60">
        <f ca="1">AVERAGE(OFFSET($EN$3,0,0,'Données projet'!$E$15+1,1))-AVERAGE(OFFSET($H$3,0,0,'Données projet'!$E$15+1,1))</f>
        <v>273.72403794510291</v>
      </c>
      <c r="EP76" s="60">
        <f t="shared" si="100"/>
        <v>292.00185554564109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5.6843418860808015E-14</v>
      </c>
      <c r="FF76" s="18">
        <f>FE76*VLOOKUP('Données projet'!$B$16,Paramètres!$A$1:$I$89,3,0)*VLOOKUP('Données projet'!$B$16,Paramètres!$A$1:$I$89,5,0)</f>
        <v>4.4337866711430253E-14</v>
      </c>
      <c r="FG76" s="14">
        <f t="shared" si="101"/>
        <v>7.3222115536967035E-13</v>
      </c>
      <c r="FH76" s="22">
        <f t="shared" si="76"/>
        <v>1.3525069634579169E-12</v>
      </c>
      <c r="FI76" s="60">
        <f t="shared" si="77"/>
        <v>267.78278419792315</v>
      </c>
      <c r="FJ76" s="60">
        <f ca="1">AVERAGE(OFFSET($FI$3,0,0,'Données projet'!$E$16+1,1))-AVERAGE(OFFSET($H$3,0,0,'Données projet'!$E$16+1,1))</f>
        <v>309.21625451786218</v>
      </c>
      <c r="FK76" s="60">
        <f t="shared" si="102"/>
        <v>302.59481222418219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>
        <f>FZ76*VLOOKUP('Données projet'!$B$17,Paramètres!$A$1:$I$89,3,0)*VLOOKUP('Données projet'!$B$17,Paramètres!$A$1:$I$89,5,0)</f>
        <v>0</v>
      </c>
      <c r="GB76" s="14" t="e">
        <f t="shared" si="103"/>
        <v>#NUM!</v>
      </c>
      <c r="GC76" s="22" t="e">
        <f t="shared" si="79"/>
        <v>#NUM!</v>
      </c>
      <c r="GD76" s="60" t="e">
        <f t="shared" si="80"/>
        <v>#NUM!</v>
      </c>
      <c r="GE76" s="60">
        <f ca="1">AVERAGE(OFFSET($GD$3,0,0,'Données projet'!$E$17+1,1))-AVERAGE(OFFSET($H$3,0,0,'Données projet'!$E$17+1,1))</f>
        <v>216.36762889365235</v>
      </c>
      <c r="GF76" s="60">
        <f t="shared" si="104"/>
        <v>333.29599352215496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5.7613902296532755</v>
      </c>
      <c r="GM76" s="23">
        <f>EXP(-LN(2)/25)*GM75+(1-EXP(-LN(2)/25))/(LN(2)/25)*Calculateur!GH76*Calculateur!GJ76*VLOOKUP('Données projet'!$B$17,Paramètres!$A$1:$I$89,3,0)*0.475*44/12</f>
        <v>2.9594220392924644</v>
      </c>
      <c r="GN76" s="23">
        <f>EXP(-LN(2)/2)*GN75+(1-EXP(-LN(2)/2))/(LN(2)/2)*GH76*GK76*VLOOKUP('Données projet'!$B$17,Paramètres!$A$1:$I$89,3,0)*0.475*44/12</f>
        <v>9.8604328898277535E-7</v>
      </c>
      <c r="GO76" s="23">
        <f t="shared" si="81"/>
        <v>8.7208132549890287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4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237.73775999999989</v>
      </c>
      <c r="P77" s="14">
        <f t="shared" si="87"/>
        <v>57.952530566790166</v>
      </c>
      <c r="Q77" s="22">
        <f t="shared" si="54"/>
        <v>514.99392273715932</v>
      </c>
      <c r="R77" s="60">
        <f t="shared" si="55"/>
        <v>783.21995184011018</v>
      </c>
      <c r="S77" s="60">
        <f ca="1">AVERAGE(OFFSET($R$3,0,0,'Données projet'!$E$9+1,1))-AVERAGE(OFFSET($H$3,0,0,'Données projet'!$E$9+1,1))</f>
        <v>496.33873798282525</v>
      </c>
      <c r="T77" s="60">
        <f t="shared" si="88"/>
        <v>280.25465074992246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9.9738461538461483</v>
      </c>
      <c r="AI77" s="14">
        <f>IF('Données projet'!$A$62&gt;35,AI76+AH77-AQ76,IF(A77&lt;'Données projet'!$A$62,$AF$205^A77,IF(A77='Données projet'!$A$62,'Données projet'!$B$62,AI76+AH77-AQ76)))</f>
        <v>350.50307692307695</v>
      </c>
      <c r="AJ77" s="14">
        <f>AI77*VLOOKUP('Données projet'!$B$10,Paramètres!$A$1:$I$89,3,0)*VLOOKUP('Données projet'!$B$10,Paramètres!$A$1:$I$89,5,0)</f>
        <v>164.03543999999999</v>
      </c>
      <c r="AK77" s="14">
        <f t="shared" si="89"/>
        <v>41.751396456696057</v>
      </c>
      <c r="AL77" s="22">
        <f t="shared" si="58"/>
        <v>358.41207349541224</v>
      </c>
      <c r="AM77" s="60">
        <f t="shared" si="59"/>
        <v>626.63810259836305</v>
      </c>
      <c r="AN77" s="60">
        <f ca="1">AVERAGE(OFFSET($AM$3,0,0,'Données projet'!$E$10+1,1))-AVERAGE(OFFSET($H$3,0,0,'Données projet'!$E$10+1,1))</f>
        <v>277.7918215389401</v>
      </c>
      <c r="AO77" s="60">
        <f t="shared" si="90"/>
        <v>164.65640238394164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3.9743589743589722</v>
      </c>
      <c r="BD77" s="13">
        <f>IF('Données projet'!$A$88&gt;35,BD76+BC77-BL76,IF(A77&lt;'Données projet'!$A$88,$BA$205^A77,IF(A77='Données projet'!$A$88,'Données projet'!$B$88,BD76+BC77-BL76)))</f>
        <v>196.66666666666657</v>
      </c>
      <c r="BE77" s="14">
        <f>BD77*VLOOKUP('Données projet'!$B$11,Paramètres!$A$1:$I$89,3,0)*VLOOKUP('Données projet'!$B$11,Paramètres!$A$1:$I$89,5,0)</f>
        <v>187.14799999999991</v>
      </c>
      <c r="BF77" s="14">
        <f t="shared" si="91"/>
        <v>46.908862198060476</v>
      </c>
      <c r="BG77" s="22">
        <f t="shared" si="61"/>
        <v>407.64903499495517</v>
      </c>
      <c r="BH77" s="60">
        <f t="shared" si="62"/>
        <v>675.87506409790603</v>
      </c>
      <c r="BI77" s="60">
        <f ca="1">AVERAGE(OFFSET($BH$3,0,0,'Données projet'!$E$11+1,1))-AVERAGE(OFFSET($H$3,0,0,'Données projet'!$E$11+1,1))</f>
        <v>366.21371543563254</v>
      </c>
      <c r="BJ77" s="60">
        <f t="shared" si="92"/>
        <v>237.43356317334084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4.4871794871794863</v>
      </c>
      <c r="BY77" s="13">
        <f>IF('Données projet'!$A$114&gt;35,BY76+BX77-CG76,IF(A77&lt;'Données projet'!$A$114,$BV$205^A77,IF(A77='Données projet'!$A$114,'Données projet'!$B$114,BY76+BX77-CG76)))</f>
        <v>264.74358974358967</v>
      </c>
      <c r="BZ77" s="14">
        <f>BY77*VLOOKUP('Données projet'!$B$12,Paramètres!$A$1:$I$89,3,0)*VLOOKUP('Données projet'!$B$12,Paramètres!$A$1:$I$89,5,0)</f>
        <v>276.70999999999992</v>
      </c>
      <c r="CA77" s="14">
        <f t="shared" si="93"/>
        <v>66.271259751326923</v>
      </c>
      <c r="CB77" s="22">
        <f t="shared" si="64"/>
        <v>597.35902740022755</v>
      </c>
      <c r="CC77" s="60">
        <f t="shared" si="65"/>
        <v>865.58505650317841</v>
      </c>
      <c r="CD77" s="60">
        <f ca="1">AVERAGE(OFFSET($CC$3,0,0,'Données projet'!$E$12+1,1))-AVERAGE(OFFSET($H$3,0,0,'Données projet'!$E$12+1,1))</f>
        <v>530.79860063513229</v>
      </c>
      <c r="CE77" s="60">
        <f t="shared" si="94"/>
        <v>302.50876440460434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222.3998399999999</v>
      </c>
      <c r="CV77" s="14">
        <f t="shared" si="95"/>
        <v>54.636149281681448</v>
      </c>
      <c r="CW77" s="22">
        <f t="shared" si="67"/>
        <v>482.50434799892832</v>
      </c>
      <c r="CX77" s="60">
        <f t="shared" si="68"/>
        <v>750.73037710187918</v>
      </c>
      <c r="CY77" s="60">
        <f ca="1">AVERAGE(OFFSET($CX$3,0,0,'Données projet'!$E$13+1,1))-AVERAGE(OFFSET($H$3,0,0,'Données projet'!$E$13+1,1))</f>
        <v>469.67944008675863</v>
      </c>
      <c r="CZ77" s="60">
        <f t="shared" si="96"/>
        <v>266.11908070867173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245.7999999999999</v>
      </c>
      <c r="DP77" s="18">
        <f>DO77*VLOOKUP('Données projet'!$B$14,Paramètres!$A$1:$I$89,3,0)*VLOOKUP('Données projet'!$B$14,Paramètres!$A$1:$I$89,5,0)</f>
        <v>264.57911999999988</v>
      </c>
      <c r="DQ77" s="14">
        <f t="shared" si="97"/>
        <v>63.697467287221869</v>
      </c>
      <c r="DR77" s="22">
        <f t="shared" si="70"/>
        <v>571.74838952524453</v>
      </c>
      <c r="DS77" s="60">
        <f t="shared" si="71"/>
        <v>839.97441862819539</v>
      </c>
      <c r="DT77" s="60">
        <f ca="1">AVERAGE(OFFSET($DS$3,0,0,'Données projet'!$E$14+1,1))-AVERAGE(OFFSET($H$3,0,0,'Données projet'!$E$14+1,1))</f>
        <v>542.90832990875208</v>
      </c>
      <c r="DU77" s="60">
        <f t="shared" si="98"/>
        <v>304.94365539329362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2.580000000000001</v>
      </c>
      <c r="EJ77" s="13">
        <f>IF('Données projet'!$A$192&gt;35,EJ76+EI77-ER76,IF(A77&lt;'Données projet'!$A$192,$EG$205^A77,IF(A77='Données projet'!$A$192,'Données projet'!$B$192,EJ76+EI77-ER76)))</f>
        <v>211.4200000000001</v>
      </c>
      <c r="EK77" s="18">
        <f>EJ77*VLOOKUP('Données projet'!$B$15,Paramètres!$A$1:$I$89,3,0)*VLOOKUP('Données projet'!$B$15,Paramètres!$A$1:$I$89,5,0)</f>
        <v>168.20575200000007</v>
      </c>
      <c r="EL77" s="14">
        <f t="shared" si="99"/>
        <v>42.687923901197841</v>
      </c>
      <c r="EM77" s="22">
        <f t="shared" si="73"/>
        <v>367.30648552791968</v>
      </c>
      <c r="EN77" s="60">
        <f t="shared" si="74"/>
        <v>635.53251463087054</v>
      </c>
      <c r="EO77" s="60">
        <f ca="1">AVERAGE(OFFSET($EN$3,0,0,'Données projet'!$E$15+1,1))-AVERAGE(OFFSET($H$3,0,0,'Données projet'!$E$15+1,1))</f>
        <v>273.72403794510291</v>
      </c>
      <c r="EP77" s="60">
        <f t="shared" si="100"/>
        <v>292.00185554564109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5.6843418860808015E-14</v>
      </c>
      <c r="FF77" s="18">
        <f>FE77*VLOOKUP('Données projet'!$B$16,Paramètres!$A$1:$I$89,3,0)*VLOOKUP('Données projet'!$B$16,Paramètres!$A$1:$I$89,5,0)</f>
        <v>4.4337866711430253E-14</v>
      </c>
      <c r="FG77" s="14">
        <f t="shared" si="101"/>
        <v>7.3222115536967035E-13</v>
      </c>
      <c r="FH77" s="22">
        <f t="shared" si="76"/>
        <v>1.3525069634579169E-12</v>
      </c>
      <c r="FI77" s="60">
        <f t="shared" si="77"/>
        <v>268.22602910295223</v>
      </c>
      <c r="FJ77" s="60">
        <f ca="1">AVERAGE(OFFSET($FI$3,0,0,'Données projet'!$E$16+1,1))-AVERAGE(OFFSET($H$3,0,0,'Données projet'!$E$16+1,1))</f>
        <v>309.21625451786218</v>
      </c>
      <c r="FK77" s="60">
        <f t="shared" si="102"/>
        <v>302.59481222418219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>
        <f>FZ77*VLOOKUP('Données projet'!$B$17,Paramètres!$A$1:$I$89,3,0)*VLOOKUP('Données projet'!$B$17,Paramètres!$A$1:$I$89,5,0)</f>
        <v>0</v>
      </c>
      <c r="GB77" s="14" t="e">
        <f t="shared" si="103"/>
        <v>#NUM!</v>
      </c>
      <c r="GC77" s="22" t="e">
        <f t="shared" si="79"/>
        <v>#NUM!</v>
      </c>
      <c r="GD77" s="60" t="e">
        <f t="shared" si="80"/>
        <v>#NUM!</v>
      </c>
      <c r="GE77" s="60">
        <f ca="1">AVERAGE(OFFSET($GD$3,0,0,'Données projet'!$E$17+1,1))-AVERAGE(OFFSET($H$3,0,0,'Données projet'!$E$17+1,1))</f>
        <v>216.36762889365235</v>
      </c>
      <c r="GF77" s="60">
        <f t="shared" si="104"/>
        <v>333.29599352215496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5.6484128813508265</v>
      </c>
      <c r="GM77" s="23">
        <f>EXP(-LN(2)/25)*GM76+(1-EXP(-LN(2)/25))/(LN(2)/25)*Calculateur!GH77*Calculateur!GJ77*VLOOKUP('Données projet'!$B$17,Paramètres!$A$1:$I$89,3,0)*0.475*44/12</f>
        <v>2.8784964879987709</v>
      </c>
      <c r="GN77" s="23">
        <f>EXP(-LN(2)/2)*GN76+(1-EXP(-LN(2)/2))/(LN(2)/2)*GH77*GK77*VLOOKUP('Données projet'!$B$17,Paramètres!$A$1:$I$89,3,0)*0.475*44/12</f>
        <v>6.9723789618320699E-7</v>
      </c>
      <c r="GO77" s="23">
        <f t="shared" si="81"/>
        <v>8.5269100665874937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4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243.73439999999988</v>
      </c>
      <c r="P78" s="14">
        <f t="shared" si="87"/>
        <v>59.242281392848767</v>
      </c>
      <c r="Q78" s="22">
        <f t="shared" si="54"/>
        <v>527.68438675921141</v>
      </c>
      <c r="R78" s="60">
        <f t="shared" si="55"/>
        <v>796.34597145903626</v>
      </c>
      <c r="S78" s="60">
        <f ca="1">AVERAGE(OFFSET($R$3,0,0,'Données projet'!$E$9+1,1))-AVERAGE(OFFSET($H$3,0,0,'Données projet'!$E$9+1,1))</f>
        <v>496.33873798282525</v>
      </c>
      <c r="T78" s="60">
        <f t="shared" si="88"/>
        <v>280.25465074992246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360.47692307692307</v>
      </c>
      <c r="AG78" s="13">
        <f>VLOOKUP(A78,'Données projet'!$A$61:$I$81,9,0)</f>
        <v>9.9738461538461483</v>
      </c>
      <c r="AH78" s="13">
        <f t="array" ref="AH78">INDEX(AG:AG,MIN(IF(ISNUMBER(AG78:AG274),ROW(AG78:AG274),"")))</f>
        <v>9.9738461538461483</v>
      </c>
      <c r="AI78" s="14">
        <f>IF('Données projet'!$A$62&gt;35,AI77+AH78-AQ77,IF(A78&lt;'Données projet'!$A$62,$AF$205^A78,IF(A78='Données projet'!$A$62,'Données projet'!$B$62,AI77+AH78-AQ77)))</f>
        <v>360.47692307692307</v>
      </c>
      <c r="AJ78" s="14">
        <f>AI78*VLOOKUP('Données projet'!$B$10,Paramètres!$A$1:$I$89,3,0)*VLOOKUP('Données projet'!$B$10,Paramètres!$A$1:$I$89,5,0)</f>
        <v>168.70319999999998</v>
      </c>
      <c r="AK78" s="14">
        <f t="shared" si="89"/>
        <v>42.799454211954611</v>
      </c>
      <c r="AL78" s="22">
        <f t="shared" si="58"/>
        <v>368.3671227524876</v>
      </c>
      <c r="AM78" s="60">
        <f t="shared" si="59"/>
        <v>637.02870745231235</v>
      </c>
      <c r="AN78" s="60">
        <f ca="1">AVERAGE(OFFSET($AM$3,0,0,'Données projet'!$E$10+1,1))-AVERAGE(OFFSET($H$3,0,0,'Données projet'!$E$10+1,1))</f>
        <v>277.7918215389401</v>
      </c>
      <c r="AO78" s="60">
        <f t="shared" si="90"/>
        <v>164.65640238394164</v>
      </c>
      <c r="AP78" s="16">
        <f>IF(ISNA(VLOOKUP(A78,'Données projet'!$A$61:$I$81,3,0)),0,VLOOKUP(A78,'Données projet'!$A$61:$I$81,3,0))</f>
        <v>3</v>
      </c>
      <c r="AQ78" s="16">
        <f>IF(ISNA(VLOOKUP(A78,'Données projet'!$A$61:$I$81,4,0)),0,VLOOKUP(A78,'Données projet'!$A$61:$I$81,4,0))</f>
        <v>85.361538461538458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200.64102564102564</v>
      </c>
      <c r="BB78" s="13">
        <f>VLOOKUP(A78,'Données projet'!$A$87:$I$107,9,0)</f>
        <v>3.9743589743589722</v>
      </c>
      <c r="BC78" s="13">
        <f t="array" ref="BC78">INDEX(BB:BB,MIN(IF(ISNUMBER(BB78:BB274),ROW(BB78:BB274),"")))</f>
        <v>3.9743589743589722</v>
      </c>
      <c r="BD78" s="13">
        <f>IF('Données projet'!$A$88&gt;35,BD77+BC78-BL77,IF(A78&lt;'Données projet'!$A$88,$BA$205^A78,IF(A78='Données projet'!$A$88,'Données projet'!$B$88,BD77+BC78-BL77)))</f>
        <v>200.64102564102555</v>
      </c>
      <c r="BE78" s="14">
        <f>BD78*VLOOKUP('Données projet'!$B$11,Paramètres!$A$1:$I$89,3,0)*VLOOKUP('Données projet'!$B$11,Paramètres!$A$1:$I$89,5,0)</f>
        <v>190.92999999999992</v>
      </c>
      <c r="BF78" s="14">
        <f t="shared" si="91"/>
        <v>47.745504180483643</v>
      </c>
      <c r="BG78" s="22">
        <f t="shared" si="61"/>
        <v>415.69316978100886</v>
      </c>
      <c r="BH78" s="60">
        <f t="shared" si="62"/>
        <v>684.35475448083366</v>
      </c>
      <c r="BI78" s="60">
        <f ca="1">AVERAGE(OFFSET($BH$3,0,0,'Données projet'!$E$11+1,1))-AVERAGE(OFFSET($H$3,0,0,'Données projet'!$E$11+1,1))</f>
        <v>366.21371543563254</v>
      </c>
      <c r="BJ78" s="60">
        <f t="shared" si="92"/>
        <v>237.43356317334084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26.923076923076923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269.23076923076923</v>
      </c>
      <c r="BW78" s="13">
        <f>VLOOKUP(A78,'Données projet'!$A$113:$I$133,9,0)</f>
        <v>4.4871794871794863</v>
      </c>
      <c r="BX78" s="13">
        <f t="array" ref="BX78">INDEX(BW:BW,MIN(IF(ISNUMBER(BW78:BW274),ROW(BW78:BW274),"")))</f>
        <v>4.4871794871794863</v>
      </c>
      <c r="BY78" s="13">
        <f>IF('Données projet'!$A$114&gt;35,BY77+BX78-CG77,IF(A78&lt;'Données projet'!$A$114,$BV$205^A78,IF(A78='Données projet'!$A$114,'Données projet'!$B$114,BY77+BX78-CG77)))</f>
        <v>269.23076923076917</v>
      </c>
      <c r="BZ78" s="14">
        <f>BY78*VLOOKUP('Données projet'!$B$12,Paramètres!$A$1:$I$89,3,0)*VLOOKUP('Données projet'!$B$12,Paramètres!$A$1:$I$89,5,0)</f>
        <v>281.39999999999998</v>
      </c>
      <c r="CA78" s="14">
        <f t="shared" si="93"/>
        <v>67.262783190785612</v>
      </c>
      <c r="CB78" s="22">
        <f t="shared" si="64"/>
        <v>607.25434739061825</v>
      </c>
      <c r="CC78" s="60">
        <f t="shared" si="65"/>
        <v>875.91593209044299</v>
      </c>
      <c r="CD78" s="60">
        <f ca="1">AVERAGE(OFFSET($CC$3,0,0,'Données projet'!$E$12+1,1))-AVERAGE(OFFSET($H$3,0,0,'Données projet'!$E$12+1,1))</f>
        <v>530.79860063513229</v>
      </c>
      <c r="CE78" s="60">
        <f t="shared" si="94"/>
        <v>302.50876440460434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23.076923076923077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228.00959999999986</v>
      </c>
      <c r="CV78" s="14">
        <f t="shared" si="95"/>
        <v>55.852093054619779</v>
      </c>
      <c r="CW78" s="22">
        <f t="shared" si="67"/>
        <v>494.39244873679587</v>
      </c>
      <c r="CX78" s="60">
        <f t="shared" si="68"/>
        <v>763.05403343662067</v>
      </c>
      <c r="CY78" s="60">
        <f ca="1">AVERAGE(OFFSET($CX$3,0,0,'Données projet'!$E$13+1,1))-AVERAGE(OFFSET($H$3,0,0,'Données projet'!$E$13+1,1))</f>
        <v>469.67944008675863</v>
      </c>
      <c r="CZ78" s="60">
        <f t="shared" si="96"/>
        <v>266.11908070867173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252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251.99999999999989</v>
      </c>
      <c r="DP78" s="18">
        <f>DO78*VLOOKUP('Données projet'!$B$14,Paramètres!$A$1:$I$89,3,0)*VLOOKUP('Données projet'!$B$14,Paramètres!$A$1:$I$89,5,0)</f>
        <v>271.25279999999987</v>
      </c>
      <c r="DQ78" s="14">
        <f t="shared" si="97"/>
        <v>65.115073390838859</v>
      </c>
      <c r="DR78" s="22">
        <f t="shared" si="70"/>
        <v>585.84071282237744</v>
      </c>
      <c r="DS78" s="60">
        <f t="shared" si="71"/>
        <v>854.5022975222023</v>
      </c>
      <c r="DT78" s="60">
        <f ca="1">AVERAGE(OFFSET($DS$3,0,0,'Données projet'!$E$14+1,1))-AVERAGE(OFFSET($H$3,0,0,'Données projet'!$E$14+1,1))</f>
        <v>542.90832990875208</v>
      </c>
      <c r="DU78" s="60">
        <f t="shared" si="98"/>
        <v>304.94365539329362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214</v>
      </c>
      <c r="EH78" s="13">
        <f>VLOOKUP(A78,'Données projet'!$A$191:$I$211,9,0)</f>
        <v>2.580000000000001</v>
      </c>
      <c r="EI78" s="13">
        <f t="array" ref="EI78">INDEX(EH:EH,MIN(IF(ISNUMBER(EH78:EH274),ROW(EH78:EH274),"")))</f>
        <v>2.580000000000001</v>
      </c>
      <c r="EJ78" s="13">
        <f>IF('Données projet'!$A$192&gt;35,EJ77+EI78-ER77,IF(A78&lt;'Données projet'!$A$192,$EG$205^A78,IF(A78='Données projet'!$A$192,'Données projet'!$B$192,EJ77+EI78-ER77)))</f>
        <v>214.00000000000011</v>
      </c>
      <c r="EK78" s="18">
        <f>EJ78*VLOOKUP('Données projet'!$B$15,Paramètres!$A$1:$I$89,3,0)*VLOOKUP('Données projet'!$B$15,Paramètres!$A$1:$I$89,5,0)</f>
        <v>170.25840000000011</v>
      </c>
      <c r="EL78" s="14">
        <f t="shared" si="99"/>
        <v>43.147891472685089</v>
      </c>
      <c r="EM78" s="22">
        <f t="shared" si="73"/>
        <v>371.68262431492673</v>
      </c>
      <c r="EN78" s="60">
        <f t="shared" si="74"/>
        <v>640.34420901475153</v>
      </c>
      <c r="EO78" s="60">
        <f ca="1">AVERAGE(OFFSET($EN$3,0,0,'Données projet'!$E$15+1,1))-AVERAGE(OFFSET($H$3,0,0,'Données projet'!$E$15+1,1))</f>
        <v>273.72403794510291</v>
      </c>
      <c r="EP78" s="60">
        <f t="shared" si="100"/>
        <v>292.00185554564109</v>
      </c>
      <c r="EQ78" s="16">
        <f>IF(ISNA(VLOOKUP(A78,'Données projet'!$A$191:$I$211,3,0)),0,VLOOKUP(A78,'Données projet'!$A$191:$I$211,3,0))</f>
        <v>7</v>
      </c>
      <c r="ER78" s="16">
        <f>IF(ISNA(VLOOKUP(A78,'Données projet'!$A$191:$I$211,4,0)),0,VLOOKUP(A78,'Données projet'!$A$191:$I$211,4,0))</f>
        <v>6.6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5.6843418860808015E-14</v>
      </c>
      <c r="FF78" s="18">
        <f>FE78*VLOOKUP('Données projet'!$B$16,Paramètres!$A$1:$I$89,3,0)*VLOOKUP('Données projet'!$B$16,Paramètres!$A$1:$I$89,5,0)</f>
        <v>4.4337866711430253E-14</v>
      </c>
      <c r="FG78" s="14">
        <f t="shared" si="101"/>
        <v>7.3222115536967035E-13</v>
      </c>
      <c r="FH78" s="22">
        <f t="shared" si="76"/>
        <v>1.3525069634579169E-12</v>
      </c>
      <c r="FI78" s="60">
        <f t="shared" si="77"/>
        <v>268.66158469982616</v>
      </c>
      <c r="FJ78" s="60">
        <f ca="1">AVERAGE(OFFSET($FI$3,0,0,'Données projet'!$E$16+1,1))-AVERAGE(OFFSET($H$3,0,0,'Données projet'!$E$16+1,1))</f>
        <v>309.21625451786218</v>
      </c>
      <c r="FK78" s="60">
        <f t="shared" si="102"/>
        <v>302.59481222418219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>
        <f>FZ78*VLOOKUP('Données projet'!$B$17,Paramètres!$A$1:$I$89,3,0)*VLOOKUP('Données projet'!$B$17,Paramètres!$A$1:$I$89,5,0)</f>
        <v>0</v>
      </c>
      <c r="GB78" s="14" t="e">
        <f t="shared" si="103"/>
        <v>#NUM!</v>
      </c>
      <c r="GC78" s="22" t="e">
        <f t="shared" si="79"/>
        <v>#NUM!</v>
      </c>
      <c r="GD78" s="60" t="e">
        <f t="shared" si="80"/>
        <v>#NUM!</v>
      </c>
      <c r="GE78" s="60">
        <f ca="1">AVERAGE(OFFSET($GD$3,0,0,'Données projet'!$E$17+1,1))-AVERAGE(OFFSET($H$3,0,0,'Données projet'!$E$17+1,1))</f>
        <v>216.36762889365235</v>
      </c>
      <c r="GF78" s="60">
        <f t="shared" si="104"/>
        <v>333.29599352215496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5.5376509499392101</v>
      </c>
      <c r="GM78" s="23">
        <f>EXP(-LN(2)/25)*GM77+(1-EXP(-LN(2)/25))/(LN(2)/25)*Calculateur!GH78*Calculateur!GJ78*VLOOKUP('Données projet'!$B$17,Paramètres!$A$1:$I$89,3,0)*0.475*44/12</f>
        <v>2.7997838501608929</v>
      </c>
      <c r="GN78" s="23">
        <f>EXP(-LN(2)/2)*GN77+(1-EXP(-LN(2)/2))/(LN(2)/2)*GH78*GK78*VLOOKUP('Données projet'!$B$17,Paramètres!$A$1:$I$89,3,0)*0.475*44/12</f>
        <v>4.9302164449138767E-7</v>
      </c>
      <c r="GO78" s="23">
        <f t="shared" si="81"/>
        <v>8.3374352931217484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4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249.53759999999988</v>
      </c>
      <c r="P79" s="14">
        <f t="shared" si="87"/>
        <v>60.486914185674671</v>
      </c>
      <c r="Q79" s="22">
        <f t="shared" si="54"/>
        <v>539.95936220671649</v>
      </c>
      <c r="R79" s="60">
        <f t="shared" si="55"/>
        <v>809.04894658756598</v>
      </c>
      <c r="S79" s="60">
        <f ca="1">AVERAGE(OFFSET($R$3,0,0,'Données projet'!$E$9+1,1))-AVERAGE(OFFSET($H$3,0,0,'Données projet'!$E$9+1,1))</f>
        <v>496.33873798282525</v>
      </c>
      <c r="T79" s="60">
        <f t="shared" si="88"/>
        <v>280.25465074992246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8.918461538461532</v>
      </c>
      <c r="AI79" s="14">
        <f>IF('Données projet'!$A$62&gt;35,AI78+AH79-AQ78,IF(A79&lt;'Données projet'!$A$62,$AF$205^A79,IF(A79='Données projet'!$A$62,'Données projet'!$B$62,AI78+AH79-AQ78)))</f>
        <v>284.03384615384618</v>
      </c>
      <c r="AJ79" s="14">
        <f>AI79*VLOOKUP('Données projet'!$B$10,Paramètres!$A$1:$I$89,3,0)*VLOOKUP('Données projet'!$B$10,Paramètres!$A$1:$I$89,5,0)</f>
        <v>132.92784</v>
      </c>
      <c r="AK79" s="14">
        <f t="shared" si="89"/>
        <v>34.672017751273806</v>
      </c>
      <c r="AL79" s="22">
        <f t="shared" si="58"/>
        <v>291.90308558346857</v>
      </c>
      <c r="AM79" s="60">
        <f t="shared" si="59"/>
        <v>560.992669964318</v>
      </c>
      <c r="AN79" s="60">
        <f ca="1">AVERAGE(OFFSET($AM$3,0,0,'Données projet'!$E$10+1,1))-AVERAGE(OFFSET($H$3,0,0,'Données projet'!$E$10+1,1))</f>
        <v>277.7918215389401</v>
      </c>
      <c r="AO79" s="60">
        <f t="shared" si="90"/>
        <v>164.65640238394164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3.974358974358978</v>
      </c>
      <c r="BD79" s="13">
        <f>IF('Données projet'!$A$88&gt;35,BD78+BC79-BL78,IF(A79&lt;'Données projet'!$A$88,$BA$205^A79,IF(A79='Données projet'!$A$88,'Données projet'!$B$88,BD78+BC79-BL78)))</f>
        <v>177.69230769230759</v>
      </c>
      <c r="BE79" s="14">
        <f>BD79*VLOOKUP('Données projet'!$B$11,Paramètres!$A$1:$I$89,3,0)*VLOOKUP('Données projet'!$B$11,Paramètres!$A$1:$I$89,5,0)</f>
        <v>169.0919999999999</v>
      </c>
      <c r="BF79" s="14">
        <f t="shared" si="91"/>
        <v>42.886598448183008</v>
      </c>
      <c r="BG79" s="22">
        <f t="shared" si="61"/>
        <v>369.19605896391857</v>
      </c>
      <c r="BH79" s="60">
        <f t="shared" si="62"/>
        <v>638.285643344768</v>
      </c>
      <c r="BI79" s="60">
        <f ca="1">AVERAGE(OFFSET($BH$3,0,0,'Données projet'!$E$11+1,1))-AVERAGE(OFFSET($H$3,0,0,'Données projet'!$E$11+1,1))</f>
        <v>366.21371543563254</v>
      </c>
      <c r="BJ79" s="60">
        <f t="shared" si="92"/>
        <v>237.43356317334084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4.3589743589743595</v>
      </c>
      <c r="BY79" s="13">
        <f>IF('Données projet'!$A$114&gt;35,BY78+BX79-CG78,IF(A79&lt;'Données projet'!$A$114,$BV$205^A79,IF(A79='Données projet'!$A$114,'Données projet'!$B$114,BY78+BX79-CG78)))</f>
        <v>250.51282051282047</v>
      </c>
      <c r="BZ79" s="14">
        <f>BY79*VLOOKUP('Données projet'!$B$12,Paramètres!$A$1:$I$89,3,0)*VLOOKUP('Données projet'!$B$12,Paramètres!$A$1:$I$89,5,0)</f>
        <v>261.83599999999996</v>
      </c>
      <c r="CA79" s="14">
        <f t="shared" si="93"/>
        <v>63.11357854066847</v>
      </c>
      <c r="CB79" s="22">
        <f t="shared" si="64"/>
        <v>565.95384929166414</v>
      </c>
      <c r="CC79" s="60">
        <f t="shared" si="65"/>
        <v>835.04343367251363</v>
      </c>
      <c r="CD79" s="60">
        <f ca="1">AVERAGE(OFFSET($CC$3,0,0,'Données projet'!$E$12+1,1))-AVERAGE(OFFSET($H$3,0,0,'Données projet'!$E$12+1,1))</f>
        <v>530.79860063513229</v>
      </c>
      <c r="CE79" s="60">
        <f t="shared" si="94"/>
        <v>302.50876440460434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233.43839999999989</v>
      </c>
      <c r="CV79" s="14">
        <f t="shared" si="95"/>
        <v>57.025500710931624</v>
      </c>
      <c r="CW79" s="22">
        <f t="shared" si="67"/>
        <v>505.89129373820577</v>
      </c>
      <c r="CX79" s="60">
        <f t="shared" si="68"/>
        <v>774.98087811905521</v>
      </c>
      <c r="CY79" s="60">
        <f ca="1">AVERAGE(OFFSET($CX$3,0,0,'Données projet'!$E$13+1,1))-AVERAGE(OFFSET($H$3,0,0,'Données projet'!$E$13+1,1))</f>
        <v>469.67944008675863</v>
      </c>
      <c r="CZ79" s="60">
        <f t="shared" si="96"/>
        <v>266.11908070867173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257.99999999999989</v>
      </c>
      <c r="DP79" s="18">
        <f>DO79*VLOOKUP('Données projet'!$B$14,Paramètres!$A$1:$I$89,3,0)*VLOOKUP('Données projet'!$B$14,Paramètres!$A$1:$I$89,5,0)</f>
        <v>277.71119999999985</v>
      </c>
      <c r="DQ79" s="14">
        <f t="shared" si="97"/>
        <v>66.483088830893976</v>
      </c>
      <c r="DR79" s="22">
        <f t="shared" si="70"/>
        <v>599.47171971380669</v>
      </c>
      <c r="DS79" s="60">
        <f t="shared" si="71"/>
        <v>868.56130409465618</v>
      </c>
      <c r="DT79" s="60">
        <f ca="1">AVERAGE(OFFSET($DS$3,0,0,'Données projet'!$E$14+1,1))-AVERAGE(OFFSET($H$3,0,0,'Données projet'!$E$14+1,1))</f>
        <v>542.90832990875208</v>
      </c>
      <c r="DU79" s="60">
        <f t="shared" si="98"/>
        <v>304.94365539329362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1.1399999999999977</v>
      </c>
      <c r="EJ79" s="13">
        <f>IF('Données projet'!$A$192&gt;35,EJ78+EI79-ER78,IF(A79&lt;'Données projet'!$A$192,$EG$205^A79,IF(A79='Données projet'!$A$192,'Données projet'!$B$192,EJ78+EI79-ER78)))</f>
        <v>208.54000000000011</v>
      </c>
      <c r="EK79" s="18">
        <f>EJ79*VLOOKUP('Données projet'!$B$15,Paramètres!$A$1:$I$89,3,0)*VLOOKUP('Données projet'!$B$15,Paramètres!$A$1:$I$89,5,0)</f>
        <v>165.91442400000011</v>
      </c>
      <c r="EL79" s="14">
        <f t="shared" si="99"/>
        <v>42.173699011507424</v>
      </c>
      <c r="EM79" s="22">
        <f t="shared" si="73"/>
        <v>362.42014757837563</v>
      </c>
      <c r="EN79" s="60">
        <f t="shared" si="74"/>
        <v>631.50973195922506</v>
      </c>
      <c r="EO79" s="60">
        <f ca="1">AVERAGE(OFFSET($EN$3,0,0,'Données projet'!$E$15+1,1))-AVERAGE(OFFSET($H$3,0,0,'Données projet'!$E$15+1,1))</f>
        <v>273.72403794510291</v>
      </c>
      <c r="EP79" s="60">
        <f t="shared" si="100"/>
        <v>292.00185554564109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5.6843418860808015E-14</v>
      </c>
      <c r="FF79" s="18">
        <f>FE79*VLOOKUP('Données projet'!$B$16,Paramètres!$A$1:$I$89,3,0)*VLOOKUP('Données projet'!$B$16,Paramètres!$A$1:$I$89,5,0)</f>
        <v>4.4337866711430253E-14</v>
      </c>
      <c r="FG79" s="14">
        <f t="shared" si="101"/>
        <v>7.3222115536967035E-13</v>
      </c>
      <c r="FH79" s="22">
        <f t="shared" si="76"/>
        <v>1.3525069634579169E-12</v>
      </c>
      <c r="FI79" s="60">
        <f t="shared" si="77"/>
        <v>269.08958438085079</v>
      </c>
      <c r="FJ79" s="60">
        <f ca="1">AVERAGE(OFFSET($FI$3,0,0,'Données projet'!$E$16+1,1))-AVERAGE(OFFSET($H$3,0,0,'Données projet'!$E$16+1,1))</f>
        <v>309.21625451786218</v>
      </c>
      <c r="FK79" s="60">
        <f t="shared" si="102"/>
        <v>302.59481222418219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>
        <f>FZ79*VLOOKUP('Données projet'!$B$17,Paramètres!$A$1:$I$89,3,0)*VLOOKUP('Données projet'!$B$17,Paramètres!$A$1:$I$89,5,0)</f>
        <v>0</v>
      </c>
      <c r="GB79" s="14" t="e">
        <f t="shared" si="103"/>
        <v>#NUM!</v>
      </c>
      <c r="GC79" s="22" t="e">
        <f t="shared" si="79"/>
        <v>#NUM!</v>
      </c>
      <c r="GD79" s="60" t="e">
        <f t="shared" si="80"/>
        <v>#NUM!</v>
      </c>
      <c r="GE79" s="60">
        <f ca="1">AVERAGE(OFFSET($GD$3,0,0,'Données projet'!$E$17+1,1))-AVERAGE(OFFSET($H$3,0,0,'Données projet'!$E$17+1,1))</f>
        <v>216.36762889365235</v>
      </c>
      <c r="GF79" s="60">
        <f t="shared" si="104"/>
        <v>333.29599352215496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5.4290609924444677</v>
      </c>
      <c r="GM79" s="23">
        <f>EXP(-LN(2)/25)*GM78+(1-EXP(-LN(2)/25))/(LN(2)/25)*Calculateur!GH79*Calculateur!GJ79*VLOOKUP('Données projet'!$B$17,Paramètres!$A$1:$I$89,3,0)*0.475*44/12</f>
        <v>2.7232236135440098</v>
      </c>
      <c r="GN79" s="23">
        <f>EXP(-LN(2)/2)*GN78+(1-EXP(-LN(2)/2))/(LN(2)/2)*GH79*GK79*VLOOKUP('Données projet'!$B$17,Paramètres!$A$1:$I$89,3,0)*0.475*44/12</f>
        <v>3.4861894809160349E-7</v>
      </c>
      <c r="GO79" s="23">
        <f t="shared" si="81"/>
        <v>8.1522849546074259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4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255.34079999999989</v>
      </c>
      <c r="P80" s="14">
        <f t="shared" si="87"/>
        <v>61.728182021951895</v>
      </c>
      <c r="Q80" s="22">
        <f t="shared" si="54"/>
        <v>552.22847702156594</v>
      </c>
      <c r="R80" s="60">
        <f t="shared" si="55"/>
        <v>821.73863624583828</v>
      </c>
      <c r="S80" s="60">
        <f ca="1">AVERAGE(OFFSET($R$3,0,0,'Données projet'!$E$9+1,1))-AVERAGE(OFFSET($H$3,0,0,'Données projet'!$E$9+1,1))</f>
        <v>496.33873798282525</v>
      </c>
      <c r="T80" s="60">
        <f t="shared" si="88"/>
        <v>280.25465074992246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8.918461538461532</v>
      </c>
      <c r="AI80" s="14">
        <f>IF('Données projet'!$A$62&gt;35,AI79+AH80-AQ79,IF(A80&lt;'Données projet'!$A$62,$AF$205^A80,IF(A80='Données projet'!$A$62,'Données projet'!$B$62,AI79+AH80-AQ79)))</f>
        <v>292.95230769230773</v>
      </c>
      <c r="AJ80" s="14">
        <f>AI80*VLOOKUP('Données projet'!$B$10,Paramètres!$A$1:$I$89,3,0)*VLOOKUP('Données projet'!$B$10,Paramètres!$A$1:$I$89,5,0)</f>
        <v>137.10168000000002</v>
      </c>
      <c r="AK80" s="14">
        <f t="shared" si="89"/>
        <v>35.632234858197208</v>
      </c>
      <c r="AL80" s="22">
        <f t="shared" si="58"/>
        <v>300.84490171136019</v>
      </c>
      <c r="AM80" s="60">
        <f t="shared" si="59"/>
        <v>570.35506093563254</v>
      </c>
      <c r="AN80" s="60">
        <f ca="1">AVERAGE(OFFSET($AM$3,0,0,'Données projet'!$E$10+1,1))-AVERAGE(OFFSET($H$3,0,0,'Données projet'!$E$10+1,1))</f>
        <v>277.7918215389401</v>
      </c>
      <c r="AO80" s="60">
        <f t="shared" si="90"/>
        <v>164.65640238394164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3.974358974358978</v>
      </c>
      <c r="BD80" s="13">
        <f>IF('Données projet'!$A$88&gt;35,BD79+BC80-BL79,IF(A80&lt;'Données projet'!$A$88,$BA$205^A80,IF(A80='Données projet'!$A$88,'Données projet'!$B$88,BD79+BC80-BL79)))</f>
        <v>181.66666666666657</v>
      </c>
      <c r="BE80" s="14">
        <f>BD80*VLOOKUP('Données projet'!$B$11,Paramètres!$A$1:$I$89,3,0)*VLOOKUP('Données projet'!$B$11,Paramètres!$A$1:$I$89,5,0)</f>
        <v>172.87399999999991</v>
      </c>
      <c r="BF80" s="14">
        <f t="shared" si="91"/>
        <v>43.733074597486763</v>
      </c>
      <c r="BG80" s="22">
        <f t="shared" si="61"/>
        <v>377.25732159062267</v>
      </c>
      <c r="BH80" s="60">
        <f t="shared" si="62"/>
        <v>646.76748081489495</v>
      </c>
      <c r="BI80" s="60">
        <f ca="1">AVERAGE(OFFSET($BH$3,0,0,'Données projet'!$E$11+1,1))-AVERAGE(OFFSET($H$3,0,0,'Données projet'!$E$11+1,1))</f>
        <v>366.21371543563254</v>
      </c>
      <c r="BJ80" s="60">
        <f t="shared" si="92"/>
        <v>237.43356317334084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4.3589743589743595</v>
      </c>
      <c r="BY80" s="13">
        <f>IF('Données projet'!$A$114&gt;35,BY79+BX80-CG79,IF(A80&lt;'Données projet'!$A$114,$BV$205^A80,IF(A80='Données projet'!$A$114,'Données projet'!$B$114,BY79+BX80-CG79)))</f>
        <v>254.87179487179483</v>
      </c>
      <c r="BZ80" s="14">
        <f>BY80*VLOOKUP('Données projet'!$B$12,Paramètres!$A$1:$I$89,3,0)*VLOOKUP('Données projet'!$B$12,Paramètres!$A$1:$I$89,5,0)</f>
        <v>266.392</v>
      </c>
      <c r="CA80" s="14">
        <f t="shared" si="93"/>
        <v>64.08296213521713</v>
      </c>
      <c r="CB80" s="22">
        <f t="shared" si="64"/>
        <v>575.57722571883653</v>
      </c>
      <c r="CC80" s="60">
        <f t="shared" si="65"/>
        <v>845.08738494310887</v>
      </c>
      <c r="CD80" s="60">
        <f ca="1">AVERAGE(OFFSET($CC$3,0,0,'Données projet'!$E$12+1,1))-AVERAGE(OFFSET($H$3,0,0,'Données projet'!$E$12+1,1))</f>
        <v>530.79860063513229</v>
      </c>
      <c r="CE80" s="60">
        <f t="shared" si="94"/>
        <v>302.50876440460434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238.86719999999988</v>
      </c>
      <c r="CV80" s="14">
        <f t="shared" si="95"/>
        <v>58.195735973104156</v>
      </c>
      <c r="CW80" s="22">
        <f t="shared" si="67"/>
        <v>517.38461348648957</v>
      </c>
      <c r="CX80" s="60">
        <f t="shared" si="68"/>
        <v>786.8947727107618</v>
      </c>
      <c r="CY80" s="60">
        <f ca="1">AVERAGE(OFFSET($CX$3,0,0,'Données projet'!$E$13+1,1))-AVERAGE(OFFSET($H$3,0,0,'Données projet'!$E$13+1,1))</f>
        <v>469.67944008675863</v>
      </c>
      <c r="CZ80" s="60">
        <f t="shared" si="96"/>
        <v>266.11908070867173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263.99999999999989</v>
      </c>
      <c r="DP80" s="18">
        <f>DO80*VLOOKUP('Données projet'!$B$14,Paramètres!$A$1:$I$89,3,0)*VLOOKUP('Données projet'!$B$14,Paramètres!$A$1:$I$89,5,0)</f>
        <v>284.16959999999989</v>
      </c>
      <c r="DQ80" s="14">
        <f t="shared" si="97"/>
        <v>67.847405740313874</v>
      </c>
      <c r="DR80" s="22">
        <f t="shared" si="70"/>
        <v>613.09628499771316</v>
      </c>
      <c r="DS80" s="60">
        <f t="shared" si="71"/>
        <v>882.60644422198538</v>
      </c>
      <c r="DT80" s="60">
        <f ca="1">AVERAGE(OFFSET($DS$3,0,0,'Données projet'!$E$14+1,1))-AVERAGE(OFFSET($H$3,0,0,'Données projet'!$E$14+1,1))</f>
        <v>542.90832990875208</v>
      </c>
      <c r="DU80" s="60">
        <f t="shared" si="98"/>
        <v>304.94365539329362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1.1399999999999977</v>
      </c>
      <c r="EJ80" s="13">
        <f>IF('Données projet'!$A$192&gt;35,EJ79+EI80-ER79,IF(A80&lt;'Données projet'!$A$192,$EG$205^A80,IF(A80='Données projet'!$A$192,'Données projet'!$B$192,EJ79+EI80-ER79)))</f>
        <v>209.68000000000009</v>
      </c>
      <c r="EK80" s="18">
        <f>EJ80*VLOOKUP('Données projet'!$B$15,Paramètres!$A$1:$I$89,3,0)*VLOOKUP('Données projet'!$B$15,Paramètres!$A$1:$I$89,5,0)</f>
        <v>166.82140800000008</v>
      </c>
      <c r="EL80" s="14">
        <f t="shared" si="99"/>
        <v>42.377344582415525</v>
      </c>
      <c r="EM80" s="22">
        <f t="shared" si="73"/>
        <v>364.35449408104051</v>
      </c>
      <c r="EN80" s="60">
        <f t="shared" si="74"/>
        <v>633.8646533053128</v>
      </c>
      <c r="EO80" s="60">
        <f ca="1">AVERAGE(OFFSET($EN$3,0,0,'Données projet'!$E$15+1,1))-AVERAGE(OFFSET($H$3,0,0,'Données projet'!$E$15+1,1))</f>
        <v>273.72403794510291</v>
      </c>
      <c r="EP80" s="60">
        <f t="shared" si="100"/>
        <v>292.00185554564109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5.6843418860808015E-14</v>
      </c>
      <c r="FF80" s="18">
        <f>FE80*VLOOKUP('Données projet'!$B$16,Paramètres!$A$1:$I$89,3,0)*VLOOKUP('Données projet'!$B$16,Paramètres!$A$1:$I$89,5,0)</f>
        <v>4.4337866711430253E-14</v>
      </c>
      <c r="FG80" s="14">
        <f t="shared" si="101"/>
        <v>7.3222115536967035E-13</v>
      </c>
      <c r="FH80" s="22">
        <f t="shared" si="76"/>
        <v>1.3525069634579169E-12</v>
      </c>
      <c r="FI80" s="60">
        <f t="shared" si="77"/>
        <v>269.51015922427365</v>
      </c>
      <c r="FJ80" s="60">
        <f ca="1">AVERAGE(OFFSET($FI$3,0,0,'Données projet'!$E$16+1,1))-AVERAGE(OFFSET($H$3,0,0,'Données projet'!$E$16+1,1))</f>
        <v>309.21625451786218</v>
      </c>
      <c r="FK80" s="60">
        <f t="shared" si="102"/>
        <v>302.59481222418219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>
        <f>FZ80*VLOOKUP('Données projet'!$B$17,Paramètres!$A$1:$I$89,3,0)*VLOOKUP('Données projet'!$B$17,Paramètres!$A$1:$I$89,5,0)</f>
        <v>0</v>
      </c>
      <c r="GB80" s="14" t="e">
        <f t="shared" si="103"/>
        <v>#NUM!</v>
      </c>
      <c r="GC80" s="22" t="e">
        <f t="shared" si="79"/>
        <v>#NUM!</v>
      </c>
      <c r="GD80" s="60" t="e">
        <f t="shared" si="80"/>
        <v>#NUM!</v>
      </c>
      <c r="GE80" s="60">
        <f ca="1">AVERAGE(OFFSET($GD$3,0,0,'Données projet'!$E$17+1,1))-AVERAGE(OFFSET($H$3,0,0,'Données projet'!$E$17+1,1))</f>
        <v>216.36762889365235</v>
      </c>
      <c r="GF80" s="60">
        <f t="shared" si="104"/>
        <v>333.29599352215496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5.3226004177828639</v>
      </c>
      <c r="GM80" s="23">
        <f>EXP(-LN(2)/25)*GM79+(1-EXP(-LN(2)/25))/(LN(2)/25)*Calculateur!GH80*Calculateur!GJ80*VLOOKUP('Données projet'!$B$17,Paramètres!$A$1:$I$89,3,0)*0.475*44/12</f>
        <v>2.6487569206235428</v>
      </c>
      <c r="GN80" s="23">
        <f>EXP(-LN(2)/2)*GN79+(1-EXP(-LN(2)/2))/(LN(2)/2)*GH80*GK80*VLOOKUP('Données projet'!$B$17,Paramètres!$A$1:$I$89,3,0)*0.475*44/12</f>
        <v>2.4651082224569384E-7</v>
      </c>
      <c r="GO80" s="23">
        <f t="shared" si="81"/>
        <v>7.9713575849172287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4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261.14399999999989</v>
      </c>
      <c r="P81" s="14">
        <f t="shared" si="87"/>
        <v>62.966170181808813</v>
      </c>
      <c r="Q81" s="22">
        <f t="shared" si="54"/>
        <v>564.49187973331675</v>
      </c>
      <c r="R81" s="60">
        <f t="shared" si="55"/>
        <v>834.41531776774298</v>
      </c>
      <c r="S81" s="60">
        <f ca="1">AVERAGE(OFFSET($R$3,0,0,'Données projet'!$E$9+1,1))-AVERAGE(OFFSET($H$3,0,0,'Données projet'!$E$9+1,1))</f>
        <v>496.33873798282525</v>
      </c>
      <c r="T81" s="60">
        <f t="shared" si="88"/>
        <v>280.25465074992246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8.918461538461532</v>
      </c>
      <c r="AI81" s="14">
        <f>IF('Données projet'!$A$62&gt;35,AI80+AH81-AQ80,IF(A81&lt;'Données projet'!$A$62,$AF$205^A81,IF(A81='Données projet'!$A$62,'Données projet'!$B$62,AI80+AH81-AQ80)))</f>
        <v>301.87076923076927</v>
      </c>
      <c r="AJ81" s="14">
        <f>AI81*VLOOKUP('Données projet'!$B$10,Paramètres!$A$1:$I$89,3,0)*VLOOKUP('Données projet'!$B$10,Paramètres!$A$1:$I$89,5,0)</f>
        <v>141.27552000000003</v>
      </c>
      <c r="AK81" s="14">
        <f t="shared" si="89"/>
        <v>36.589054796797832</v>
      </c>
      <c r="AL81" s="22">
        <f t="shared" si="58"/>
        <v>309.78080110442289</v>
      </c>
      <c r="AM81" s="60">
        <f t="shared" si="59"/>
        <v>579.70423913884906</v>
      </c>
      <c r="AN81" s="60">
        <f ca="1">AVERAGE(OFFSET($AM$3,0,0,'Données projet'!$E$10+1,1))-AVERAGE(OFFSET($H$3,0,0,'Données projet'!$E$10+1,1))</f>
        <v>277.7918215389401</v>
      </c>
      <c r="AO81" s="60">
        <f t="shared" si="90"/>
        <v>164.65640238394164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3.974358974358978</v>
      </c>
      <c r="BD81" s="13">
        <f>IF('Données projet'!$A$88&gt;35,BD80+BC81-BL80,IF(A81&lt;'Données projet'!$A$88,$BA$205^A81,IF(A81='Données projet'!$A$88,'Données projet'!$B$88,BD80+BC81-BL80)))</f>
        <v>185.64102564102555</v>
      </c>
      <c r="BE81" s="14">
        <f>BD81*VLOOKUP('Données projet'!$B$11,Paramètres!$A$1:$I$89,3,0)*VLOOKUP('Données projet'!$B$11,Paramètres!$A$1:$I$89,5,0)</f>
        <v>176.65599999999992</v>
      </c>
      <c r="BF81" s="14">
        <f t="shared" si="91"/>
        <v>44.577397750316642</v>
      </c>
      <c r="BG81" s="22">
        <f t="shared" si="61"/>
        <v>385.31483441513461</v>
      </c>
      <c r="BH81" s="60">
        <f t="shared" si="62"/>
        <v>655.23827244956078</v>
      </c>
      <c r="BI81" s="60">
        <f ca="1">AVERAGE(OFFSET($BH$3,0,0,'Données projet'!$E$11+1,1))-AVERAGE(OFFSET($H$3,0,0,'Données projet'!$E$11+1,1))</f>
        <v>366.21371543563254</v>
      </c>
      <c r="BJ81" s="60">
        <f t="shared" si="92"/>
        <v>237.43356317334084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4.3589743589743595</v>
      </c>
      <c r="BY81" s="13">
        <f>IF('Données projet'!$A$114&gt;35,BY80+BX81-CG80,IF(A81&lt;'Données projet'!$A$114,$BV$205^A81,IF(A81='Données projet'!$A$114,'Données projet'!$B$114,BY80+BX81-CG80)))</f>
        <v>259.23076923076917</v>
      </c>
      <c r="BZ81" s="14">
        <f>BY81*VLOOKUP('Données projet'!$B$12,Paramètres!$A$1:$I$89,3,0)*VLOOKUP('Données projet'!$B$12,Paramètres!$A$1:$I$89,5,0)</f>
        <v>270.94799999999992</v>
      </c>
      <c r="CA81" s="14">
        <f t="shared" si="93"/>
        <v>65.050417754962155</v>
      </c>
      <c r="CB81" s="22">
        <f t="shared" si="64"/>
        <v>585.19724425655897</v>
      </c>
      <c r="CC81" s="60">
        <f t="shared" si="65"/>
        <v>855.1206822909852</v>
      </c>
      <c r="CD81" s="60">
        <f ca="1">AVERAGE(OFFSET($CC$3,0,0,'Données projet'!$E$12+1,1))-AVERAGE(OFFSET($H$3,0,0,'Données projet'!$E$12+1,1))</f>
        <v>530.79860063513229</v>
      </c>
      <c r="CE81" s="60">
        <f t="shared" si="94"/>
        <v>302.50876440460434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244.29599999999991</v>
      </c>
      <c r="CV81" s="14">
        <f t="shared" si="95"/>
        <v>59.362879241040318</v>
      </c>
      <c r="CW81" s="22">
        <f t="shared" si="67"/>
        <v>528.87254801147833</v>
      </c>
      <c r="CX81" s="60">
        <f t="shared" si="68"/>
        <v>798.79598604590456</v>
      </c>
      <c r="CY81" s="60">
        <f ca="1">AVERAGE(OFFSET($CX$3,0,0,'Données projet'!$E$13+1,1))-AVERAGE(OFFSET($H$3,0,0,'Données projet'!$E$13+1,1))</f>
        <v>469.67944008675863</v>
      </c>
      <c r="CZ81" s="60">
        <f t="shared" si="96"/>
        <v>266.11908070867173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269.99999999999989</v>
      </c>
      <c r="DP81" s="18">
        <f>DO81*VLOOKUP('Données projet'!$B$14,Paramètres!$A$1:$I$89,3,0)*VLOOKUP('Données projet'!$B$14,Paramètres!$A$1:$I$89,5,0)</f>
        <v>290.62799999999987</v>
      </c>
      <c r="DQ81" s="14">
        <f t="shared" si="97"/>
        <v>69.208117853196882</v>
      </c>
      <c r="DR81" s="22">
        <f t="shared" si="70"/>
        <v>626.71457192765104</v>
      </c>
      <c r="DS81" s="60">
        <f t="shared" si="71"/>
        <v>896.63800996207726</v>
      </c>
      <c r="DT81" s="60">
        <f ca="1">AVERAGE(OFFSET($DS$3,0,0,'Données projet'!$E$14+1,1))-AVERAGE(OFFSET($H$3,0,0,'Données projet'!$E$14+1,1))</f>
        <v>542.90832990875208</v>
      </c>
      <c r="DU81" s="60">
        <f t="shared" si="98"/>
        <v>304.94365539329362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1.1399999999999977</v>
      </c>
      <c r="EJ81" s="13">
        <f>IF('Données projet'!$A$192&gt;35,EJ80+EI81-ER80,IF(A81&lt;'Données projet'!$A$192,$EG$205^A81,IF(A81='Données projet'!$A$192,'Données projet'!$B$192,EJ80+EI81-ER80)))</f>
        <v>210.82000000000008</v>
      </c>
      <c r="EK81" s="18">
        <f>EJ81*VLOOKUP('Données projet'!$B$15,Paramètres!$A$1:$I$89,3,0)*VLOOKUP('Données projet'!$B$15,Paramètres!$A$1:$I$89,5,0)</f>
        <v>167.72839200000007</v>
      </c>
      <c r="EL81" s="14">
        <f t="shared" si="99"/>
        <v>42.580861316312287</v>
      </c>
      <c r="EM81" s="22">
        <f t="shared" si="73"/>
        <v>366.28861619257736</v>
      </c>
      <c r="EN81" s="60">
        <f t="shared" si="74"/>
        <v>636.21205422700359</v>
      </c>
      <c r="EO81" s="60">
        <f ca="1">AVERAGE(OFFSET($EN$3,0,0,'Données projet'!$E$15+1,1))-AVERAGE(OFFSET($H$3,0,0,'Données projet'!$E$15+1,1))</f>
        <v>273.72403794510291</v>
      </c>
      <c r="EP81" s="60">
        <f t="shared" si="100"/>
        <v>292.00185554564109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5.6843418860808015E-14</v>
      </c>
      <c r="FF81" s="18">
        <f>FE81*VLOOKUP('Données projet'!$B$16,Paramètres!$A$1:$I$89,3,0)*VLOOKUP('Données projet'!$B$16,Paramètres!$A$1:$I$89,5,0)</f>
        <v>4.4337866711430253E-14</v>
      </c>
      <c r="FG81" s="14">
        <f t="shared" si="101"/>
        <v>7.3222115536967035E-13</v>
      </c>
      <c r="FH81" s="22">
        <f t="shared" si="76"/>
        <v>1.3525069634579169E-12</v>
      </c>
      <c r="FI81" s="60">
        <f t="shared" si="77"/>
        <v>269.92343803442759</v>
      </c>
      <c r="FJ81" s="60">
        <f ca="1">AVERAGE(OFFSET($FI$3,0,0,'Données projet'!$E$16+1,1))-AVERAGE(OFFSET($H$3,0,0,'Données projet'!$E$16+1,1))</f>
        <v>309.21625451786218</v>
      </c>
      <c r="FK81" s="60">
        <f t="shared" si="102"/>
        <v>302.59481222418219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>
        <f>FZ81*VLOOKUP('Données projet'!$B$17,Paramètres!$A$1:$I$89,3,0)*VLOOKUP('Données projet'!$B$17,Paramètres!$A$1:$I$89,5,0)</f>
        <v>0</v>
      </c>
      <c r="GB81" s="14" t="e">
        <f t="shared" si="103"/>
        <v>#NUM!</v>
      </c>
      <c r="GC81" s="22" t="e">
        <f t="shared" si="79"/>
        <v>#NUM!</v>
      </c>
      <c r="GD81" s="60" t="e">
        <f t="shared" si="80"/>
        <v>#NUM!</v>
      </c>
      <c r="GE81" s="60">
        <f ca="1">AVERAGE(OFFSET($GD$3,0,0,'Données projet'!$E$17+1,1))-AVERAGE(OFFSET($H$3,0,0,'Données projet'!$E$17+1,1))</f>
        <v>216.36762889365235</v>
      </c>
      <c r="GF81" s="60">
        <f t="shared" si="104"/>
        <v>333.29599352215496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5.2182274700558349</v>
      </c>
      <c r="GM81" s="23">
        <f>EXP(-LN(2)/25)*GM80+(1-EXP(-LN(2)/25))/(LN(2)/25)*Calculateur!GH81*Calculateur!GJ81*VLOOKUP('Données projet'!$B$17,Paramètres!$A$1:$I$89,3,0)*0.475*44/12</f>
        <v>2.5763265233370194</v>
      </c>
      <c r="GN81" s="23">
        <f>EXP(-LN(2)/2)*GN80+(1-EXP(-LN(2)/2))/(LN(2)/2)*GH81*GK81*VLOOKUP('Données projet'!$B$17,Paramètres!$A$1:$I$89,3,0)*0.475*44/12</f>
        <v>1.7430947404580175E-7</v>
      </c>
      <c r="GO81" s="23">
        <f t="shared" si="81"/>
        <v>7.7945541677023291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4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266.9471999999999</v>
      </c>
      <c r="P82" s="14">
        <f t="shared" si="87"/>
        <v>64.200959938746379</v>
      </c>
      <c r="Q82" s="22">
        <f t="shared" si="54"/>
        <v>576.74971189331643</v>
      </c>
      <c r="R82" s="60">
        <f t="shared" si="55"/>
        <v>847.07925927449332</v>
      </c>
      <c r="S82" s="60">
        <f ca="1">AVERAGE(OFFSET($R$3,0,0,'Données projet'!$E$9+1,1))-AVERAGE(OFFSET($H$3,0,0,'Données projet'!$E$9+1,1))</f>
        <v>496.33873798282525</v>
      </c>
      <c r="T82" s="60">
        <f t="shared" si="88"/>
        <v>280.25465074992246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8.918461538461532</v>
      </c>
      <c r="AI82" s="14">
        <f>IF('Données projet'!$A$62&gt;35,AI81+AH82-AQ81,IF(A82&lt;'Données projet'!$A$62,$AF$205^A82,IF(A82='Données projet'!$A$62,'Données projet'!$B$62,AI81+AH82-AQ81)))</f>
        <v>310.78923076923081</v>
      </c>
      <c r="AJ82" s="14">
        <f>AI82*VLOOKUP('Données projet'!$B$10,Paramètres!$A$1:$I$89,3,0)*VLOOKUP('Données projet'!$B$10,Paramètres!$A$1:$I$89,5,0)</f>
        <v>145.44936000000001</v>
      </c>
      <c r="AK82" s="14">
        <f t="shared" si="89"/>
        <v>37.542589456064086</v>
      </c>
      <c r="AL82" s="22">
        <f t="shared" si="58"/>
        <v>318.71097863597828</v>
      </c>
      <c r="AM82" s="60">
        <f t="shared" si="59"/>
        <v>589.04052601715523</v>
      </c>
      <c r="AN82" s="60">
        <f ca="1">AVERAGE(OFFSET($AM$3,0,0,'Données projet'!$E$10+1,1))-AVERAGE(OFFSET($H$3,0,0,'Données projet'!$E$10+1,1))</f>
        <v>277.7918215389401</v>
      </c>
      <c r="AO82" s="60">
        <f t="shared" si="90"/>
        <v>164.65640238394164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3.974358974358978</v>
      </c>
      <c r="BD82" s="13">
        <f>IF('Données projet'!$A$88&gt;35,BD81+BC82-BL81,IF(A82&lt;'Données projet'!$A$88,$BA$205^A82,IF(A82='Données projet'!$A$88,'Données projet'!$B$88,BD81+BC82-BL81)))</f>
        <v>189.61538461538453</v>
      </c>
      <c r="BE82" s="14">
        <f>BD82*VLOOKUP('Données projet'!$B$11,Paramètres!$A$1:$I$89,3,0)*VLOOKUP('Données projet'!$B$11,Paramètres!$A$1:$I$89,5,0)</f>
        <v>180.4379999999999</v>
      </c>
      <c r="BF82" s="14">
        <f t="shared" si="91"/>
        <v>45.419619308939104</v>
      </c>
      <c r="BG82" s="22">
        <f t="shared" si="61"/>
        <v>393.36868696306874</v>
      </c>
      <c r="BH82" s="60">
        <f t="shared" si="62"/>
        <v>663.69823434424575</v>
      </c>
      <c r="BI82" s="60">
        <f ca="1">AVERAGE(OFFSET($BH$3,0,0,'Données projet'!$E$11+1,1))-AVERAGE(OFFSET($H$3,0,0,'Données projet'!$E$11+1,1))</f>
        <v>366.21371543563254</v>
      </c>
      <c r="BJ82" s="60">
        <f t="shared" si="92"/>
        <v>237.43356317334084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4.3589743589743595</v>
      </c>
      <c r="BY82" s="13">
        <f>IF('Données projet'!$A$114&gt;35,BY81+BX82-CG81,IF(A82&lt;'Données projet'!$A$114,$BV$205^A82,IF(A82='Données projet'!$A$114,'Données projet'!$B$114,BY81+BX82-CG81)))</f>
        <v>263.58974358974353</v>
      </c>
      <c r="BZ82" s="14">
        <f>BY82*VLOOKUP('Données projet'!$B$12,Paramètres!$A$1:$I$89,3,0)*VLOOKUP('Données projet'!$B$12,Paramètres!$A$1:$I$89,5,0)</f>
        <v>275.50399999999996</v>
      </c>
      <c r="CA82" s="14">
        <f t="shared" si="93"/>
        <v>66.015981560472</v>
      </c>
      <c r="CB82" s="22">
        <f t="shared" si="64"/>
        <v>594.81396788448865</v>
      </c>
      <c r="CC82" s="60">
        <f t="shared" si="65"/>
        <v>865.14351526566566</v>
      </c>
      <c r="CD82" s="60">
        <f ca="1">AVERAGE(OFFSET($CC$3,0,0,'Données projet'!$E$12+1,1))-AVERAGE(OFFSET($H$3,0,0,'Données projet'!$E$12+1,1))</f>
        <v>530.79860063513229</v>
      </c>
      <c r="CE82" s="60">
        <f t="shared" si="94"/>
        <v>302.50876440460434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249.7247999999999</v>
      </c>
      <c r="CV82" s="14">
        <f t="shared" si="95"/>
        <v>60.527007137298092</v>
      </c>
      <c r="CW82" s="22">
        <f t="shared" si="67"/>
        <v>540.35523076412733</v>
      </c>
      <c r="CX82" s="60">
        <f t="shared" si="68"/>
        <v>810.68477814530434</v>
      </c>
      <c r="CY82" s="60">
        <f ca="1">AVERAGE(OFFSET($CX$3,0,0,'Données projet'!$E$13+1,1))-AVERAGE(OFFSET($H$3,0,0,'Données projet'!$E$13+1,1))</f>
        <v>469.67944008675863</v>
      </c>
      <c r="CZ82" s="60">
        <f t="shared" si="96"/>
        <v>266.11908070867173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275.99999999999989</v>
      </c>
      <c r="DP82" s="18">
        <f>DO82*VLOOKUP('Données projet'!$B$14,Paramètres!$A$1:$I$89,3,0)*VLOOKUP('Données projet'!$B$14,Paramètres!$A$1:$I$89,5,0)</f>
        <v>297.08639999999986</v>
      </c>
      <c r="DQ82" s="14">
        <f t="shared" si="97"/>
        <v>70.565314499829583</v>
      </c>
      <c r="DR82" s="22">
        <f t="shared" si="70"/>
        <v>640.3267360872029</v>
      </c>
      <c r="DS82" s="60">
        <f t="shared" si="71"/>
        <v>910.6562834683798</v>
      </c>
      <c r="DT82" s="60">
        <f ca="1">AVERAGE(OFFSET($DS$3,0,0,'Données projet'!$E$14+1,1))-AVERAGE(OFFSET($H$3,0,0,'Données projet'!$E$14+1,1))</f>
        <v>542.90832990875208</v>
      </c>
      <c r="DU82" s="60">
        <f t="shared" si="98"/>
        <v>304.94365539329362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1.1399999999999977</v>
      </c>
      <c r="EJ82" s="13">
        <f>IF('Données projet'!$A$192&gt;35,EJ81+EI82-ER81,IF(A82&lt;'Données projet'!$A$192,$EG$205^A82,IF(A82='Données projet'!$A$192,'Données projet'!$B$192,EJ81+EI82-ER81)))</f>
        <v>211.96000000000006</v>
      </c>
      <c r="EK82" s="18">
        <f>EJ82*VLOOKUP('Données projet'!$B$15,Paramètres!$A$1:$I$89,3,0)*VLOOKUP('Données projet'!$B$15,Paramètres!$A$1:$I$89,5,0)</f>
        <v>168.63537600000006</v>
      </c>
      <c r="EL82" s="14">
        <f t="shared" si="99"/>
        <v>42.784249990734793</v>
      </c>
      <c r="EM82" s="22">
        <f t="shared" si="73"/>
        <v>368.22251526719651</v>
      </c>
      <c r="EN82" s="60">
        <f t="shared" si="74"/>
        <v>638.55206264837352</v>
      </c>
      <c r="EO82" s="60">
        <f ca="1">AVERAGE(OFFSET($EN$3,0,0,'Données projet'!$E$15+1,1))-AVERAGE(OFFSET($H$3,0,0,'Données projet'!$E$15+1,1))</f>
        <v>273.72403794510291</v>
      </c>
      <c r="EP82" s="60">
        <f t="shared" si="100"/>
        <v>292.00185554564109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5.6843418860808015E-14</v>
      </c>
      <c r="FF82" s="18">
        <f>FE82*VLOOKUP('Données projet'!$B$16,Paramètres!$A$1:$I$89,3,0)*VLOOKUP('Données projet'!$B$16,Paramètres!$A$1:$I$89,5,0)</f>
        <v>4.4337866711430253E-14</v>
      </c>
      <c r="FG82" s="14">
        <f t="shared" si="101"/>
        <v>7.3222115536967035E-13</v>
      </c>
      <c r="FH82" s="22">
        <f t="shared" si="76"/>
        <v>1.3525069634579169E-12</v>
      </c>
      <c r="FI82" s="60">
        <f t="shared" si="77"/>
        <v>270.32954738117832</v>
      </c>
      <c r="FJ82" s="60">
        <f ca="1">AVERAGE(OFFSET($FI$3,0,0,'Données projet'!$E$16+1,1))-AVERAGE(OFFSET($H$3,0,0,'Données projet'!$E$16+1,1))</f>
        <v>309.21625451786218</v>
      </c>
      <c r="FK82" s="60">
        <f t="shared" si="102"/>
        <v>302.59481222418219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>
        <f>FZ82*VLOOKUP('Données projet'!$B$17,Paramètres!$A$1:$I$89,3,0)*VLOOKUP('Données projet'!$B$17,Paramètres!$A$1:$I$89,5,0)</f>
        <v>0</v>
      </c>
      <c r="GB82" s="14" t="e">
        <f t="shared" si="103"/>
        <v>#NUM!</v>
      </c>
      <c r="GC82" s="22" t="e">
        <f t="shared" si="79"/>
        <v>#NUM!</v>
      </c>
      <c r="GD82" s="60" t="e">
        <f t="shared" si="80"/>
        <v>#NUM!</v>
      </c>
      <c r="GE82" s="60">
        <f ca="1">AVERAGE(OFFSET($GD$3,0,0,'Données projet'!$E$17+1,1))-AVERAGE(OFFSET($H$3,0,0,'Données projet'!$E$17+1,1))</f>
        <v>216.36762889365235</v>
      </c>
      <c r="GF82" s="60">
        <f t="shared" si="104"/>
        <v>333.29599352215496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5.1159012121725205</v>
      </c>
      <c r="GM82" s="23">
        <f>EXP(-LN(2)/25)*GM81+(1-EXP(-LN(2)/25))/(LN(2)/25)*Calculateur!GH82*Calculateur!GJ82*VLOOKUP('Données projet'!$B$17,Paramètres!$A$1:$I$89,3,0)*0.475*44/12</f>
        <v>2.505876739073245</v>
      </c>
      <c r="GN82" s="23">
        <f>EXP(-LN(2)/2)*GN81+(1-EXP(-LN(2)/2))/(LN(2)/2)*GH82*GK82*VLOOKUP('Données projet'!$B$17,Paramètres!$A$1:$I$89,3,0)*0.475*44/12</f>
        <v>1.2325541112284692E-7</v>
      </c>
      <c r="GO82" s="23">
        <f t="shared" si="81"/>
        <v>7.6217780745011767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4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272.7503999999999</v>
      </c>
      <c r="P83" s="14">
        <f t="shared" si="87"/>
        <v>65.432628830820633</v>
      </c>
      <c r="Q83" s="22">
        <f t="shared" si="54"/>
        <v>589.00210854701243</v>
      </c>
      <c r="R83" s="60">
        <f t="shared" si="55"/>
        <v>859.7307201856986</v>
      </c>
      <c r="S83" s="60">
        <f ca="1">AVERAGE(OFFSET($R$3,0,0,'Données projet'!$E$9+1,1))-AVERAGE(OFFSET($H$3,0,0,'Données projet'!$E$9+1,1))</f>
        <v>496.33873798282525</v>
      </c>
      <c r="T83" s="60">
        <f t="shared" si="88"/>
        <v>280.25465074992246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319.7076923076923</v>
      </c>
      <c r="AG83" s="13">
        <f>VLOOKUP(A83,'Données projet'!$A$61:$I$81,9,0)</f>
        <v>8.918461538461532</v>
      </c>
      <c r="AH83" s="13">
        <f t="array" ref="AH83">INDEX(AG:AG,MIN(IF(ISNUMBER(AG83:AG279),ROW(AG83:AG279),"")))</f>
        <v>8.918461538461532</v>
      </c>
      <c r="AI83" s="14">
        <f>IF('Données projet'!$A$62&gt;35,AI82+AH83-AQ82,IF(A83&lt;'Données projet'!$A$62,$AF$205^A83,IF(A83='Données projet'!$A$62,'Données projet'!$B$62,AI82+AH83-AQ82)))</f>
        <v>319.70769230769235</v>
      </c>
      <c r="AJ83" s="14">
        <f>AI83*VLOOKUP('Données projet'!$B$10,Paramètres!$A$1:$I$89,3,0)*VLOOKUP('Données projet'!$B$10,Paramètres!$A$1:$I$89,5,0)</f>
        <v>149.62320000000003</v>
      </c>
      <c r="AK83" s="14">
        <f t="shared" si="89"/>
        <v>38.492943938194955</v>
      </c>
      <c r="AL83" s="22">
        <f t="shared" si="58"/>
        <v>327.63561735902289</v>
      </c>
      <c r="AM83" s="60">
        <f t="shared" si="59"/>
        <v>598.36422899770901</v>
      </c>
      <c r="AN83" s="60">
        <f ca="1">AVERAGE(OFFSET($AM$3,0,0,'Données projet'!$E$10+1,1))-AVERAGE(OFFSET($H$3,0,0,'Données projet'!$E$10+1,1))</f>
        <v>277.7918215389401</v>
      </c>
      <c r="AO83" s="60">
        <f t="shared" si="90"/>
        <v>164.65640238394164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193.58974358974359</v>
      </c>
      <c r="BB83" s="13">
        <f>VLOOKUP(A83,'Données projet'!$A$87:$I$107,9,0)</f>
        <v>3.974358974358978</v>
      </c>
      <c r="BC83" s="13">
        <f t="array" ref="BC83">INDEX(BB:BB,MIN(IF(ISNUMBER(BB83:BB279),ROW(BB83:BB279),"")))</f>
        <v>3.974358974358978</v>
      </c>
      <c r="BD83" s="13">
        <f>IF('Données projet'!$A$88&gt;35,BD82+BC83-BL82,IF(A83&lt;'Données projet'!$A$88,$BA$205^A83,IF(A83='Données projet'!$A$88,'Données projet'!$B$88,BD82+BC83-BL82)))</f>
        <v>193.58974358974351</v>
      </c>
      <c r="BE83" s="14">
        <f>BD83*VLOOKUP('Données projet'!$B$11,Paramètres!$A$1:$I$89,3,0)*VLOOKUP('Données projet'!$B$11,Paramètres!$A$1:$I$89,5,0)</f>
        <v>184.21999999999991</v>
      </c>
      <c r="BF83" s="14">
        <f t="shared" si="91"/>
        <v>46.259788397695985</v>
      </c>
      <c r="BG83" s="22">
        <f t="shared" si="61"/>
        <v>401.4189647926537</v>
      </c>
      <c r="BH83" s="60">
        <f t="shared" si="62"/>
        <v>672.14757643133976</v>
      </c>
      <c r="BI83" s="60">
        <f ca="1">AVERAGE(OFFSET($BH$3,0,0,'Données projet'!$E$11+1,1))-AVERAGE(OFFSET($H$3,0,0,'Données projet'!$E$11+1,1))</f>
        <v>366.21371543563254</v>
      </c>
      <c r="BJ83" s="60">
        <f t="shared" si="92"/>
        <v>237.43356317334084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267.94871794871796</v>
      </c>
      <c r="BW83" s="13">
        <f>VLOOKUP(A83,'Données projet'!$A$113:$I$133,9,0)</f>
        <v>4.3589743589743595</v>
      </c>
      <c r="BX83" s="13">
        <f t="array" ref="BX83">INDEX(BW:BW,MIN(IF(ISNUMBER(BW83:BW279),ROW(BW83:BW279),"")))</f>
        <v>4.3589743589743595</v>
      </c>
      <c r="BY83" s="13">
        <f>IF('Données projet'!$A$114&gt;35,BY82+BX83-CG82,IF(A83&lt;'Données projet'!$A$114,$BV$205^A83,IF(A83='Données projet'!$A$114,'Données projet'!$B$114,BY82+BX83-CG82)))</f>
        <v>267.9487179487179</v>
      </c>
      <c r="BZ83" s="14">
        <f>BY83*VLOOKUP('Données projet'!$B$12,Paramètres!$A$1:$I$89,3,0)*VLOOKUP('Données projet'!$B$12,Paramètres!$A$1:$I$89,5,0)</f>
        <v>280.05999999999995</v>
      </c>
      <c r="CA83" s="14">
        <f t="shared" si="93"/>
        <v>66.979688447782166</v>
      </c>
      <c r="CB83" s="22">
        <f t="shared" si="64"/>
        <v>604.42745737988719</v>
      </c>
      <c r="CC83" s="60">
        <f t="shared" si="65"/>
        <v>875.15606901857336</v>
      </c>
      <c r="CD83" s="60">
        <f ca="1">AVERAGE(OFFSET($CC$3,0,0,'Données projet'!$E$12+1,1))-AVERAGE(OFFSET($H$3,0,0,'Données projet'!$E$12+1,1))</f>
        <v>530.79860063513229</v>
      </c>
      <c r="CE83" s="60">
        <f t="shared" si="94"/>
        <v>302.50876440460434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255.15359999999987</v>
      </c>
      <c r="CV83" s="14">
        <f t="shared" si="95"/>
        <v>61.688192762754376</v>
      </c>
      <c r="CW83" s="22">
        <f t="shared" si="67"/>
        <v>551.83278906179692</v>
      </c>
      <c r="CX83" s="60">
        <f t="shared" si="68"/>
        <v>822.56140070048309</v>
      </c>
      <c r="CY83" s="60">
        <f ca="1">AVERAGE(OFFSET($CX$3,0,0,'Données projet'!$E$13+1,1))-AVERAGE(OFFSET($H$3,0,0,'Données projet'!$E$13+1,1))</f>
        <v>469.67944008675863</v>
      </c>
      <c r="CZ83" s="60">
        <f t="shared" si="96"/>
        <v>266.11908070867173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281.99999999999989</v>
      </c>
      <c r="DP83" s="18">
        <f>DO83*VLOOKUP('Données projet'!$B$14,Paramètres!$A$1:$I$89,3,0)*VLOOKUP('Données projet'!$B$14,Paramètres!$A$1:$I$89,5,0)</f>
        <v>303.54479999999984</v>
      </c>
      <c r="DQ83" s="14">
        <f t="shared" si="97"/>
        <v>71.919080904752505</v>
      </c>
      <c r="DR83" s="22">
        <f t="shared" si="70"/>
        <v>653.93292590911028</v>
      </c>
      <c r="DS83" s="60">
        <f t="shared" si="71"/>
        <v>924.66153754779634</v>
      </c>
      <c r="DT83" s="60">
        <f ca="1">AVERAGE(OFFSET($DS$3,0,0,'Données projet'!$E$14+1,1))-AVERAGE(OFFSET($H$3,0,0,'Données projet'!$E$14+1,1))</f>
        <v>542.90832990875208</v>
      </c>
      <c r="DU83" s="60">
        <f t="shared" si="98"/>
        <v>304.94365539329362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42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213.1</v>
      </c>
      <c r="EH83" s="13">
        <f>VLOOKUP(A83,'Données projet'!$A$191:$I$211,9,0)</f>
        <v>1.1399999999999977</v>
      </c>
      <c r="EI83" s="13">
        <f t="array" ref="EI83">INDEX(EH:EH,MIN(IF(ISNUMBER(EH83:EH279),ROW(EH83:EH279),"")))</f>
        <v>1.1399999999999977</v>
      </c>
      <c r="EJ83" s="13">
        <f>IF('Données projet'!$A$192&gt;35,EJ82+EI83-ER82,IF(A83&lt;'Données projet'!$A$192,$EG$205^A83,IF(A83='Données projet'!$A$192,'Données projet'!$B$192,EJ82+EI83-ER82)))</f>
        <v>213.10000000000005</v>
      </c>
      <c r="EK83" s="18">
        <f>EJ83*VLOOKUP('Données projet'!$B$15,Paramètres!$A$1:$I$89,3,0)*VLOOKUP('Données projet'!$B$15,Paramètres!$A$1:$I$89,5,0)</f>
        <v>169.54236000000006</v>
      </c>
      <c r="EL83" s="14">
        <f t="shared" si="99"/>
        <v>42.98751137437214</v>
      </c>
      <c r="EM83" s="22">
        <f t="shared" si="73"/>
        <v>370.1561926436982</v>
      </c>
      <c r="EN83" s="60">
        <f t="shared" si="74"/>
        <v>640.88480428238427</v>
      </c>
      <c r="EO83" s="60">
        <f ca="1">AVERAGE(OFFSET($EN$3,0,0,'Données projet'!$E$15+1,1))-AVERAGE(OFFSET($H$3,0,0,'Données projet'!$E$15+1,1))</f>
        <v>273.72403794510291</v>
      </c>
      <c r="EP83" s="60">
        <f t="shared" si="100"/>
        <v>292.00185554564109</v>
      </c>
      <c r="EQ83" s="16">
        <f>IF(ISNA(VLOOKUP(A83,'Données projet'!$A$191:$I$211,3,0)),0,VLOOKUP(A83,'Données projet'!$A$191:$I$211,3,0))</f>
        <v>8</v>
      </c>
      <c r="ER83" s="16">
        <f>IF(ISNA(VLOOKUP(A83,'Données projet'!$A$191:$I$211,4,0)),0,VLOOKUP(A83,'Données projet'!$A$191:$I$211,4,0))</f>
        <v>213.1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5.6843418860808015E-14</v>
      </c>
      <c r="FF83" s="18">
        <f>FE83*VLOOKUP('Données projet'!$B$16,Paramètres!$A$1:$I$89,3,0)*VLOOKUP('Données projet'!$B$16,Paramètres!$A$1:$I$89,5,0)</f>
        <v>4.4337866711430253E-14</v>
      </c>
      <c r="FG83" s="14">
        <f t="shared" si="101"/>
        <v>7.3222115536967035E-13</v>
      </c>
      <c r="FH83" s="22">
        <f t="shared" si="76"/>
        <v>1.3525069634579169E-12</v>
      </c>
      <c r="FI83" s="60">
        <f t="shared" si="77"/>
        <v>270.72861163868748</v>
      </c>
      <c r="FJ83" s="60">
        <f ca="1">AVERAGE(OFFSET($FI$3,0,0,'Données projet'!$E$16+1,1))-AVERAGE(OFFSET($H$3,0,0,'Données projet'!$E$16+1,1))</f>
        <v>309.21625451786218</v>
      </c>
      <c r="FK83" s="60">
        <f t="shared" si="102"/>
        <v>302.59481222418219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>
        <f>FZ83*VLOOKUP('Données projet'!$B$17,Paramètres!$A$1:$I$89,3,0)*VLOOKUP('Données projet'!$B$17,Paramètres!$A$1:$I$89,5,0)</f>
        <v>0</v>
      </c>
      <c r="GB83" s="14" t="e">
        <f t="shared" si="103"/>
        <v>#NUM!</v>
      </c>
      <c r="GC83" s="22" t="e">
        <f t="shared" si="79"/>
        <v>#NUM!</v>
      </c>
      <c r="GD83" s="60" t="e">
        <f t="shared" si="80"/>
        <v>#NUM!</v>
      </c>
      <c r="GE83" s="60">
        <f ca="1">AVERAGE(OFFSET($GD$3,0,0,'Données projet'!$E$17+1,1))-AVERAGE(OFFSET($H$3,0,0,'Données projet'!$E$17+1,1))</f>
        <v>216.36762889365235</v>
      </c>
      <c r="GF83" s="60">
        <f t="shared" si="104"/>
        <v>333.29599352215496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5.015581509793444</v>
      </c>
      <c r="GM83" s="23">
        <f>EXP(-LN(2)/25)*GM82+(1-EXP(-LN(2)/25))/(LN(2)/25)*Calculateur!GH83*Calculateur!GJ83*VLOOKUP('Données projet'!$B$17,Paramètres!$A$1:$I$89,3,0)*0.475*44/12</f>
        <v>2.4373534078649568</v>
      </c>
      <c r="GN83" s="23">
        <f>EXP(-LN(2)/2)*GN82+(1-EXP(-LN(2)/2))/(LN(2)/2)*GH83*GK83*VLOOKUP('Données projet'!$B$17,Paramètres!$A$1:$I$89,3,0)*0.475*44/12</f>
        <v>8.7154737022900873E-8</v>
      </c>
      <c r="GO83" s="23">
        <f t="shared" si="81"/>
        <v>7.4529350048131375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4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237.54431999999991</v>
      </c>
      <c r="P84" s="14">
        <f t="shared" si="87"/>
        <v>57.910863128487989</v>
      </c>
      <c r="Q84" s="22">
        <f t="shared" si="54"/>
        <v>514.58444394878302</v>
      </c>
      <c r="R84" s="60">
        <f t="shared" si="55"/>
        <v>785.70519697228451</v>
      </c>
      <c r="S84" s="60">
        <f ca="1">AVERAGE(OFFSET($R$3,0,0,'Données projet'!$E$9+1,1))-AVERAGE(OFFSET($H$3,0,0,'Données projet'!$E$9+1,1))</f>
        <v>496.33873798282525</v>
      </c>
      <c r="T84" s="60">
        <f t="shared" si="88"/>
        <v>280.25465074992246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9.046153846153846</v>
      </c>
      <c r="AI84" s="14">
        <f>IF('Données projet'!$A$62&gt;35,AI83+AH84-AQ83,IF(A84&lt;'Données projet'!$A$62,$AF$205^A84,IF(A84='Données projet'!$A$62,'Données projet'!$B$62,AI83+AH84-AQ83)))</f>
        <v>328.75384615384621</v>
      </c>
      <c r="AJ84" s="14">
        <f>AI84*VLOOKUP('Données projet'!$B$10,Paramètres!$A$1:$I$89,3,0)*VLOOKUP('Données projet'!$B$10,Paramètres!$A$1:$I$89,5,0)</f>
        <v>153.85680000000002</v>
      </c>
      <c r="AK84" s="14">
        <f t="shared" si="89"/>
        <v>39.453758056234719</v>
      </c>
      <c r="AL84" s="22">
        <f t="shared" si="58"/>
        <v>336.68255528127548</v>
      </c>
      <c r="AM84" s="60">
        <f t="shared" si="59"/>
        <v>607.80330830477692</v>
      </c>
      <c r="AN84" s="60">
        <f ca="1">AVERAGE(OFFSET($AM$3,0,0,'Données projet'!$E$10+1,1))-AVERAGE(OFFSET($H$3,0,0,'Données projet'!$E$10+1,1))</f>
        <v>277.7918215389401</v>
      </c>
      <c r="AO84" s="60">
        <f t="shared" si="90"/>
        <v>164.65640238394164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3.7179487179487181</v>
      </c>
      <c r="BD84" s="13">
        <f>IF('Données projet'!$A$88&gt;35,BD83+BC84-BL83,IF(A84&lt;'Données projet'!$A$88,$BA$205^A84,IF(A84='Données projet'!$A$88,'Données projet'!$B$88,BD83+BC84-BL83)))</f>
        <v>197.30769230769224</v>
      </c>
      <c r="BE84" s="14">
        <f>BD84*VLOOKUP('Données projet'!$B$11,Paramètres!$A$1:$I$89,3,0)*VLOOKUP('Données projet'!$B$11,Paramètres!$A$1:$I$89,5,0)</f>
        <v>187.75799999999992</v>
      </c>
      <c r="BF84" s="14">
        <f t="shared" si="91"/>
        <v>47.043936570096889</v>
      </c>
      <c r="BG84" s="22">
        <f t="shared" si="61"/>
        <v>408.94670619291861</v>
      </c>
      <c r="BH84" s="60">
        <f t="shared" si="62"/>
        <v>680.06745921642005</v>
      </c>
      <c r="BI84" s="60">
        <f ca="1">AVERAGE(OFFSET($BH$3,0,0,'Données projet'!$E$11+1,1))-AVERAGE(OFFSET($H$3,0,0,'Données projet'!$E$11+1,1))</f>
        <v>366.21371543563254</v>
      </c>
      <c r="BJ84" s="60">
        <f t="shared" si="92"/>
        <v>237.43356317334084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3.9743589743589722</v>
      </c>
      <c r="BY84" s="13">
        <f>IF('Données projet'!$A$114&gt;35,BY83+BX84-CG83,IF(A84&lt;'Données projet'!$A$114,$BV$205^A84,IF(A84='Données projet'!$A$114,'Données projet'!$B$114,BY83+BX84-CG83)))</f>
        <v>271.92307692307685</v>
      </c>
      <c r="BZ84" s="14">
        <f>BY84*VLOOKUP('Données projet'!$B$12,Paramètres!$A$1:$I$89,3,0)*VLOOKUP('Données projet'!$B$12,Paramètres!$A$1:$I$89,5,0)</f>
        <v>284.21399999999994</v>
      </c>
      <c r="CA84" s="14">
        <f t="shared" si="93"/>
        <v>67.856772521148613</v>
      </c>
      <c r="CB84" s="22">
        <f t="shared" si="64"/>
        <v>613.189928807667</v>
      </c>
      <c r="CC84" s="60">
        <f t="shared" si="65"/>
        <v>884.31068183116849</v>
      </c>
      <c r="CD84" s="60">
        <f ca="1">AVERAGE(OFFSET($CC$3,0,0,'Données projet'!$E$12+1,1))-AVERAGE(OFFSET($H$3,0,0,'Données projet'!$E$12+1,1))</f>
        <v>530.79860063513229</v>
      </c>
      <c r="CE84" s="60">
        <f t="shared" si="94"/>
        <v>302.50876440460434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222.21887999999993</v>
      </c>
      <c r="CV84" s="14">
        <f t="shared" si="95"/>
        <v>54.596866296848852</v>
      </c>
      <c r="CW84" s="22">
        <f t="shared" si="67"/>
        <v>482.12075813367829</v>
      </c>
      <c r="CX84" s="60">
        <f t="shared" si="68"/>
        <v>753.24151115717973</v>
      </c>
      <c r="CY84" s="60">
        <f ca="1">AVERAGE(OFFSET($CX$3,0,0,'Données projet'!$E$13+1,1))-AVERAGE(OFFSET($H$3,0,0,'Données projet'!$E$13+1,1))</f>
        <v>469.67944008675863</v>
      </c>
      <c r="CZ84" s="60">
        <f t="shared" si="96"/>
        <v>266.11908070867173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245.59999999999991</v>
      </c>
      <c r="DP84" s="18">
        <f>DO84*VLOOKUP('Données projet'!$B$14,Paramètres!$A$1:$I$89,3,0)*VLOOKUP('Données projet'!$B$14,Paramètres!$A$1:$I$89,5,0)</f>
        <v>264.36383999999987</v>
      </c>
      <c r="DQ84" s="14">
        <f t="shared" si="97"/>
        <v>63.651669282160768</v>
      </c>
      <c r="DR84" s="22">
        <f t="shared" si="70"/>
        <v>571.29367866642974</v>
      </c>
      <c r="DS84" s="60">
        <f t="shared" si="71"/>
        <v>842.41443168993123</v>
      </c>
      <c r="DT84" s="60">
        <f ca="1">AVERAGE(OFFSET($DS$3,0,0,'Données projet'!$E$14+1,1))-AVERAGE(OFFSET($H$3,0,0,'Données projet'!$E$14+1,1))</f>
        <v>542.90832990875208</v>
      </c>
      <c r="DU84" s="60">
        <f t="shared" si="98"/>
        <v>304.94365539329362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5.6843418860808015E-14</v>
      </c>
      <c r="EK84" s="18">
        <f>EJ84*VLOOKUP('Données projet'!$B$15,Paramètres!$A$1:$I$89,3,0)*VLOOKUP('Données projet'!$B$15,Paramètres!$A$1:$I$89,5,0)</f>
        <v>4.5224624045658861E-14</v>
      </c>
      <c r="EL84" s="14">
        <f t="shared" si="99"/>
        <v>7.4514601661523691E-13</v>
      </c>
      <c r="EM84" s="22">
        <f t="shared" si="73"/>
        <v>1.3765621991510601E-12</v>
      </c>
      <c r="EN84" s="60">
        <f t="shared" si="74"/>
        <v>271.1207530235028</v>
      </c>
      <c r="EO84" s="60">
        <f ca="1">AVERAGE(OFFSET($EN$3,0,0,'Données projet'!$E$15+1,1))-AVERAGE(OFFSET($H$3,0,0,'Données projet'!$E$15+1,1))</f>
        <v>273.72403794510291</v>
      </c>
      <c r="EP84" s="60">
        <f t="shared" si="100"/>
        <v>292.00185554564109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5.6843418860808015E-14</v>
      </c>
      <c r="FF84" s="18">
        <f>FE84*VLOOKUP('Données projet'!$B$16,Paramètres!$A$1:$I$89,3,0)*VLOOKUP('Données projet'!$B$16,Paramètres!$A$1:$I$89,5,0)</f>
        <v>4.4337866711430253E-14</v>
      </c>
      <c r="FG84" s="14">
        <f t="shared" si="101"/>
        <v>7.3222115536967035E-13</v>
      </c>
      <c r="FH84" s="22">
        <f t="shared" si="76"/>
        <v>1.3525069634579169E-12</v>
      </c>
      <c r="FI84" s="60">
        <f t="shared" si="77"/>
        <v>271.1207530235028</v>
      </c>
      <c r="FJ84" s="60">
        <f ca="1">AVERAGE(OFFSET($FI$3,0,0,'Données projet'!$E$16+1,1))-AVERAGE(OFFSET($H$3,0,0,'Données projet'!$E$16+1,1))</f>
        <v>309.21625451786218</v>
      </c>
      <c r="FK84" s="60">
        <f t="shared" si="102"/>
        <v>302.59481222418219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>
        <f>FZ84*VLOOKUP('Données projet'!$B$17,Paramètres!$A$1:$I$89,3,0)*VLOOKUP('Données projet'!$B$17,Paramètres!$A$1:$I$89,5,0)</f>
        <v>0</v>
      </c>
      <c r="GB84" s="14" t="e">
        <f t="shared" si="103"/>
        <v>#NUM!</v>
      </c>
      <c r="GC84" s="22" t="e">
        <f t="shared" si="79"/>
        <v>#NUM!</v>
      </c>
      <c r="GD84" s="60" t="e">
        <f t="shared" si="80"/>
        <v>#NUM!</v>
      </c>
      <c r="GE84" s="60">
        <f ca="1">AVERAGE(OFFSET($GD$3,0,0,'Données projet'!$E$17+1,1))-AVERAGE(OFFSET($H$3,0,0,'Données projet'!$E$17+1,1))</f>
        <v>216.36762889365235</v>
      </c>
      <c r="GF84" s="60">
        <f t="shared" si="104"/>
        <v>333.29599352215496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4.9172290155890446</v>
      </c>
      <c r="GM84" s="23">
        <f>EXP(-LN(2)/25)*GM83+(1-EXP(-LN(2)/25))/(LN(2)/25)*Calculateur!GH84*Calculateur!GJ84*VLOOKUP('Données projet'!$B$17,Paramètres!$A$1:$I$89,3,0)*0.475*44/12</f>
        <v>2.3707038507520446</v>
      </c>
      <c r="GN84" s="23">
        <f>EXP(-LN(2)/2)*GN83+(1-EXP(-LN(2)/2))/(LN(2)/2)*GH84*GK84*VLOOKUP('Données projet'!$B$17,Paramètres!$A$1:$I$89,3,0)*0.475*44/12</f>
        <v>6.1627705561423459E-8</v>
      </c>
      <c r="GO84" s="23">
        <f t="shared" si="81"/>
        <v>7.2879329279687948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4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242.96063999999993</v>
      </c>
      <c r="P85" s="14">
        <f t="shared" si="87"/>
        <v>59.076071351835715</v>
      </c>
      <c r="Q85" s="22">
        <f t="shared" si="54"/>
        <v>526.04727227111368</v>
      </c>
      <c r="R85" s="60">
        <f t="shared" si="55"/>
        <v>797.55336390310072</v>
      </c>
      <c r="S85" s="60">
        <f ca="1">AVERAGE(OFFSET($R$3,0,0,'Données projet'!$E$9+1,1))-AVERAGE(OFFSET($H$3,0,0,'Données projet'!$E$9+1,1))</f>
        <v>496.33873798282525</v>
      </c>
      <c r="T85" s="60">
        <f t="shared" si="88"/>
        <v>280.25465074992246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9.046153846153846</v>
      </c>
      <c r="AI85" s="14">
        <f>IF('Données projet'!$A$62&gt;35,AI84+AH85-AQ84,IF(A85&lt;'Données projet'!$A$62,$AF$205^A85,IF(A85='Données projet'!$A$62,'Données projet'!$B$62,AI84+AH85-AQ84)))</f>
        <v>337.80000000000007</v>
      </c>
      <c r="AJ85" s="14">
        <f>AI85*VLOOKUP('Données projet'!$B$10,Paramètres!$A$1:$I$89,3,0)*VLOOKUP('Données projet'!$B$10,Paramètres!$A$1:$I$89,5,0)</f>
        <v>158.09040000000002</v>
      </c>
      <c r="AK85" s="14">
        <f t="shared" si="89"/>
        <v>40.411499276734304</v>
      </c>
      <c r="AL85" s="22">
        <f t="shared" si="58"/>
        <v>345.72414124031229</v>
      </c>
      <c r="AM85" s="60">
        <f t="shared" si="59"/>
        <v>617.23023287229933</v>
      </c>
      <c r="AN85" s="60">
        <f ca="1">AVERAGE(OFFSET($AM$3,0,0,'Données projet'!$E$10+1,1))-AVERAGE(OFFSET($H$3,0,0,'Données projet'!$E$10+1,1))</f>
        <v>277.7918215389401</v>
      </c>
      <c r="AO85" s="60">
        <f t="shared" si="90"/>
        <v>164.65640238394164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3.7179487179487181</v>
      </c>
      <c r="BD85" s="13">
        <f>IF('Données projet'!$A$88&gt;35,BD84+BC85-BL84,IF(A85&lt;'Données projet'!$A$88,$BA$205^A85,IF(A85='Données projet'!$A$88,'Données projet'!$B$88,BD84+BC85-BL84)))</f>
        <v>201.02564102564097</v>
      </c>
      <c r="BE85" s="14">
        <f>BD85*VLOOKUP('Données projet'!$B$11,Paramètres!$A$1:$I$89,3,0)*VLOOKUP('Données projet'!$B$11,Paramètres!$A$1:$I$89,5,0)</f>
        <v>191.29599999999994</v>
      </c>
      <c r="BF85" s="14">
        <f t="shared" si="91"/>
        <v>47.826366590958408</v>
      </c>
      <c r="BG85" s="22">
        <f t="shared" si="61"/>
        <v>416.47145514591904</v>
      </c>
      <c r="BH85" s="60">
        <f t="shared" si="62"/>
        <v>687.97754677790613</v>
      </c>
      <c r="BI85" s="60">
        <f ca="1">AVERAGE(OFFSET($BH$3,0,0,'Données projet'!$E$11+1,1))-AVERAGE(OFFSET($H$3,0,0,'Données projet'!$E$11+1,1))</f>
        <v>366.21371543563254</v>
      </c>
      <c r="BJ85" s="60">
        <f t="shared" si="92"/>
        <v>237.43356317334084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3.9743589743589722</v>
      </c>
      <c r="BY85" s="13">
        <f>IF('Données projet'!$A$114&gt;35,BY84+BX85-CG84,IF(A85&lt;'Données projet'!$A$114,$BV$205^A85,IF(A85='Données projet'!$A$114,'Données projet'!$B$114,BY84+BX85-CG84)))</f>
        <v>275.8974358974358</v>
      </c>
      <c r="BZ85" s="14">
        <f>BY85*VLOOKUP('Données projet'!$B$12,Paramètres!$A$1:$I$89,3,0)*VLOOKUP('Données projet'!$B$12,Paramètres!$A$1:$I$89,5,0)</f>
        <v>288.36799999999994</v>
      </c>
      <c r="CA85" s="14">
        <f t="shared" si="93"/>
        <v>68.732365647514541</v>
      </c>
      <c r="CB85" s="22">
        <f t="shared" si="64"/>
        <v>621.94980350275443</v>
      </c>
      <c r="CC85" s="60">
        <f t="shared" si="65"/>
        <v>893.45589513474147</v>
      </c>
      <c r="CD85" s="60">
        <f ca="1">AVERAGE(OFFSET($CC$3,0,0,'Données projet'!$E$12+1,1))-AVERAGE(OFFSET($H$3,0,0,'Données projet'!$E$12+1,1))</f>
        <v>530.79860063513229</v>
      </c>
      <c r="CE85" s="60">
        <f t="shared" si="94"/>
        <v>302.50876440460434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227.28575999999993</v>
      </c>
      <c r="CV85" s="14">
        <f t="shared" si="95"/>
        <v>55.695394520076327</v>
      </c>
      <c r="CW85" s="22">
        <f t="shared" si="67"/>
        <v>492.85884412246605</v>
      </c>
      <c r="CX85" s="60">
        <f t="shared" si="68"/>
        <v>764.36493575445309</v>
      </c>
      <c r="CY85" s="60">
        <f ca="1">AVERAGE(OFFSET($CX$3,0,0,'Données projet'!$E$13+1,1))-AVERAGE(OFFSET($H$3,0,0,'Données projet'!$E$13+1,1))</f>
        <v>469.67944008675863</v>
      </c>
      <c r="CZ85" s="60">
        <f t="shared" si="96"/>
        <v>266.11908070867173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251.1999999999999</v>
      </c>
      <c r="DP85" s="18">
        <f>DO85*VLOOKUP('Données projet'!$B$14,Paramètres!$A$1:$I$89,3,0)*VLOOKUP('Données projet'!$B$14,Paramètres!$A$1:$I$89,5,0)</f>
        <v>270.39167999999989</v>
      </c>
      <c r="DQ85" s="14">
        <f t="shared" si="97"/>
        <v>64.932386654872516</v>
      </c>
      <c r="DR85" s="22">
        <f t="shared" si="70"/>
        <v>584.02274942390272</v>
      </c>
      <c r="DS85" s="60">
        <f t="shared" si="71"/>
        <v>855.52884105588976</v>
      </c>
      <c r="DT85" s="60">
        <f ca="1">AVERAGE(OFFSET($DS$3,0,0,'Données projet'!$E$14+1,1))-AVERAGE(OFFSET($H$3,0,0,'Données projet'!$E$14+1,1))</f>
        <v>542.90832990875208</v>
      </c>
      <c r="DU85" s="60">
        <f t="shared" si="98"/>
        <v>304.94365539329362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5.6843418860808015E-14</v>
      </c>
      <c r="EK85" s="18">
        <f>EJ85*VLOOKUP('Données projet'!$B$15,Paramètres!$A$1:$I$89,3,0)*VLOOKUP('Données projet'!$B$15,Paramètres!$A$1:$I$89,5,0)</f>
        <v>4.5224624045658861E-14</v>
      </c>
      <c r="EL85" s="14">
        <f t="shared" si="99"/>
        <v>7.4514601661523691E-13</v>
      </c>
      <c r="EM85" s="22">
        <f t="shared" si="73"/>
        <v>1.3765621991510601E-12</v>
      </c>
      <c r="EN85" s="60">
        <f t="shared" si="74"/>
        <v>271.5060916319884</v>
      </c>
      <c r="EO85" s="60">
        <f ca="1">AVERAGE(OFFSET($EN$3,0,0,'Données projet'!$E$15+1,1))-AVERAGE(OFFSET($H$3,0,0,'Données projet'!$E$15+1,1))</f>
        <v>273.72403794510291</v>
      </c>
      <c r="EP85" s="60">
        <f t="shared" si="100"/>
        <v>292.00185554564109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5.6843418860808015E-14</v>
      </c>
      <c r="FF85" s="18">
        <f>FE85*VLOOKUP('Données projet'!$B$16,Paramètres!$A$1:$I$89,3,0)*VLOOKUP('Données projet'!$B$16,Paramètres!$A$1:$I$89,5,0)</f>
        <v>4.4337866711430253E-14</v>
      </c>
      <c r="FG85" s="14">
        <f t="shared" si="101"/>
        <v>7.3222115536967035E-13</v>
      </c>
      <c r="FH85" s="22">
        <f t="shared" si="76"/>
        <v>1.3525069634579169E-12</v>
      </c>
      <c r="FI85" s="60">
        <f t="shared" si="77"/>
        <v>271.5060916319884</v>
      </c>
      <c r="FJ85" s="60">
        <f ca="1">AVERAGE(OFFSET($FI$3,0,0,'Données projet'!$E$16+1,1))-AVERAGE(OFFSET($H$3,0,0,'Données projet'!$E$16+1,1))</f>
        <v>309.21625451786218</v>
      </c>
      <c r="FK85" s="60">
        <f t="shared" si="102"/>
        <v>302.59481222418219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>
        <f>FZ85*VLOOKUP('Données projet'!$B$17,Paramètres!$A$1:$I$89,3,0)*VLOOKUP('Données projet'!$B$17,Paramètres!$A$1:$I$89,5,0)</f>
        <v>0</v>
      </c>
      <c r="GB85" s="14" t="e">
        <f t="shared" si="103"/>
        <v>#NUM!</v>
      </c>
      <c r="GC85" s="22" t="e">
        <f t="shared" si="79"/>
        <v>#NUM!</v>
      </c>
      <c r="GD85" s="60" t="e">
        <f t="shared" si="80"/>
        <v>#NUM!</v>
      </c>
      <c r="GE85" s="60">
        <f ca="1">AVERAGE(OFFSET($GD$3,0,0,'Données projet'!$E$17+1,1))-AVERAGE(OFFSET($H$3,0,0,'Données projet'!$E$17+1,1))</f>
        <v>216.36762889365235</v>
      </c>
      <c r="GF85" s="60">
        <f t="shared" si="104"/>
        <v>333.29599352215496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4.8208051538068952</v>
      </c>
      <c r="GM85" s="23">
        <f>EXP(-LN(2)/25)*GM84+(1-EXP(-LN(2)/25))/(LN(2)/25)*Calculateur!GH85*Calculateur!GJ85*VLOOKUP('Données projet'!$B$17,Paramètres!$A$1:$I$89,3,0)*0.475*44/12</f>
        <v>2.3058768292833327</v>
      </c>
      <c r="GN85" s="23">
        <f>EXP(-LN(2)/2)*GN84+(1-EXP(-LN(2)/2))/(LN(2)/2)*GH85*GK85*VLOOKUP('Données projet'!$B$17,Paramètres!$A$1:$I$89,3,0)*0.475*44/12</f>
        <v>4.3577368511450437E-8</v>
      </c>
      <c r="GO85" s="23">
        <f t="shared" si="81"/>
        <v>7.1266820266675959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4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248.37695999999988</v>
      </c>
      <c r="P86" s="14">
        <f t="shared" si="87"/>
        <v>60.238259626372319</v>
      </c>
      <c r="Q86" s="22">
        <f t="shared" si="54"/>
        <v>537.50484084926495</v>
      </c>
      <c r="R86" s="60">
        <f t="shared" si="55"/>
        <v>809.38958632636843</v>
      </c>
      <c r="S86" s="60">
        <f ca="1">AVERAGE(OFFSET($R$3,0,0,'Données projet'!$E$9+1,1))-AVERAGE(OFFSET($H$3,0,0,'Données projet'!$E$9+1,1))</f>
        <v>496.33873798282525</v>
      </c>
      <c r="T86" s="60">
        <f t="shared" si="88"/>
        <v>280.25465074992246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9.046153846153846</v>
      </c>
      <c r="AI86" s="14">
        <f>IF('Données projet'!$A$62&gt;35,AI85+AH86-AQ85,IF(A86&lt;'Données projet'!$A$62,$AF$205^A86,IF(A86='Données projet'!$A$62,'Données projet'!$B$62,AI85+AH86-AQ85)))</f>
        <v>346.84615384615392</v>
      </c>
      <c r="AJ86" s="14">
        <f>AI86*VLOOKUP('Données projet'!$B$10,Paramètres!$A$1:$I$89,3,0)*VLOOKUP('Données projet'!$B$10,Paramètres!$A$1:$I$89,5,0)</f>
        <v>162.32400000000004</v>
      </c>
      <c r="AK86" s="14">
        <f t="shared" si="89"/>
        <v>41.3662593485464</v>
      </c>
      <c r="AL86" s="22">
        <f t="shared" si="58"/>
        <v>354.76053503205168</v>
      </c>
      <c r="AM86" s="60">
        <f t="shared" si="59"/>
        <v>626.6452805091551</v>
      </c>
      <c r="AN86" s="60">
        <f ca="1">AVERAGE(OFFSET($AM$3,0,0,'Données projet'!$E$10+1,1))-AVERAGE(OFFSET($H$3,0,0,'Données projet'!$E$10+1,1))</f>
        <v>277.7918215389401</v>
      </c>
      <c r="AO86" s="60">
        <f t="shared" si="90"/>
        <v>164.65640238394164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3.7179487179487181</v>
      </c>
      <c r="BD86" s="13">
        <f>IF('Données projet'!$A$88&gt;35,BD85+BC86-BL85,IF(A86&lt;'Données projet'!$A$88,$BA$205^A86,IF(A86='Données projet'!$A$88,'Données projet'!$B$88,BD85+BC86-BL85)))</f>
        <v>204.74358974358969</v>
      </c>
      <c r="BE86" s="14">
        <f>BD86*VLOOKUP('Données projet'!$B$11,Paramètres!$A$1:$I$89,3,0)*VLOOKUP('Données projet'!$B$11,Paramètres!$A$1:$I$89,5,0)</f>
        <v>194.83399999999997</v>
      </c>
      <c r="BF86" s="14">
        <f t="shared" si="91"/>
        <v>48.607113902081203</v>
      </c>
      <c r="BG86" s="22">
        <f t="shared" si="61"/>
        <v>423.99327337945806</v>
      </c>
      <c r="BH86" s="60">
        <f t="shared" si="62"/>
        <v>695.87801885656154</v>
      </c>
      <c r="BI86" s="60">
        <f ca="1">AVERAGE(OFFSET($BH$3,0,0,'Données projet'!$E$11+1,1))-AVERAGE(OFFSET($H$3,0,0,'Données projet'!$E$11+1,1))</f>
        <v>366.21371543563254</v>
      </c>
      <c r="BJ86" s="60">
        <f t="shared" si="92"/>
        <v>237.43356317334084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3.9743589743589722</v>
      </c>
      <c r="BY86" s="13">
        <f>IF('Données projet'!$A$114&gt;35,BY85+BX86-CG85,IF(A86&lt;'Données projet'!$A$114,$BV$205^A86,IF(A86='Données projet'!$A$114,'Données projet'!$B$114,BY85+BX86-CG85)))</f>
        <v>279.87179487179475</v>
      </c>
      <c r="BZ86" s="14">
        <f>BY86*VLOOKUP('Données projet'!$B$12,Paramètres!$A$1:$I$89,3,0)*VLOOKUP('Données projet'!$B$12,Paramètres!$A$1:$I$89,5,0)</f>
        <v>292.52199999999993</v>
      </c>
      <c r="CA86" s="14">
        <f t="shared" si="93"/>
        <v>69.606491785822158</v>
      </c>
      <c r="CB86" s="22">
        <f t="shared" si="64"/>
        <v>630.7071231936402</v>
      </c>
      <c r="CC86" s="60">
        <f t="shared" si="65"/>
        <v>902.59186867074368</v>
      </c>
      <c r="CD86" s="60">
        <f ca="1">AVERAGE(OFFSET($CC$3,0,0,'Données projet'!$E$12+1,1))-AVERAGE(OFFSET($H$3,0,0,'Données projet'!$E$12+1,1))</f>
        <v>530.79860063513229</v>
      </c>
      <c r="CE86" s="60">
        <f t="shared" si="94"/>
        <v>302.50876440460434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232.35263999999989</v>
      </c>
      <c r="CV86" s="14">
        <f t="shared" si="95"/>
        <v>56.791075613550255</v>
      </c>
      <c r="CW86" s="22">
        <f t="shared" si="67"/>
        <v>503.59197136026643</v>
      </c>
      <c r="CX86" s="60">
        <f t="shared" si="68"/>
        <v>775.47671683736985</v>
      </c>
      <c r="CY86" s="60">
        <f ca="1">AVERAGE(OFFSET($CX$3,0,0,'Données projet'!$E$13+1,1))-AVERAGE(OFFSET($H$3,0,0,'Données projet'!$E$13+1,1))</f>
        <v>469.67944008675863</v>
      </c>
      <c r="CZ86" s="60">
        <f t="shared" si="96"/>
        <v>266.11908070867173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256.7999999999999</v>
      </c>
      <c r="DP86" s="18">
        <f>DO86*VLOOKUP('Données projet'!$B$14,Paramètres!$A$1:$I$89,3,0)*VLOOKUP('Données projet'!$B$14,Paramètres!$A$1:$I$89,5,0)</f>
        <v>276.41951999999986</v>
      </c>
      <c r="DQ86" s="14">
        <f t="shared" si="97"/>
        <v>66.209784705913108</v>
      </c>
      <c r="DR86" s="22">
        <f t="shared" si="70"/>
        <v>596.74603902946512</v>
      </c>
      <c r="DS86" s="60">
        <f t="shared" si="71"/>
        <v>868.6307845065686</v>
      </c>
      <c r="DT86" s="60">
        <f ca="1">AVERAGE(OFFSET($DS$3,0,0,'Données projet'!$E$14+1,1))-AVERAGE(OFFSET($H$3,0,0,'Données projet'!$E$14+1,1))</f>
        <v>542.90832990875208</v>
      </c>
      <c r="DU86" s="60">
        <f t="shared" si="98"/>
        <v>304.94365539329362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5.6843418860808015E-14</v>
      </c>
      <c r="EK86" s="18">
        <f>EJ86*VLOOKUP('Données projet'!$B$15,Paramètres!$A$1:$I$89,3,0)*VLOOKUP('Données projet'!$B$15,Paramètres!$A$1:$I$89,5,0)</f>
        <v>4.5224624045658861E-14</v>
      </c>
      <c r="EL86" s="14">
        <f t="shared" si="99"/>
        <v>7.4514601661523691E-13</v>
      </c>
      <c r="EM86" s="22">
        <f t="shared" si="73"/>
        <v>1.3765621991510601E-12</v>
      </c>
      <c r="EN86" s="60">
        <f t="shared" si="74"/>
        <v>271.88474547710484</v>
      </c>
      <c r="EO86" s="60">
        <f ca="1">AVERAGE(OFFSET($EN$3,0,0,'Données projet'!$E$15+1,1))-AVERAGE(OFFSET($H$3,0,0,'Données projet'!$E$15+1,1))</f>
        <v>273.72403794510291</v>
      </c>
      <c r="EP86" s="60">
        <f t="shared" si="100"/>
        <v>292.00185554564109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5.6843418860808015E-14</v>
      </c>
      <c r="FF86" s="18">
        <f>FE86*VLOOKUP('Données projet'!$B$16,Paramètres!$A$1:$I$89,3,0)*VLOOKUP('Données projet'!$B$16,Paramètres!$A$1:$I$89,5,0)</f>
        <v>4.4337866711430253E-14</v>
      </c>
      <c r="FG86" s="14">
        <f t="shared" si="101"/>
        <v>7.3222115536967035E-13</v>
      </c>
      <c r="FH86" s="22">
        <f t="shared" si="76"/>
        <v>1.3525069634579169E-12</v>
      </c>
      <c r="FI86" s="60">
        <f t="shared" si="77"/>
        <v>271.88474547710484</v>
      </c>
      <c r="FJ86" s="60">
        <f ca="1">AVERAGE(OFFSET($FI$3,0,0,'Données projet'!$E$16+1,1))-AVERAGE(OFFSET($H$3,0,0,'Données projet'!$E$16+1,1))</f>
        <v>309.21625451786218</v>
      </c>
      <c r="FK86" s="60">
        <f t="shared" si="102"/>
        <v>302.59481222418219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>
        <f>FZ86*VLOOKUP('Données projet'!$B$17,Paramètres!$A$1:$I$89,3,0)*VLOOKUP('Données projet'!$B$17,Paramètres!$A$1:$I$89,5,0)</f>
        <v>0</v>
      </c>
      <c r="GB86" s="14" t="e">
        <f t="shared" si="103"/>
        <v>#NUM!</v>
      </c>
      <c r="GC86" s="22" t="e">
        <f t="shared" si="79"/>
        <v>#NUM!</v>
      </c>
      <c r="GD86" s="60" t="e">
        <f t="shared" si="80"/>
        <v>#NUM!</v>
      </c>
      <c r="GE86" s="60">
        <f ca="1">AVERAGE(OFFSET($GD$3,0,0,'Données projet'!$E$17+1,1))-AVERAGE(OFFSET($H$3,0,0,'Données projet'!$E$17+1,1))</f>
        <v>216.36762889365235</v>
      </c>
      <c r="GF86" s="60">
        <f t="shared" si="104"/>
        <v>333.29599352215496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4.7262721051415451</v>
      </c>
      <c r="GM86" s="23">
        <f>EXP(-LN(2)/25)*GM85+(1-EXP(-LN(2)/25))/(LN(2)/25)*Calculateur!GH86*Calculateur!GJ86*VLOOKUP('Données projet'!$B$17,Paramètres!$A$1:$I$89,3,0)*0.475*44/12</f>
        <v>2.2428225061257878</v>
      </c>
      <c r="GN86" s="23">
        <f>EXP(-LN(2)/2)*GN85+(1-EXP(-LN(2)/2))/(LN(2)/2)*GH86*GK86*VLOOKUP('Données projet'!$B$17,Paramètres!$A$1:$I$89,3,0)*0.475*44/12</f>
        <v>3.081385278071173E-8</v>
      </c>
      <c r="GO86" s="23">
        <f t="shared" si="81"/>
        <v>6.9690946420811857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4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253.79327999999995</v>
      </c>
      <c r="P87" s="14">
        <f t="shared" si="87"/>
        <v>61.39750139179521</v>
      </c>
      <c r="Q87" s="22">
        <f t="shared" si="54"/>
        <v>548.95727759070985</v>
      </c>
      <c r="R87" s="60">
        <f t="shared" si="55"/>
        <v>821.21410811526016</v>
      </c>
      <c r="S87" s="60">
        <f ca="1">AVERAGE(OFFSET($R$3,0,0,'Données projet'!$E$9+1,1))-AVERAGE(OFFSET($H$3,0,0,'Données projet'!$E$9+1,1))</f>
        <v>496.33873798282525</v>
      </c>
      <c r="T87" s="60">
        <f t="shared" si="88"/>
        <v>280.25465074992246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9.046153846153846</v>
      </c>
      <c r="AI87" s="14">
        <f>IF('Données projet'!$A$62&gt;35,AI86+AH87-AQ86,IF(A87&lt;'Données projet'!$A$62,$AF$205^A87,IF(A87='Données projet'!$A$62,'Données projet'!$B$62,AI86+AH87-AQ86)))</f>
        <v>355.89230769230778</v>
      </c>
      <c r="AJ87" s="14">
        <f>AI87*VLOOKUP('Données projet'!$B$10,Paramètres!$A$1:$I$89,3,0)*VLOOKUP('Données projet'!$B$10,Paramètres!$A$1:$I$89,5,0)</f>
        <v>166.55760000000006</v>
      </c>
      <c r="AK87" s="14">
        <f t="shared" si="89"/>
        <v>42.318124962101905</v>
      </c>
      <c r="AL87" s="22">
        <f t="shared" si="58"/>
        <v>363.79188764232754</v>
      </c>
      <c r="AM87" s="60">
        <f t="shared" si="59"/>
        <v>636.04871816687785</v>
      </c>
      <c r="AN87" s="60">
        <f ca="1">AVERAGE(OFFSET($AM$3,0,0,'Données projet'!$E$10+1,1))-AVERAGE(OFFSET($H$3,0,0,'Données projet'!$E$10+1,1))</f>
        <v>277.7918215389401</v>
      </c>
      <c r="AO87" s="60">
        <f t="shared" si="90"/>
        <v>164.65640238394164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3.7179487179487181</v>
      </c>
      <c r="BD87" s="13">
        <f>IF('Données projet'!$A$88&gt;35,BD86+BC87-BL86,IF(A87&lt;'Données projet'!$A$88,$BA$205^A87,IF(A87='Données projet'!$A$88,'Données projet'!$B$88,BD86+BC87-BL86)))</f>
        <v>208.46153846153842</v>
      </c>
      <c r="BE87" s="14">
        <f>BD87*VLOOKUP('Données projet'!$B$11,Paramètres!$A$1:$I$89,3,0)*VLOOKUP('Données projet'!$B$11,Paramètres!$A$1:$I$89,5,0)</f>
        <v>198.37199999999999</v>
      </c>
      <c r="BF87" s="14">
        <f t="shared" si="91"/>
        <v>49.386212584388019</v>
      </c>
      <c r="BG87" s="22">
        <f t="shared" si="61"/>
        <v>431.51222025114242</v>
      </c>
      <c r="BH87" s="60">
        <f t="shared" si="62"/>
        <v>703.76905077569268</v>
      </c>
      <c r="BI87" s="60">
        <f ca="1">AVERAGE(OFFSET($BH$3,0,0,'Données projet'!$E$11+1,1))-AVERAGE(OFFSET($H$3,0,0,'Données projet'!$E$11+1,1))</f>
        <v>366.21371543563254</v>
      </c>
      <c r="BJ87" s="60">
        <f t="shared" si="92"/>
        <v>237.43356317334084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3.9743589743589722</v>
      </c>
      <c r="BY87" s="13">
        <f>IF('Données projet'!$A$114&gt;35,BY86+BX87-CG86,IF(A87&lt;'Données projet'!$A$114,$BV$205^A87,IF(A87='Données projet'!$A$114,'Données projet'!$B$114,BY86+BX87-CG86)))</f>
        <v>283.8461538461537</v>
      </c>
      <c r="BZ87" s="14">
        <f>BY87*VLOOKUP('Données projet'!$B$12,Paramètres!$A$1:$I$89,3,0)*VLOOKUP('Données projet'!$B$12,Paramètres!$A$1:$I$89,5,0)</f>
        <v>296.67599999999987</v>
      </c>
      <c r="CA87" s="14">
        <f t="shared" si="93"/>
        <v>70.479174175468856</v>
      </c>
      <c r="CB87" s="22">
        <f t="shared" si="64"/>
        <v>639.46192835560794</v>
      </c>
      <c r="CC87" s="60">
        <f t="shared" si="65"/>
        <v>911.71875888015825</v>
      </c>
      <c r="CD87" s="60">
        <f ca="1">AVERAGE(OFFSET($CC$3,0,0,'Données projet'!$E$12+1,1))-AVERAGE(OFFSET($H$3,0,0,'Données projet'!$E$12+1,1))</f>
        <v>530.79860063513229</v>
      </c>
      <c r="CE87" s="60">
        <f t="shared" si="94"/>
        <v>302.50876440460434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237.41951999999992</v>
      </c>
      <c r="CV87" s="14">
        <f t="shared" si="95"/>
        <v>57.883978814320919</v>
      </c>
      <c r="CW87" s="22">
        <f t="shared" si="67"/>
        <v>514.32026043494204</v>
      </c>
      <c r="CX87" s="60">
        <f t="shared" si="68"/>
        <v>786.57709095949235</v>
      </c>
      <c r="CY87" s="60">
        <f ca="1">AVERAGE(OFFSET($CX$3,0,0,'Données projet'!$E$13+1,1))-AVERAGE(OFFSET($H$3,0,0,'Données projet'!$E$13+1,1))</f>
        <v>469.67944008675863</v>
      </c>
      <c r="CZ87" s="60">
        <f t="shared" si="96"/>
        <v>266.11908070867173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262.39999999999992</v>
      </c>
      <c r="DP87" s="18">
        <f>DO87*VLOOKUP('Données projet'!$B$14,Paramètres!$A$1:$I$89,3,0)*VLOOKUP('Données projet'!$B$14,Paramètres!$A$1:$I$89,5,0)</f>
        <v>282.44735999999989</v>
      </c>
      <c r="DQ87" s="14">
        <f t="shared" si="97"/>
        <v>67.48394415518699</v>
      </c>
      <c r="DR87" s="22">
        <f t="shared" si="70"/>
        <v>609.46368807028375</v>
      </c>
      <c r="DS87" s="60">
        <f t="shared" si="71"/>
        <v>881.72051859483406</v>
      </c>
      <c r="DT87" s="60">
        <f ca="1">AVERAGE(OFFSET($DS$3,0,0,'Données projet'!$E$14+1,1))-AVERAGE(OFFSET($H$3,0,0,'Données projet'!$E$14+1,1))</f>
        <v>542.90832990875208</v>
      </c>
      <c r="DU87" s="60">
        <f t="shared" si="98"/>
        <v>304.94365539329362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5.6843418860808015E-14</v>
      </c>
      <c r="EK87" s="18">
        <f>EJ87*VLOOKUP('Données projet'!$B$15,Paramètres!$A$1:$I$89,3,0)*VLOOKUP('Données projet'!$B$15,Paramètres!$A$1:$I$89,5,0)</f>
        <v>4.5224624045658861E-14</v>
      </c>
      <c r="EL87" s="14">
        <f t="shared" si="99"/>
        <v>7.4514601661523691E-13</v>
      </c>
      <c r="EM87" s="22">
        <f t="shared" si="73"/>
        <v>1.3765621991510601E-12</v>
      </c>
      <c r="EN87" s="60">
        <f t="shared" si="74"/>
        <v>272.25683052455167</v>
      </c>
      <c r="EO87" s="60">
        <f ca="1">AVERAGE(OFFSET($EN$3,0,0,'Données projet'!$E$15+1,1))-AVERAGE(OFFSET($H$3,0,0,'Données projet'!$E$15+1,1))</f>
        <v>273.72403794510291</v>
      </c>
      <c r="EP87" s="60">
        <f t="shared" si="100"/>
        <v>292.00185554564109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5.6843418860808015E-14</v>
      </c>
      <c r="FF87" s="18">
        <f>FE87*VLOOKUP('Données projet'!$B$16,Paramètres!$A$1:$I$89,3,0)*VLOOKUP('Données projet'!$B$16,Paramètres!$A$1:$I$89,5,0)</f>
        <v>4.4337866711430253E-14</v>
      </c>
      <c r="FG87" s="14">
        <f t="shared" si="101"/>
        <v>7.3222115536967035E-13</v>
      </c>
      <c r="FH87" s="22">
        <f t="shared" si="76"/>
        <v>1.3525069634579169E-12</v>
      </c>
      <c r="FI87" s="60">
        <f t="shared" si="77"/>
        <v>272.25683052455167</v>
      </c>
      <c r="FJ87" s="60">
        <f ca="1">AVERAGE(OFFSET($FI$3,0,0,'Données projet'!$E$16+1,1))-AVERAGE(OFFSET($H$3,0,0,'Données projet'!$E$16+1,1))</f>
        <v>309.21625451786218</v>
      </c>
      <c r="FK87" s="60">
        <f t="shared" si="102"/>
        <v>302.59481222418219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>
        <f>FZ87*VLOOKUP('Données projet'!$B$17,Paramètres!$A$1:$I$89,3,0)*VLOOKUP('Données projet'!$B$17,Paramètres!$A$1:$I$89,5,0)</f>
        <v>0</v>
      </c>
      <c r="GB87" s="14" t="e">
        <f t="shared" si="103"/>
        <v>#NUM!</v>
      </c>
      <c r="GC87" s="22" t="e">
        <f t="shared" si="79"/>
        <v>#NUM!</v>
      </c>
      <c r="GD87" s="60" t="e">
        <f t="shared" si="80"/>
        <v>#NUM!</v>
      </c>
      <c r="GE87" s="60">
        <f ca="1">AVERAGE(OFFSET($GD$3,0,0,'Données projet'!$E$17+1,1))-AVERAGE(OFFSET($H$3,0,0,'Données projet'!$E$17+1,1))</f>
        <v>216.36762889365235</v>
      </c>
      <c r="GF87" s="60">
        <f t="shared" si="104"/>
        <v>333.29599352215496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4.633592791901056</v>
      </c>
      <c r="GM87" s="23">
        <f>EXP(-LN(2)/25)*GM86+(1-EXP(-LN(2)/25))/(LN(2)/25)*Calculateur!GH87*Calculateur!GJ87*VLOOKUP('Données projet'!$B$17,Paramètres!$A$1:$I$89,3,0)*0.475*44/12</f>
        <v>2.1814924067508685</v>
      </c>
      <c r="GN87" s="23">
        <f>EXP(-LN(2)/2)*GN86+(1-EXP(-LN(2)/2))/(LN(2)/2)*GH87*GK87*VLOOKUP('Données projet'!$B$17,Paramètres!$A$1:$I$89,3,0)*0.475*44/12</f>
        <v>2.1788684255725218E-8</v>
      </c>
      <c r="GO87" s="23">
        <f t="shared" si="81"/>
        <v>6.8150852204406096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4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259.20959999999997</v>
      </c>
      <c r="P88" s="14">
        <f t="shared" si="87"/>
        <v>62.553866774106702</v>
      </c>
      <c r="Q88" s="22">
        <f t="shared" si="54"/>
        <v>560.40470463156907</v>
      </c>
      <c r="R88" s="60">
        <f t="shared" si="55"/>
        <v>833.02716535985064</v>
      </c>
      <c r="S88" s="60">
        <f ca="1">AVERAGE(OFFSET($R$3,0,0,'Données projet'!$E$9+1,1))-AVERAGE(OFFSET($H$3,0,0,'Données projet'!$E$9+1,1))</f>
        <v>496.33873798282525</v>
      </c>
      <c r="T88" s="60">
        <f t="shared" si="88"/>
        <v>280.25465074992246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364.93846153846152</v>
      </c>
      <c r="AG88" s="13">
        <f>VLOOKUP(A88,'Données projet'!$A$61:$I$81,9,0)</f>
        <v>9.046153846153846</v>
      </c>
      <c r="AH88" s="13">
        <f t="array" ref="AH88">INDEX(AG:AG,MIN(IF(ISNUMBER(AG88:AG284),ROW(AG88:AG284),"")))</f>
        <v>9.046153846153846</v>
      </c>
      <c r="AI88" s="14">
        <f>IF('Données projet'!$A$62&gt;35,AI87+AH88-AQ87,IF(A88&lt;'Données projet'!$A$62,$AF$205^A88,IF(A88='Données projet'!$A$62,'Données projet'!$B$62,AI87+AH88-AQ87)))</f>
        <v>364.93846153846164</v>
      </c>
      <c r="AJ88" s="14">
        <f>AI88*VLOOKUP('Données projet'!$B$10,Paramètres!$A$1:$I$89,3,0)*VLOOKUP('Données projet'!$B$10,Paramètres!$A$1:$I$89,5,0)</f>
        <v>170.79120000000003</v>
      </c>
      <c r="AK88" s="14">
        <f t="shared" si="89"/>
        <v>43.267178149686309</v>
      </c>
      <c r="AL88" s="22">
        <f t="shared" si="58"/>
        <v>372.818341944037</v>
      </c>
      <c r="AM88" s="60">
        <f t="shared" si="59"/>
        <v>645.44080267231857</v>
      </c>
      <c r="AN88" s="60">
        <f ca="1">AVERAGE(OFFSET($AM$3,0,0,'Données projet'!$E$10+1,1))-AVERAGE(OFFSET($H$3,0,0,'Données projet'!$E$10+1,1))</f>
        <v>277.7918215389401</v>
      </c>
      <c r="AO88" s="60">
        <f t="shared" si="90"/>
        <v>164.65640238394164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212.17948717948718</v>
      </c>
      <c r="BB88" s="13">
        <f>VLOOKUP(A88,'Données projet'!$A$87:$I$107,9,0)</f>
        <v>3.7179487179487181</v>
      </c>
      <c r="BC88" s="13">
        <f t="array" ref="BC88">INDEX(BB:BB,MIN(IF(ISNUMBER(BB88:BB284),ROW(BB88:BB284),"")))</f>
        <v>3.7179487179487181</v>
      </c>
      <c r="BD88" s="13">
        <f>IF('Données projet'!$A$88&gt;35,BD87+BC88-BL87,IF(A88&lt;'Données projet'!$A$88,$BA$205^A88,IF(A88='Données projet'!$A$88,'Données projet'!$B$88,BD87+BC88-BL87)))</f>
        <v>212.17948717948715</v>
      </c>
      <c r="BE88" s="14">
        <f>BD88*VLOOKUP('Données projet'!$B$11,Paramètres!$A$1:$I$89,3,0)*VLOOKUP('Données projet'!$B$11,Paramètres!$A$1:$I$89,5,0)</f>
        <v>201.90999999999997</v>
      </c>
      <c r="BF88" s="14">
        <f t="shared" si="91"/>
        <v>50.163695433500841</v>
      </c>
      <c r="BG88" s="22">
        <f t="shared" si="61"/>
        <v>439.02835288001387</v>
      </c>
      <c r="BH88" s="60">
        <f t="shared" si="62"/>
        <v>711.65081360829538</v>
      </c>
      <c r="BI88" s="60">
        <f ca="1">AVERAGE(OFFSET($BH$3,0,0,'Données projet'!$E$11+1,1))-AVERAGE(OFFSET($H$3,0,0,'Données projet'!$E$11+1,1))</f>
        <v>366.21371543563254</v>
      </c>
      <c r="BJ88" s="60">
        <f t="shared" si="92"/>
        <v>237.43356317334084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25.641025641025639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287.82051282051282</v>
      </c>
      <c r="BW88" s="13">
        <f>VLOOKUP(A88,'Données projet'!$A$113:$I$133,9,0)</f>
        <v>3.9743589743589722</v>
      </c>
      <c r="BX88" s="13">
        <f t="array" ref="BX88">INDEX(BW:BW,MIN(IF(ISNUMBER(BW88:BW284),ROW(BW88:BW284),"")))</f>
        <v>3.9743589743589722</v>
      </c>
      <c r="BY88" s="13">
        <f>IF('Données projet'!$A$114&gt;35,BY87+BX88-CG87,IF(A88&lt;'Données projet'!$A$114,$BV$205^A88,IF(A88='Données projet'!$A$114,'Données projet'!$B$114,BY87+BX88-CG87)))</f>
        <v>287.82051282051265</v>
      </c>
      <c r="BZ88" s="14">
        <f>BY88*VLOOKUP('Données projet'!$B$12,Paramètres!$A$1:$I$89,3,0)*VLOOKUP('Données projet'!$B$12,Paramètres!$A$1:$I$89,5,0)</f>
        <v>300.82999999999981</v>
      </c>
      <c r="CA88" s="14">
        <f t="shared" si="93"/>
        <v>71.350435367682934</v>
      </c>
      <c r="CB88" s="22">
        <f t="shared" si="64"/>
        <v>648.21425826538086</v>
      </c>
      <c r="CC88" s="60">
        <f t="shared" si="65"/>
        <v>920.83671899366232</v>
      </c>
      <c r="CD88" s="60">
        <f ca="1">AVERAGE(OFFSET($CC$3,0,0,'Données projet'!$E$12+1,1))-AVERAGE(OFFSET($H$3,0,0,'Données projet'!$E$12+1,1))</f>
        <v>530.79860063513229</v>
      </c>
      <c r="CE88" s="60">
        <f t="shared" si="94"/>
        <v>302.50876440460434</v>
      </c>
      <c r="CF88" s="16">
        <f>IF(ISNA(VLOOKUP(A88,'Données projet'!$A$113:$I$133,3,0)),0,VLOOKUP(A88,'Données projet'!$A$113:$I$133,3,0))</f>
        <v>7</v>
      </c>
      <c r="CG88" s="16">
        <f>IF(ISNA(VLOOKUP(A88,'Données projet'!$A$113:$I$133,4,0)),0,VLOOKUP(A88,'Données projet'!$A$113:$I$133,4,0))</f>
        <v>21.794871794871796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242.48639999999995</v>
      </c>
      <c r="CV88" s="14">
        <f t="shared" si="95"/>
        <v>58.974170235372419</v>
      </c>
      <c r="CW88" s="22">
        <f t="shared" si="67"/>
        <v>525.04382649327351</v>
      </c>
      <c r="CX88" s="60">
        <f t="shared" si="68"/>
        <v>797.66628722155497</v>
      </c>
      <c r="CY88" s="60">
        <f ca="1">AVERAGE(OFFSET($CX$3,0,0,'Données projet'!$E$13+1,1))-AVERAGE(OFFSET($H$3,0,0,'Données projet'!$E$13+1,1))</f>
        <v>469.67944008675863</v>
      </c>
      <c r="CZ88" s="60">
        <f t="shared" si="96"/>
        <v>266.11908070867173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267.99999999999994</v>
      </c>
      <c r="DP88" s="18">
        <f>DO88*VLOOKUP('Données projet'!$B$14,Paramètres!$A$1:$I$89,3,0)*VLOOKUP('Données projet'!$B$14,Paramètres!$A$1:$I$89,5,0)</f>
        <v>288.47519999999997</v>
      </c>
      <c r="DQ88" s="14">
        <f t="shared" si="97"/>
        <v>68.754942080410842</v>
      </c>
      <c r="DR88" s="22">
        <f t="shared" si="70"/>
        <v>622.17583079004874</v>
      </c>
      <c r="DS88" s="60">
        <f t="shared" si="71"/>
        <v>894.79829151833019</v>
      </c>
      <c r="DT88" s="60">
        <f ca="1">AVERAGE(OFFSET($DS$3,0,0,'Données projet'!$E$14+1,1))-AVERAGE(OFFSET($H$3,0,0,'Données projet'!$E$14+1,1))</f>
        <v>542.90832990875208</v>
      </c>
      <c r="DU88" s="60">
        <f t="shared" si="98"/>
        <v>304.94365539329362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5.6843418860808015E-14</v>
      </c>
      <c r="EK88" s="18">
        <f>EJ88*VLOOKUP('Données projet'!$B$15,Paramètres!$A$1:$I$89,3,0)*VLOOKUP('Données projet'!$B$15,Paramètres!$A$1:$I$89,5,0)</f>
        <v>4.5224624045658861E-14</v>
      </c>
      <c r="EL88" s="14">
        <f t="shared" si="99"/>
        <v>7.4514601661523691E-13</v>
      </c>
      <c r="EM88" s="22">
        <f t="shared" si="73"/>
        <v>1.3765621991510601E-12</v>
      </c>
      <c r="EN88" s="60">
        <f t="shared" si="74"/>
        <v>272.62246072828287</v>
      </c>
      <c r="EO88" s="60">
        <f ca="1">AVERAGE(OFFSET($EN$3,0,0,'Données projet'!$E$15+1,1))-AVERAGE(OFFSET($H$3,0,0,'Données projet'!$E$15+1,1))</f>
        <v>273.72403794510291</v>
      </c>
      <c r="EP88" s="60">
        <f t="shared" si="100"/>
        <v>292.00185554564109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5.6843418860808015E-14</v>
      </c>
      <c r="FF88" s="18">
        <f>FE88*VLOOKUP('Données projet'!$B$16,Paramètres!$A$1:$I$89,3,0)*VLOOKUP('Données projet'!$B$16,Paramètres!$A$1:$I$89,5,0)</f>
        <v>4.4337866711430253E-14</v>
      </c>
      <c r="FG88" s="14">
        <f t="shared" si="101"/>
        <v>7.3222115536967035E-13</v>
      </c>
      <c r="FH88" s="22">
        <f t="shared" si="76"/>
        <v>1.3525069634579169E-12</v>
      </c>
      <c r="FI88" s="60">
        <f t="shared" si="77"/>
        <v>272.62246072828287</v>
      </c>
      <c r="FJ88" s="60">
        <f ca="1">AVERAGE(OFFSET($FI$3,0,0,'Données projet'!$E$16+1,1))-AVERAGE(OFFSET($H$3,0,0,'Données projet'!$E$16+1,1))</f>
        <v>309.21625451786218</v>
      </c>
      <c r="FK88" s="60">
        <f t="shared" si="102"/>
        <v>302.59481222418219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>
        <f>FZ88*VLOOKUP('Données projet'!$B$17,Paramètres!$A$1:$I$89,3,0)*VLOOKUP('Données projet'!$B$17,Paramètres!$A$1:$I$89,5,0)</f>
        <v>0</v>
      </c>
      <c r="GB88" s="14" t="e">
        <f t="shared" si="103"/>
        <v>#NUM!</v>
      </c>
      <c r="GC88" s="22" t="e">
        <f t="shared" si="79"/>
        <v>#NUM!</v>
      </c>
      <c r="GD88" s="60" t="e">
        <f t="shared" si="80"/>
        <v>#NUM!</v>
      </c>
      <c r="GE88" s="60">
        <f ca="1">AVERAGE(OFFSET($GD$3,0,0,'Données projet'!$E$17+1,1))-AVERAGE(OFFSET($H$3,0,0,'Données projet'!$E$17+1,1))</f>
        <v>216.36762889365235</v>
      </c>
      <c r="GF88" s="60">
        <f t="shared" si="104"/>
        <v>333.29599352215496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4.5427308634644143</v>
      </c>
      <c r="GM88" s="23">
        <f>EXP(-LN(2)/25)*GM87+(1-EXP(-LN(2)/25))/(LN(2)/25)*Calculateur!GH88*Calculateur!GJ88*VLOOKUP('Données projet'!$B$17,Paramètres!$A$1:$I$89,3,0)*0.475*44/12</f>
        <v>2.1218393821685662</v>
      </c>
      <c r="GN88" s="23">
        <f>EXP(-LN(2)/2)*GN87+(1-EXP(-LN(2)/2))/(LN(2)/2)*GH88*GK88*VLOOKUP('Données projet'!$B$17,Paramètres!$A$1:$I$89,3,0)*0.475*44/12</f>
        <v>1.5406926390355865E-8</v>
      </c>
      <c r="GO88" s="23">
        <f t="shared" si="81"/>
        <v>6.6645702610399065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4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264.62591999999995</v>
      </c>
      <c r="P89" s="14">
        <f t="shared" si="87"/>
        <v>63.707422801198604</v>
      </c>
      <c r="Q89" s="22">
        <f t="shared" si="54"/>
        <v>571.84723871208746</v>
      </c>
      <c r="R89" s="60">
        <f t="shared" si="55"/>
        <v>844.82898677749222</v>
      </c>
      <c r="S89" s="60">
        <f ca="1">AVERAGE(OFFSET($R$3,0,0,'Données projet'!$E$9+1,1))-AVERAGE(OFFSET($H$3,0,0,'Données projet'!$E$9+1,1))</f>
        <v>496.33873798282525</v>
      </c>
      <c r="T89" s="60">
        <f t="shared" si="88"/>
        <v>280.25465074992246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9.0999999999999943</v>
      </c>
      <c r="AI89" s="14">
        <f>IF('Données projet'!$A$62&gt;35,AI88+AH89-AQ88,IF(A89&lt;'Données projet'!$A$62,$AF$205^A89,IF(A89='Données projet'!$A$62,'Données projet'!$B$62,AI88+AH89-AQ88)))</f>
        <v>374.03846153846166</v>
      </c>
      <c r="AJ89" s="14">
        <f>AI89*VLOOKUP('Données projet'!$B$10,Paramètres!$A$1:$I$89,3,0)*VLOOKUP('Données projet'!$B$10,Paramètres!$A$1:$I$89,5,0)</f>
        <v>175.05000000000004</v>
      </c>
      <c r="AK89" s="14">
        <f t="shared" si="89"/>
        <v>44.219121455227665</v>
      </c>
      <c r="AL89" s="22">
        <f t="shared" si="58"/>
        <v>381.89371986785494</v>
      </c>
      <c r="AM89" s="60">
        <f t="shared" si="59"/>
        <v>654.87546793325964</v>
      </c>
      <c r="AN89" s="60">
        <f ca="1">AVERAGE(OFFSET($AM$3,0,0,'Données projet'!$E$10+1,1))-AVERAGE(OFFSET($H$3,0,0,'Données projet'!$E$10+1,1))</f>
        <v>277.7918215389401</v>
      </c>
      <c r="AO89" s="60">
        <f t="shared" si="90"/>
        <v>164.65640238394164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3.7179487179487127</v>
      </c>
      <c r="BD89" s="13">
        <f>IF('Données projet'!$A$88&gt;35,BD88+BC89-BL88,IF(A89&lt;'Données projet'!$A$88,$BA$205^A89,IF(A89='Données projet'!$A$88,'Données projet'!$B$88,BD88+BC89-BL88)))</f>
        <v>190.25641025641022</v>
      </c>
      <c r="BE89" s="14">
        <f>BD89*VLOOKUP('Données projet'!$B$11,Paramètres!$A$1:$I$89,3,0)*VLOOKUP('Données projet'!$B$11,Paramètres!$A$1:$I$89,5,0)</f>
        <v>181.04799999999997</v>
      </c>
      <c r="BF89" s="14">
        <f t="shared" si="91"/>
        <v>45.555268021687233</v>
      </c>
      <c r="BG89" s="22">
        <f t="shared" si="61"/>
        <v>394.66735847110516</v>
      </c>
      <c r="BH89" s="60">
        <f t="shared" si="62"/>
        <v>667.64910653650986</v>
      </c>
      <c r="BI89" s="60">
        <f ca="1">AVERAGE(OFFSET($BH$3,0,0,'Données projet'!$E$11+1,1))-AVERAGE(OFFSET($H$3,0,0,'Données projet'!$E$11+1,1))</f>
        <v>366.21371543563254</v>
      </c>
      <c r="BJ89" s="60">
        <f t="shared" si="92"/>
        <v>237.43356317334084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3.8461538461538454</v>
      </c>
      <c r="BY89" s="13">
        <f>IF('Données projet'!$A$114&gt;35,BY88+BX89-CG88,IF(A89&lt;'Données projet'!$A$114,$BV$205^A89,IF(A89='Données projet'!$A$114,'Données projet'!$B$114,BY88+BX89-CG88)))</f>
        <v>269.87179487179469</v>
      </c>
      <c r="BZ89" s="14">
        <f>BY89*VLOOKUP('Données projet'!$B$12,Paramètres!$A$1:$I$89,3,0)*VLOOKUP('Données projet'!$B$12,Paramètres!$A$1:$I$89,5,0)</f>
        <v>282.06999999999982</v>
      </c>
      <c r="CA89" s="14">
        <f t="shared" si="93"/>
        <v>67.404271683035248</v>
      </c>
      <c r="CB89" s="22">
        <f t="shared" si="64"/>
        <v>608.66768984795272</v>
      </c>
      <c r="CC89" s="60">
        <f t="shared" si="65"/>
        <v>881.64943791335736</v>
      </c>
      <c r="CD89" s="60">
        <f ca="1">AVERAGE(OFFSET($CC$3,0,0,'Données projet'!$E$12+1,1))-AVERAGE(OFFSET($H$3,0,0,'Données projet'!$E$12+1,1))</f>
        <v>530.79860063513229</v>
      </c>
      <c r="CE89" s="60">
        <f t="shared" si="94"/>
        <v>302.50876440460434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247.55327999999994</v>
      </c>
      <c r="CV89" s="14">
        <f t="shared" si="95"/>
        <v>60.061713068870255</v>
      </c>
      <c r="CW89" s="22">
        <f t="shared" si="67"/>
        <v>535.76277959494894</v>
      </c>
      <c r="CX89" s="60">
        <f t="shared" si="68"/>
        <v>808.7445276603537</v>
      </c>
      <c r="CY89" s="60">
        <f ca="1">AVERAGE(OFFSET($CX$3,0,0,'Données projet'!$E$13+1,1))-AVERAGE(OFFSET($H$3,0,0,'Données projet'!$E$13+1,1))</f>
        <v>469.67944008675863</v>
      </c>
      <c r="CZ89" s="60">
        <f t="shared" si="96"/>
        <v>266.11908070867173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273.59999999999997</v>
      </c>
      <c r="DP89" s="18">
        <f>DO89*VLOOKUP('Données projet'!$B$14,Paramètres!$A$1:$I$89,3,0)*VLOOKUP('Données projet'!$B$14,Paramètres!$A$1:$I$89,5,0)</f>
        <v>294.50303999999994</v>
      </c>
      <c r="DQ89" s="14">
        <f t="shared" si="97"/>
        <v>70.022852154069838</v>
      </c>
      <c r="DR89" s="22">
        <f t="shared" si="70"/>
        <v>634.88259550167152</v>
      </c>
      <c r="DS89" s="60">
        <f t="shared" si="71"/>
        <v>907.86434356707628</v>
      </c>
      <c r="DT89" s="60">
        <f ca="1">AVERAGE(OFFSET($DS$3,0,0,'Données projet'!$E$14+1,1))-AVERAGE(OFFSET($H$3,0,0,'Données projet'!$E$14+1,1))</f>
        <v>542.90832990875208</v>
      </c>
      <c r="DU89" s="60">
        <f t="shared" si="98"/>
        <v>304.94365539329362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5.6843418860808015E-14</v>
      </c>
      <c r="EK89" s="18">
        <f>EJ89*VLOOKUP('Données projet'!$B$15,Paramètres!$A$1:$I$89,3,0)*VLOOKUP('Données projet'!$B$15,Paramètres!$A$1:$I$89,5,0)</f>
        <v>4.5224624045658861E-14</v>
      </c>
      <c r="EL89" s="14">
        <f t="shared" si="99"/>
        <v>7.4514601661523691E-13</v>
      </c>
      <c r="EM89" s="22">
        <f t="shared" si="73"/>
        <v>1.3765621991510601E-12</v>
      </c>
      <c r="EN89" s="60">
        <f t="shared" si="74"/>
        <v>272.98174806540607</v>
      </c>
      <c r="EO89" s="60">
        <f ca="1">AVERAGE(OFFSET($EN$3,0,0,'Données projet'!$E$15+1,1))-AVERAGE(OFFSET($H$3,0,0,'Données projet'!$E$15+1,1))</f>
        <v>273.72403794510291</v>
      </c>
      <c r="EP89" s="60">
        <f t="shared" si="100"/>
        <v>292.00185554564109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5.6843418860808015E-14</v>
      </c>
      <c r="FF89" s="18">
        <f>FE89*VLOOKUP('Données projet'!$B$16,Paramètres!$A$1:$I$89,3,0)*VLOOKUP('Données projet'!$B$16,Paramètres!$A$1:$I$89,5,0)</f>
        <v>4.4337866711430253E-14</v>
      </c>
      <c r="FG89" s="14">
        <f t="shared" si="101"/>
        <v>7.3222115536967035E-13</v>
      </c>
      <c r="FH89" s="22">
        <f t="shared" si="76"/>
        <v>1.3525069634579169E-12</v>
      </c>
      <c r="FI89" s="60">
        <f t="shared" si="77"/>
        <v>272.98174806540607</v>
      </c>
      <c r="FJ89" s="60">
        <f ca="1">AVERAGE(OFFSET($FI$3,0,0,'Données projet'!$E$16+1,1))-AVERAGE(OFFSET($H$3,0,0,'Données projet'!$E$16+1,1))</f>
        <v>309.21625451786218</v>
      </c>
      <c r="FK89" s="60">
        <f t="shared" si="102"/>
        <v>302.59481222418219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>
        <f>FZ89*VLOOKUP('Données projet'!$B$17,Paramètres!$A$1:$I$89,3,0)*VLOOKUP('Données projet'!$B$17,Paramètres!$A$1:$I$89,5,0)</f>
        <v>0</v>
      </c>
      <c r="GB89" s="14" t="e">
        <f t="shared" si="103"/>
        <v>#NUM!</v>
      </c>
      <c r="GC89" s="22" t="e">
        <f t="shared" si="79"/>
        <v>#NUM!</v>
      </c>
      <c r="GD89" s="60" t="e">
        <f t="shared" si="80"/>
        <v>#NUM!</v>
      </c>
      <c r="GE89" s="60">
        <f ca="1">AVERAGE(OFFSET($GD$3,0,0,'Données projet'!$E$17+1,1))-AVERAGE(OFFSET($H$3,0,0,'Données projet'!$E$17+1,1))</f>
        <v>216.36762889365235</v>
      </c>
      <c r="GF89" s="60">
        <f t="shared" si="104"/>
        <v>333.29599352215496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4.4536506820241106</v>
      </c>
      <c r="GM89" s="23">
        <f>EXP(-LN(2)/25)*GM88+(1-EXP(-LN(2)/25))/(LN(2)/25)*Calculateur!GH89*Calculateur!GJ89*VLOOKUP('Données projet'!$B$17,Paramètres!$A$1:$I$89,3,0)*0.475*44/12</f>
        <v>2.0638175726804833</v>
      </c>
      <c r="GN89" s="23">
        <f>EXP(-LN(2)/2)*GN88+(1-EXP(-LN(2)/2))/(LN(2)/2)*GH89*GK89*VLOOKUP('Données projet'!$B$17,Paramètres!$A$1:$I$89,3,0)*0.475*44/12</f>
        <v>1.0894342127862609E-8</v>
      </c>
      <c r="GO89" s="23">
        <f t="shared" si="81"/>
        <v>6.5174682655989367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4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270.04223999999999</v>
      </c>
      <c r="P90" s="14">
        <f t="shared" si="87"/>
        <v>64.858233600288145</v>
      </c>
      <c r="Q90" s="22">
        <f t="shared" si="54"/>
        <v>583.28499152050188</v>
      </c>
      <c r="R90" s="60">
        <f t="shared" si="55"/>
        <v>856.61979409097671</v>
      </c>
      <c r="S90" s="60">
        <f ca="1">AVERAGE(OFFSET($R$3,0,0,'Données projet'!$E$9+1,1))-AVERAGE(OFFSET($H$3,0,0,'Données projet'!$E$9+1,1))</f>
        <v>496.33873798282525</v>
      </c>
      <c r="T90" s="60">
        <f t="shared" si="88"/>
        <v>280.25465074992246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>
        <f>VLOOKUP(A90,'Données projet'!$A$61:$I$81,2,0)</f>
        <v>383.13846153846151</v>
      </c>
      <c r="AG90" s="13">
        <f>VLOOKUP(A90,'Données projet'!$A$61:$I$81,9,0)</f>
        <v>9.0999999999999943</v>
      </c>
      <c r="AH90" s="13">
        <f t="array" ref="AH90">INDEX(AG:AG,MIN(IF(ISNUMBER(AG90:AG286),ROW(AG90:AG286),"")))</f>
        <v>9.0999999999999943</v>
      </c>
      <c r="AI90" s="14">
        <f>IF('Données projet'!$A$62&gt;35,AI89+AH90-AQ89,IF(A90&lt;'Données projet'!$A$62,$AF$205^A90,IF(A90='Données projet'!$A$62,'Données projet'!$B$62,AI89+AH90-AQ89)))</f>
        <v>383.13846153846168</v>
      </c>
      <c r="AJ90" s="14">
        <f>AI90*VLOOKUP('Données projet'!$B$10,Paramètres!$A$1:$I$89,3,0)*VLOOKUP('Données projet'!$B$10,Paramètres!$A$1:$I$89,5,0)</f>
        <v>179.30880000000008</v>
      </c>
      <c r="AK90" s="14">
        <f t="shared" si="89"/>
        <v>45.168372484136597</v>
      </c>
      <c r="AL90" s="22">
        <f t="shared" si="58"/>
        <v>390.96440874320461</v>
      </c>
      <c r="AM90" s="60">
        <f t="shared" si="59"/>
        <v>664.29921131367951</v>
      </c>
      <c r="AN90" s="60">
        <f ca="1">AVERAGE(OFFSET($AM$3,0,0,'Données projet'!$E$10+1,1))-AVERAGE(OFFSET($H$3,0,0,'Données projet'!$E$10+1,1))</f>
        <v>277.7918215389401</v>
      </c>
      <c r="AO90" s="60">
        <f t="shared" si="90"/>
        <v>164.65640238394164</v>
      </c>
      <c r="AP90" s="16">
        <f>IF(ISNA(VLOOKUP(A90,'Données projet'!$A$61:$I$81,3,0)),0,VLOOKUP(A90,'Données projet'!$A$61:$I$81,3,0))</f>
        <v>4</v>
      </c>
      <c r="AQ90" s="16">
        <f>IF(ISNA(VLOOKUP(A90,'Données projet'!$A$61:$I$81,4,0)),0,VLOOKUP(A90,'Données projet'!$A$61:$I$81,4,0))</f>
        <v>82.938461538461524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3.7179487179487127</v>
      </c>
      <c r="BD90" s="13">
        <f>IF('Données projet'!$A$88&gt;35,BD89+BC90-BL89,IF(A90&lt;'Données projet'!$A$88,$BA$205^A90,IF(A90='Données projet'!$A$88,'Données projet'!$B$88,BD89+BC90-BL89)))</f>
        <v>193.97435897435892</v>
      </c>
      <c r="BE90" s="14">
        <f>BD90*VLOOKUP('Données projet'!$B$11,Paramètres!$A$1:$I$89,3,0)*VLOOKUP('Données projet'!$B$11,Paramètres!$A$1:$I$89,5,0)</f>
        <v>184.58599999999996</v>
      </c>
      <c r="BF90" s="14">
        <f t="shared" si="91"/>
        <v>46.340987919869399</v>
      </c>
      <c r="BG90" s="22">
        <f t="shared" si="61"/>
        <v>402.19783729377247</v>
      </c>
      <c r="BH90" s="60">
        <f t="shared" si="62"/>
        <v>675.53263986424736</v>
      </c>
      <c r="BI90" s="60">
        <f ca="1">AVERAGE(OFFSET($BH$3,0,0,'Données projet'!$E$11+1,1))-AVERAGE(OFFSET($H$3,0,0,'Données projet'!$E$11+1,1))</f>
        <v>366.21371543563254</v>
      </c>
      <c r="BJ90" s="60">
        <f t="shared" si="92"/>
        <v>237.43356317334084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3.8461538461538454</v>
      </c>
      <c r="BY90" s="13">
        <f>IF('Données projet'!$A$114&gt;35,BY89+BX90-CG89,IF(A90&lt;'Données projet'!$A$114,$BV$205^A90,IF(A90='Données projet'!$A$114,'Données projet'!$B$114,BY89+BX90-CG89)))</f>
        <v>273.71794871794856</v>
      </c>
      <c r="BZ90" s="14">
        <f>BY90*VLOOKUP('Données projet'!$B$12,Paramètres!$A$1:$I$89,3,0)*VLOOKUP('Données projet'!$B$12,Paramètres!$A$1:$I$89,5,0)</f>
        <v>286.08999999999986</v>
      </c>
      <c r="CA90" s="14">
        <f t="shared" si="93"/>
        <v>68.252384845349795</v>
      </c>
      <c r="CB90" s="22">
        <f t="shared" si="64"/>
        <v>617.14632027231744</v>
      </c>
      <c r="CC90" s="60">
        <f t="shared" si="65"/>
        <v>890.48112284279227</v>
      </c>
      <c r="CD90" s="60">
        <f ca="1">AVERAGE(OFFSET($CC$3,0,0,'Données projet'!$E$12+1,1))-AVERAGE(OFFSET($H$3,0,0,'Données projet'!$E$12+1,1))</f>
        <v>530.79860063513229</v>
      </c>
      <c r="CE90" s="60">
        <f t="shared" si="94"/>
        <v>302.50876440460434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252.62015999999997</v>
      </c>
      <c r="CV90" s="14">
        <f t="shared" si="95"/>
        <v>61.14666777229877</v>
      </c>
      <c r="CW90" s="22">
        <f t="shared" si="67"/>
        <v>546.47722503675357</v>
      </c>
      <c r="CX90" s="60">
        <f t="shared" si="68"/>
        <v>819.8120276072284</v>
      </c>
      <c r="CY90" s="60">
        <f ca="1">AVERAGE(OFFSET($CX$3,0,0,'Données projet'!$E$13+1,1))-AVERAGE(OFFSET($H$3,0,0,'Données projet'!$E$13+1,1))</f>
        <v>469.67944008675863</v>
      </c>
      <c r="CZ90" s="60">
        <f t="shared" si="96"/>
        <v>266.11908070867173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279.2</v>
      </c>
      <c r="DP90" s="18">
        <f>DO90*VLOOKUP('Données projet'!$B$14,Paramètres!$A$1:$I$89,3,0)*VLOOKUP('Données projet'!$B$14,Paramètres!$A$1:$I$89,5,0)</f>
        <v>300.53087999999997</v>
      </c>
      <c r="DQ90" s="14">
        <f t="shared" si="97"/>
        <v>71.287744860425462</v>
      </c>
      <c r="DR90" s="22">
        <f t="shared" si="70"/>
        <v>647.58410496524095</v>
      </c>
      <c r="DS90" s="60">
        <f t="shared" si="71"/>
        <v>920.91890753571579</v>
      </c>
      <c r="DT90" s="60">
        <f ca="1">AVERAGE(OFFSET($DS$3,0,0,'Données projet'!$E$14+1,1))-AVERAGE(OFFSET($H$3,0,0,'Données projet'!$E$14+1,1))</f>
        <v>542.90832990875208</v>
      </c>
      <c r="DU90" s="60">
        <f t="shared" si="98"/>
        <v>304.94365539329362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5.6843418860808015E-14</v>
      </c>
      <c r="EK90" s="18">
        <f>EJ90*VLOOKUP('Données projet'!$B$15,Paramètres!$A$1:$I$89,3,0)*VLOOKUP('Données projet'!$B$15,Paramètres!$A$1:$I$89,5,0)</f>
        <v>4.5224624045658861E-14</v>
      </c>
      <c r="EL90" s="14">
        <f t="shared" si="99"/>
        <v>7.4514601661523691E-13</v>
      </c>
      <c r="EM90" s="22">
        <f t="shared" si="73"/>
        <v>1.3765621991510601E-12</v>
      </c>
      <c r="EN90" s="60">
        <f t="shared" si="74"/>
        <v>273.3348025704762</v>
      </c>
      <c r="EO90" s="60">
        <f ca="1">AVERAGE(OFFSET($EN$3,0,0,'Données projet'!$E$15+1,1))-AVERAGE(OFFSET($H$3,0,0,'Données projet'!$E$15+1,1))</f>
        <v>273.72403794510291</v>
      </c>
      <c r="EP90" s="60">
        <f t="shared" si="100"/>
        <v>292.00185554564109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5.6843418860808015E-14</v>
      </c>
      <c r="FF90" s="18">
        <f>FE90*VLOOKUP('Données projet'!$B$16,Paramètres!$A$1:$I$89,3,0)*VLOOKUP('Données projet'!$B$16,Paramètres!$A$1:$I$89,5,0)</f>
        <v>4.4337866711430253E-14</v>
      </c>
      <c r="FG90" s="14">
        <f t="shared" si="101"/>
        <v>7.3222115536967035E-13</v>
      </c>
      <c r="FH90" s="22">
        <f t="shared" si="76"/>
        <v>1.3525069634579169E-12</v>
      </c>
      <c r="FI90" s="60">
        <f t="shared" si="77"/>
        <v>273.3348025704762</v>
      </c>
      <c r="FJ90" s="60">
        <f ca="1">AVERAGE(OFFSET($FI$3,0,0,'Données projet'!$E$16+1,1))-AVERAGE(OFFSET($H$3,0,0,'Données projet'!$E$16+1,1))</f>
        <v>309.21625451786218</v>
      </c>
      <c r="FK90" s="60">
        <f t="shared" si="102"/>
        <v>302.59481222418219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>
        <f>FZ90*VLOOKUP('Données projet'!$B$17,Paramètres!$A$1:$I$89,3,0)*VLOOKUP('Données projet'!$B$17,Paramètres!$A$1:$I$89,5,0)</f>
        <v>0</v>
      </c>
      <c r="GB90" s="14" t="e">
        <f t="shared" si="103"/>
        <v>#NUM!</v>
      </c>
      <c r="GC90" s="22" t="e">
        <f t="shared" si="79"/>
        <v>#NUM!</v>
      </c>
      <c r="GD90" s="60" t="e">
        <f t="shared" si="80"/>
        <v>#NUM!</v>
      </c>
      <c r="GE90" s="60">
        <f ca="1">AVERAGE(OFFSET($GD$3,0,0,'Données projet'!$E$17+1,1))-AVERAGE(OFFSET($H$3,0,0,'Données projet'!$E$17+1,1))</f>
        <v>216.36762889365235</v>
      </c>
      <c r="GF90" s="60">
        <f t="shared" si="104"/>
        <v>333.29599352215496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4.3663173086083056</v>
      </c>
      <c r="GM90" s="23">
        <f>EXP(-LN(2)/25)*GM89+(1-EXP(-LN(2)/25))/(LN(2)/25)*Calculateur!GH90*Calculateur!GJ90*VLOOKUP('Données projet'!$B$17,Paramètres!$A$1:$I$89,3,0)*0.475*44/12</f>
        <v>2.007382372624086</v>
      </c>
      <c r="GN90" s="23">
        <f>EXP(-LN(2)/2)*GN89+(1-EXP(-LN(2)/2))/(LN(2)/2)*GH90*GK90*VLOOKUP('Données projet'!$B$17,Paramètres!$A$1:$I$89,3,0)*0.475*44/12</f>
        <v>7.7034631951779324E-9</v>
      </c>
      <c r="GO90" s="23">
        <f t="shared" si="81"/>
        <v>6.3736996889358544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4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275.45855999999998</v>
      </c>
      <c r="P91" s="14">
        <f t="shared" si="87"/>
        <v>66.006360579066197</v>
      </c>
      <c r="Q91" s="22">
        <f t="shared" si="54"/>
        <v>594.71807000854017</v>
      </c>
      <c r="R91" s="60">
        <f t="shared" si="55"/>
        <v>868.39980237773386</v>
      </c>
      <c r="S91" s="60">
        <f ca="1">AVERAGE(OFFSET($R$3,0,0,'Données projet'!$E$9+1,1))-AVERAGE(OFFSET($H$3,0,0,'Données projet'!$E$9+1,1))</f>
        <v>496.33873798282525</v>
      </c>
      <c r="T91" s="60">
        <f t="shared" si="88"/>
        <v>280.25465074992246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8.1384615384615326</v>
      </c>
      <c r="AI91" s="14">
        <f>IF('Données projet'!$A$62&gt;35,AI90+AH91-AQ90,IF(A91&lt;'Données projet'!$A$62,$AF$205^A91,IF(A91='Données projet'!$A$62,'Données projet'!$B$62,AI90+AH91-AQ90)))</f>
        <v>308.33846153846167</v>
      </c>
      <c r="AJ91" s="14">
        <f>AI91*VLOOKUP('Données projet'!$B$10,Paramètres!$A$1:$I$89,3,0)*VLOOKUP('Données projet'!$B$10,Paramètres!$A$1:$I$89,5,0)</f>
        <v>144.30240000000006</v>
      </c>
      <c r="AK91" s="14">
        <f t="shared" si="89"/>
        <v>37.280881908845643</v>
      </c>
      <c r="AL91" s="22">
        <f t="shared" si="58"/>
        <v>316.25754932457295</v>
      </c>
      <c r="AM91" s="60">
        <f t="shared" si="59"/>
        <v>589.93928169376659</v>
      </c>
      <c r="AN91" s="60">
        <f ca="1">AVERAGE(OFFSET($AM$3,0,0,'Données projet'!$E$10+1,1))-AVERAGE(OFFSET($H$3,0,0,'Données projet'!$E$10+1,1))</f>
        <v>277.7918215389401</v>
      </c>
      <c r="AO91" s="60">
        <f t="shared" si="90"/>
        <v>164.65640238394164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3.7179487179487127</v>
      </c>
      <c r="BD91" s="13">
        <f>IF('Données projet'!$A$88&gt;35,BD90+BC91-BL90,IF(A91&lt;'Données projet'!$A$88,$BA$205^A91,IF(A91='Données projet'!$A$88,'Données projet'!$B$88,BD90+BC91-BL90)))</f>
        <v>197.69230769230762</v>
      </c>
      <c r="BE91" s="14">
        <f>BD91*VLOOKUP('Données projet'!$B$11,Paramètres!$A$1:$I$89,3,0)*VLOOKUP('Données projet'!$B$11,Paramètres!$A$1:$I$89,5,0)</f>
        <v>188.12399999999994</v>
      </c>
      <c r="BF91" s="14">
        <f t="shared" si="91"/>
        <v>47.124956667302492</v>
      </c>
      <c r="BG91" s="22">
        <f t="shared" si="61"/>
        <v>409.72526619555168</v>
      </c>
      <c r="BH91" s="60">
        <f t="shared" si="62"/>
        <v>683.40699856474544</v>
      </c>
      <c r="BI91" s="60">
        <f ca="1">AVERAGE(OFFSET($BH$3,0,0,'Données projet'!$E$11+1,1))-AVERAGE(OFFSET($H$3,0,0,'Données projet'!$E$11+1,1))</f>
        <v>366.21371543563254</v>
      </c>
      <c r="BJ91" s="60">
        <f t="shared" si="92"/>
        <v>237.43356317334084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3.8461538461538454</v>
      </c>
      <c r="BY91" s="13">
        <f>IF('Données projet'!$A$114&gt;35,BY90+BX91-CG90,IF(A91&lt;'Données projet'!$A$114,$BV$205^A91,IF(A91='Données projet'!$A$114,'Données projet'!$B$114,BY90+BX91-CG90)))</f>
        <v>277.56410256410243</v>
      </c>
      <c r="BZ91" s="14">
        <f>BY91*VLOOKUP('Données projet'!$B$12,Paramètres!$A$1:$I$89,3,0)*VLOOKUP('Données projet'!$B$12,Paramètres!$A$1:$I$89,5,0)</f>
        <v>290.1099999999999</v>
      </c>
      <c r="CA91" s="14">
        <f t="shared" si="93"/>
        <v>69.099111921738029</v>
      </c>
      <c r="CB91" s="22">
        <f t="shared" si="64"/>
        <v>625.62253659702685</v>
      </c>
      <c r="CC91" s="60">
        <f t="shared" si="65"/>
        <v>899.30426896622055</v>
      </c>
      <c r="CD91" s="60">
        <f ca="1">AVERAGE(OFFSET($CC$3,0,0,'Données projet'!$E$12+1,1))-AVERAGE(OFFSET($H$3,0,0,'Données projet'!$E$12+1,1))</f>
        <v>530.79860063513229</v>
      </c>
      <c r="CE91" s="60">
        <f t="shared" si="94"/>
        <v>302.50876440460434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257.68704000000002</v>
      </c>
      <c r="CV91" s="14">
        <f t="shared" si="95"/>
        <v>62.229092239243343</v>
      </c>
      <c r="CW91" s="22">
        <f t="shared" si="67"/>
        <v>557.18726365001555</v>
      </c>
      <c r="CX91" s="60">
        <f t="shared" si="68"/>
        <v>830.86899601920925</v>
      </c>
      <c r="CY91" s="60">
        <f ca="1">AVERAGE(OFFSET($CX$3,0,0,'Données projet'!$E$13+1,1))-AVERAGE(OFFSET($H$3,0,0,'Données projet'!$E$13+1,1))</f>
        <v>469.67944008675863</v>
      </c>
      <c r="CZ91" s="60">
        <f t="shared" si="96"/>
        <v>266.11908070867173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284.8</v>
      </c>
      <c r="DP91" s="18">
        <f>DO91*VLOOKUP('Données projet'!$B$14,Paramètres!$A$1:$I$89,3,0)*VLOOKUP('Données projet'!$B$14,Paramètres!$A$1:$I$89,5,0)</f>
        <v>306.55871999999999</v>
      </c>
      <c r="DQ91" s="14">
        <f t="shared" si="97"/>
        <v>72.549687694621639</v>
      </c>
      <c r="DR91" s="22">
        <f t="shared" si="70"/>
        <v>660.28047673479932</v>
      </c>
      <c r="DS91" s="60">
        <f t="shared" si="71"/>
        <v>933.96220910399302</v>
      </c>
      <c r="DT91" s="60">
        <f ca="1">AVERAGE(OFFSET($DS$3,0,0,'Données projet'!$E$14+1,1))-AVERAGE(OFFSET($H$3,0,0,'Données projet'!$E$14+1,1))</f>
        <v>542.90832990875208</v>
      </c>
      <c r="DU91" s="60">
        <f t="shared" si="98"/>
        <v>304.94365539329362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5.6843418860808015E-14</v>
      </c>
      <c r="EK91" s="18">
        <f>EJ91*VLOOKUP('Données projet'!$B$15,Paramètres!$A$1:$I$89,3,0)*VLOOKUP('Données projet'!$B$15,Paramètres!$A$1:$I$89,5,0)</f>
        <v>4.5224624045658861E-14</v>
      </c>
      <c r="EL91" s="14">
        <f t="shared" si="99"/>
        <v>7.4514601661523691E-13</v>
      </c>
      <c r="EM91" s="22">
        <f t="shared" si="73"/>
        <v>1.3765621991510601E-12</v>
      </c>
      <c r="EN91" s="60">
        <f t="shared" si="74"/>
        <v>273.68173236919506</v>
      </c>
      <c r="EO91" s="60">
        <f ca="1">AVERAGE(OFFSET($EN$3,0,0,'Données projet'!$E$15+1,1))-AVERAGE(OFFSET($H$3,0,0,'Données projet'!$E$15+1,1))</f>
        <v>273.72403794510291</v>
      </c>
      <c r="EP91" s="60">
        <f t="shared" si="100"/>
        <v>292.00185554564109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5.6843418860808015E-14</v>
      </c>
      <c r="FF91" s="18">
        <f>FE91*VLOOKUP('Données projet'!$B$16,Paramètres!$A$1:$I$89,3,0)*VLOOKUP('Données projet'!$B$16,Paramètres!$A$1:$I$89,5,0)</f>
        <v>4.4337866711430253E-14</v>
      </c>
      <c r="FG91" s="14">
        <f t="shared" si="101"/>
        <v>7.3222115536967035E-13</v>
      </c>
      <c r="FH91" s="22">
        <f t="shared" si="76"/>
        <v>1.3525069634579169E-12</v>
      </c>
      <c r="FI91" s="60">
        <f t="shared" si="77"/>
        <v>273.68173236919506</v>
      </c>
      <c r="FJ91" s="60">
        <f ca="1">AVERAGE(OFFSET($FI$3,0,0,'Données projet'!$E$16+1,1))-AVERAGE(OFFSET($H$3,0,0,'Données projet'!$E$16+1,1))</f>
        <v>309.21625451786218</v>
      </c>
      <c r="FK91" s="60">
        <f t="shared" si="102"/>
        <v>302.59481222418219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>
        <f>FZ91*VLOOKUP('Données projet'!$B$17,Paramètres!$A$1:$I$89,3,0)*VLOOKUP('Données projet'!$B$17,Paramètres!$A$1:$I$89,5,0)</f>
        <v>0</v>
      </c>
      <c r="GB91" s="14" t="e">
        <f t="shared" si="103"/>
        <v>#NUM!</v>
      </c>
      <c r="GC91" s="22" t="e">
        <f t="shared" si="79"/>
        <v>#NUM!</v>
      </c>
      <c r="GD91" s="60" t="e">
        <f t="shared" si="80"/>
        <v>#NUM!</v>
      </c>
      <c r="GE91" s="60">
        <f ca="1">AVERAGE(OFFSET($GD$3,0,0,'Données projet'!$E$17+1,1))-AVERAGE(OFFSET($H$3,0,0,'Données projet'!$E$17+1,1))</f>
        <v>216.36762889365235</v>
      </c>
      <c r="GF91" s="60">
        <f t="shared" si="104"/>
        <v>333.29599352215496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4.2806964893770871</v>
      </c>
      <c r="GM91" s="23">
        <f>EXP(-LN(2)/25)*GM90+(1-EXP(-LN(2)/25))/(LN(2)/25)*Calculateur!GH91*Calculateur!GJ91*VLOOKUP('Données projet'!$B$17,Paramètres!$A$1:$I$89,3,0)*0.475*44/12</f>
        <v>1.9524903960810294</v>
      </c>
      <c r="GN91" s="23">
        <f>EXP(-LN(2)/2)*GN90+(1-EXP(-LN(2)/2))/(LN(2)/2)*GH91*GK91*VLOOKUP('Données projet'!$B$17,Paramètres!$A$1:$I$89,3,0)*0.475*44/12</f>
        <v>5.4471710639313046E-9</v>
      </c>
      <c r="GO91" s="23">
        <f t="shared" si="81"/>
        <v>6.2331868909052872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4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280.87488000000008</v>
      </c>
      <c r="P92" s="14">
        <f t="shared" si="87"/>
        <v>67.151862592195855</v>
      </c>
      <c r="Q92" s="22">
        <f t="shared" si="54"/>
        <v>606.14657668140785</v>
      </c>
      <c r="R92" s="60">
        <f t="shared" si="55"/>
        <v>880.16922039293149</v>
      </c>
      <c r="S92" s="60">
        <f ca="1">AVERAGE(OFFSET($R$3,0,0,'Données projet'!$E$9+1,1))-AVERAGE(OFFSET($H$3,0,0,'Données projet'!$E$9+1,1))</f>
        <v>496.33873798282525</v>
      </c>
      <c r="T92" s="60">
        <f t="shared" si="88"/>
        <v>280.25465074992246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8.1384615384615326</v>
      </c>
      <c r="AI92" s="14">
        <f>IF('Données projet'!$A$62&gt;35,AI91+AH92-AQ91,IF(A92&lt;'Données projet'!$A$62,$AF$205^A92,IF(A92='Données projet'!$A$62,'Données projet'!$B$62,AI91+AH92-AQ91)))</f>
        <v>316.47692307692319</v>
      </c>
      <c r="AJ92" s="14">
        <f>AI92*VLOOKUP('Données projet'!$B$10,Paramètres!$A$1:$I$89,3,0)*VLOOKUP('Données projet'!$B$10,Paramètres!$A$1:$I$89,5,0)</f>
        <v>148.11120000000005</v>
      </c>
      <c r="AK92" s="14">
        <f t="shared" si="89"/>
        <v>38.149032991304225</v>
      </c>
      <c r="AL92" s="22">
        <f t="shared" si="58"/>
        <v>324.40323912652161</v>
      </c>
      <c r="AM92" s="60">
        <f t="shared" si="59"/>
        <v>598.42588283804525</v>
      </c>
      <c r="AN92" s="60">
        <f ca="1">AVERAGE(OFFSET($AM$3,0,0,'Données projet'!$E$10+1,1))-AVERAGE(OFFSET($H$3,0,0,'Données projet'!$E$10+1,1))</f>
        <v>277.7918215389401</v>
      </c>
      <c r="AO92" s="60">
        <f t="shared" si="90"/>
        <v>164.65640238394164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3.7179487179487127</v>
      </c>
      <c r="BD92" s="13">
        <f>IF('Données projet'!$A$88&gt;35,BD91+BC92-BL91,IF(A92&lt;'Données projet'!$A$88,$BA$205^A92,IF(A92='Données projet'!$A$88,'Données projet'!$B$88,BD91+BC92-BL91)))</f>
        <v>201.41025641025632</v>
      </c>
      <c r="BE92" s="14">
        <f>BD92*VLOOKUP('Données projet'!$B$11,Paramètres!$A$1:$I$89,3,0)*VLOOKUP('Données projet'!$B$11,Paramètres!$A$1:$I$89,5,0)</f>
        <v>191.66199999999992</v>
      </c>
      <c r="BF92" s="14">
        <f t="shared" si="91"/>
        <v>47.90721099503785</v>
      </c>
      <c r="BG92" s="22">
        <f t="shared" si="61"/>
        <v>417.24970914969072</v>
      </c>
      <c r="BH92" s="60">
        <f t="shared" si="62"/>
        <v>691.27235286121436</v>
      </c>
      <c r="BI92" s="60">
        <f ca="1">AVERAGE(OFFSET($BH$3,0,0,'Données projet'!$E$11+1,1))-AVERAGE(OFFSET($H$3,0,0,'Données projet'!$E$11+1,1))</f>
        <v>366.21371543563254</v>
      </c>
      <c r="BJ92" s="60">
        <f t="shared" si="92"/>
        <v>237.43356317334084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3.8461538461538454</v>
      </c>
      <c r="BY92" s="13">
        <f>IF('Données projet'!$A$114&gt;35,BY91+BX92-CG91,IF(A92&lt;'Données projet'!$A$114,$BV$205^A92,IF(A92='Données projet'!$A$114,'Données projet'!$B$114,BY91+BX92-CG91)))</f>
        <v>281.4102564102563</v>
      </c>
      <c r="BZ92" s="14">
        <f>BY92*VLOOKUP('Données projet'!$B$12,Paramètres!$A$1:$I$89,3,0)*VLOOKUP('Données projet'!$B$12,Paramètres!$A$1:$I$89,5,0)</f>
        <v>294.12999999999994</v>
      </c>
      <c r="CA92" s="14">
        <f t="shared" si="93"/>
        <v>69.944474338693723</v>
      </c>
      <c r="CB92" s="22">
        <f t="shared" si="64"/>
        <v>634.0963761398915</v>
      </c>
      <c r="CC92" s="60">
        <f t="shared" si="65"/>
        <v>908.11901985141503</v>
      </c>
      <c r="CD92" s="60">
        <f ca="1">AVERAGE(OFFSET($CC$3,0,0,'Données projet'!$E$12+1,1))-AVERAGE(OFFSET($H$3,0,0,'Données projet'!$E$12+1,1))</f>
        <v>530.79860063513229</v>
      </c>
      <c r="CE92" s="60">
        <f t="shared" si="94"/>
        <v>302.50876440460434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262.75392000000005</v>
      </c>
      <c r="CV92" s="14">
        <f t="shared" si="95"/>
        <v>63.309041956360382</v>
      </c>
      <c r="CW92" s="22">
        <f t="shared" si="67"/>
        <v>567.89299207399438</v>
      </c>
      <c r="CX92" s="60">
        <f t="shared" si="68"/>
        <v>841.91563578551791</v>
      </c>
      <c r="CY92" s="60">
        <f ca="1">AVERAGE(OFFSET($CX$3,0,0,'Données projet'!$E$13+1,1))-AVERAGE(OFFSET($H$3,0,0,'Données projet'!$E$13+1,1))</f>
        <v>469.67944008675863</v>
      </c>
      <c r="CZ92" s="60">
        <f t="shared" si="96"/>
        <v>266.11908070867173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290.40000000000003</v>
      </c>
      <c r="DP92" s="18">
        <f>DO92*VLOOKUP('Données projet'!$B$14,Paramètres!$A$1:$I$89,3,0)*VLOOKUP('Données projet'!$B$14,Paramètres!$A$1:$I$89,5,0)</f>
        <v>312.58656000000002</v>
      </c>
      <c r="DQ92" s="14">
        <f t="shared" si="97"/>
        <v>73.808745345687967</v>
      </c>
      <c r="DR92" s="22">
        <f t="shared" si="70"/>
        <v>672.97182347707314</v>
      </c>
      <c r="DS92" s="60">
        <f t="shared" si="71"/>
        <v>946.99446718859667</v>
      </c>
      <c r="DT92" s="60">
        <f ca="1">AVERAGE(OFFSET($DS$3,0,0,'Données projet'!$E$14+1,1))-AVERAGE(OFFSET($H$3,0,0,'Données projet'!$E$14+1,1))</f>
        <v>542.90832990875208</v>
      </c>
      <c r="DU92" s="60">
        <f t="shared" si="98"/>
        <v>304.94365539329362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5.6843418860808015E-14</v>
      </c>
      <c r="EK92" s="18">
        <f>EJ92*VLOOKUP('Données projet'!$B$15,Paramètres!$A$1:$I$89,3,0)*VLOOKUP('Données projet'!$B$15,Paramètres!$A$1:$I$89,5,0)</f>
        <v>4.5224624045658861E-14</v>
      </c>
      <c r="EL92" s="14">
        <f t="shared" si="99"/>
        <v>7.4514601661523691E-13</v>
      </c>
      <c r="EM92" s="22">
        <f t="shared" si="73"/>
        <v>1.3765621991510601E-12</v>
      </c>
      <c r="EN92" s="60">
        <f t="shared" si="74"/>
        <v>274.02264371152495</v>
      </c>
      <c r="EO92" s="60">
        <f ca="1">AVERAGE(OFFSET($EN$3,0,0,'Données projet'!$E$15+1,1))-AVERAGE(OFFSET($H$3,0,0,'Données projet'!$E$15+1,1))</f>
        <v>273.72403794510291</v>
      </c>
      <c r="EP92" s="60">
        <f t="shared" si="100"/>
        <v>292.00185554564109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5.6843418860808015E-14</v>
      </c>
      <c r="FF92" s="18">
        <f>FE92*VLOOKUP('Données projet'!$B$16,Paramètres!$A$1:$I$89,3,0)*VLOOKUP('Données projet'!$B$16,Paramètres!$A$1:$I$89,5,0)</f>
        <v>4.4337866711430253E-14</v>
      </c>
      <c r="FG92" s="14">
        <f t="shared" si="101"/>
        <v>7.3222115536967035E-13</v>
      </c>
      <c r="FH92" s="22">
        <f t="shared" si="76"/>
        <v>1.3525069634579169E-12</v>
      </c>
      <c r="FI92" s="60">
        <f t="shared" si="77"/>
        <v>274.02264371152495</v>
      </c>
      <c r="FJ92" s="60">
        <f ca="1">AVERAGE(OFFSET($FI$3,0,0,'Données projet'!$E$16+1,1))-AVERAGE(OFFSET($H$3,0,0,'Données projet'!$E$16+1,1))</f>
        <v>309.21625451786218</v>
      </c>
      <c r="FK92" s="60">
        <f t="shared" si="102"/>
        <v>302.59481222418219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>
        <f>FZ92*VLOOKUP('Données projet'!$B$17,Paramètres!$A$1:$I$89,3,0)*VLOOKUP('Données projet'!$B$17,Paramètres!$A$1:$I$89,5,0)</f>
        <v>0</v>
      </c>
      <c r="GB92" s="14" t="e">
        <f t="shared" si="103"/>
        <v>#NUM!</v>
      </c>
      <c r="GC92" s="22" t="e">
        <f t="shared" si="79"/>
        <v>#NUM!</v>
      </c>
      <c r="GD92" s="60" t="e">
        <f t="shared" si="80"/>
        <v>#NUM!</v>
      </c>
      <c r="GE92" s="60">
        <f ca="1">AVERAGE(OFFSET($GD$3,0,0,'Données projet'!$E$17+1,1))-AVERAGE(OFFSET($H$3,0,0,'Données projet'!$E$17+1,1))</f>
        <v>216.36762889365235</v>
      </c>
      <c r="GF92" s="60">
        <f t="shared" si="104"/>
        <v>333.29599352215496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4.1967546421874493</v>
      </c>
      <c r="GM92" s="23">
        <f>EXP(-LN(2)/25)*GM91+(1-EXP(-LN(2)/25))/(LN(2)/25)*Calculateur!GH92*Calculateur!GJ92*VLOOKUP('Données projet'!$B$17,Paramètres!$A$1:$I$89,3,0)*0.475*44/12</f>
        <v>1.8990994435231863</v>
      </c>
      <c r="GN92" s="23">
        <f>EXP(-LN(2)/2)*GN91+(1-EXP(-LN(2)/2))/(LN(2)/2)*GH92*GK92*VLOOKUP('Données projet'!$B$17,Paramètres!$A$1:$I$89,3,0)*0.475*44/12</f>
        <v>3.8517315975889662E-9</v>
      </c>
      <c r="GO92" s="23">
        <f t="shared" si="81"/>
        <v>6.0958540895623674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4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286.29120000000006</v>
      </c>
      <c r="P93" s="14">
        <f t="shared" si="87"/>
        <v>68.294796094604408</v>
      </c>
      <c r="Q93" s="22">
        <f t="shared" si="54"/>
        <v>617.57060986476938</v>
      </c>
      <c r="R93" s="60">
        <f t="shared" si="55"/>
        <v>891.92825086899711</v>
      </c>
      <c r="S93" s="60">
        <f ca="1">AVERAGE(OFFSET($R$3,0,0,'Données projet'!$E$9+1,1))-AVERAGE(OFFSET($H$3,0,0,'Données projet'!$E$9+1,1))</f>
        <v>496.33873798282525</v>
      </c>
      <c r="T93" s="60">
        <f t="shared" si="88"/>
        <v>280.25465074992246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324.61538461538458</v>
      </c>
      <c r="AG93" s="13">
        <f>VLOOKUP(A93,'Données projet'!$A$61:$I$81,9,0)</f>
        <v>8.1384615384615326</v>
      </c>
      <c r="AH93" s="13">
        <f t="array" ref="AH93">INDEX(AG:AG,MIN(IF(ISNUMBER(AG93:AG289),ROW(AG93:AG289),"")))</f>
        <v>8.1384615384615326</v>
      </c>
      <c r="AI93" s="14">
        <f>IF('Données projet'!$A$62&gt;35,AI92+AH93-AQ92,IF(A93&lt;'Données projet'!$A$62,$AF$205^A93,IF(A93='Données projet'!$A$62,'Données projet'!$B$62,AI92+AH93-AQ92)))</f>
        <v>324.6153846153847</v>
      </c>
      <c r="AJ93" s="14">
        <f>AI93*VLOOKUP('Données projet'!$B$10,Paramètres!$A$1:$I$89,3,0)*VLOOKUP('Données projet'!$B$10,Paramètres!$A$1:$I$89,5,0)</f>
        <v>151.92000000000004</v>
      </c>
      <c r="AK93" s="14">
        <f t="shared" si="89"/>
        <v>39.014589002324001</v>
      </c>
      <c r="AL93" s="22">
        <f t="shared" si="58"/>
        <v>332.5444091790477</v>
      </c>
      <c r="AM93" s="60">
        <f t="shared" si="59"/>
        <v>606.90205018327538</v>
      </c>
      <c r="AN93" s="60">
        <f ca="1">AVERAGE(OFFSET($AM$3,0,0,'Données projet'!$E$10+1,1))-AVERAGE(OFFSET($H$3,0,0,'Données projet'!$E$10+1,1))</f>
        <v>277.7918215389401</v>
      </c>
      <c r="AO93" s="60">
        <f t="shared" si="90"/>
        <v>164.65640238394164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205.12820512820511</v>
      </c>
      <c r="BB93" s="13">
        <f>VLOOKUP(A93,'Données projet'!$A$87:$I$107,9,0)</f>
        <v>3.7179487179487127</v>
      </c>
      <c r="BC93" s="13">
        <f t="array" ref="BC93">INDEX(BB:BB,MIN(IF(ISNUMBER(BB93:BB289),ROW(BB93:BB289),"")))</f>
        <v>3.7179487179487127</v>
      </c>
      <c r="BD93" s="13">
        <f>IF('Données projet'!$A$88&gt;35,BD92+BC93-BL92,IF(A93&lt;'Données projet'!$A$88,$BA$205^A93,IF(A93='Données projet'!$A$88,'Données projet'!$B$88,BD92+BC93-BL92)))</f>
        <v>205.12820512820502</v>
      </c>
      <c r="BE93" s="14">
        <f>BD93*VLOOKUP('Données projet'!$B$11,Paramètres!$A$1:$I$89,3,0)*VLOOKUP('Données projet'!$B$11,Paramètres!$A$1:$I$89,5,0)</f>
        <v>195.1999999999999</v>
      </c>
      <c r="BF93" s="14">
        <f t="shared" si="91"/>
        <v>48.687786200420049</v>
      </c>
      <c r="BG93" s="22">
        <f t="shared" si="61"/>
        <v>424.77122763239805</v>
      </c>
      <c r="BH93" s="60">
        <f t="shared" si="62"/>
        <v>699.12886863662573</v>
      </c>
      <c r="BI93" s="60">
        <f ca="1">AVERAGE(OFFSET($BH$3,0,0,'Données projet'!$E$11+1,1))-AVERAGE(OFFSET($H$3,0,0,'Données projet'!$E$11+1,1))</f>
        <v>366.21371543563254</v>
      </c>
      <c r="BJ93" s="60">
        <f t="shared" si="92"/>
        <v>237.43356317334084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285.25641025641022</v>
      </c>
      <c r="BW93" s="13">
        <f>VLOOKUP(A93,'Données projet'!$A$113:$I$133,9,0)</f>
        <v>3.8461538461538454</v>
      </c>
      <c r="BX93" s="13">
        <f t="array" ref="BX93">INDEX(BW:BW,MIN(IF(ISNUMBER(BW93:BW289),ROW(BW93:BW289),"")))</f>
        <v>3.8461538461538454</v>
      </c>
      <c r="BY93" s="13">
        <f>IF('Données projet'!$A$114&gt;35,BY92+BX93-CG92,IF(A93&lt;'Données projet'!$A$114,$BV$205^A93,IF(A93='Données projet'!$A$114,'Données projet'!$B$114,BY92+BX93-CG92)))</f>
        <v>285.25641025641016</v>
      </c>
      <c r="BZ93" s="14">
        <f>BY93*VLOOKUP('Données projet'!$B$12,Paramètres!$A$1:$I$89,3,0)*VLOOKUP('Données projet'!$B$12,Paramètres!$A$1:$I$89,5,0)</f>
        <v>298.14999999999998</v>
      </c>
      <c r="CA93" s="14">
        <f t="shared" si="93"/>
        <v>70.788492903368763</v>
      </c>
      <c r="CB93" s="22">
        <f t="shared" si="64"/>
        <v>642.56787514003383</v>
      </c>
      <c r="CC93" s="60">
        <f t="shared" si="65"/>
        <v>916.92551614426156</v>
      </c>
      <c r="CD93" s="60">
        <f ca="1">AVERAGE(OFFSET($CC$3,0,0,'Données projet'!$E$12+1,1))-AVERAGE(OFFSET($H$3,0,0,'Données projet'!$E$12+1,1))</f>
        <v>530.79860063513229</v>
      </c>
      <c r="CE93" s="60">
        <f t="shared" si="94"/>
        <v>302.50876440460434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267.82080000000008</v>
      </c>
      <c r="CV93" s="14">
        <f t="shared" si="95"/>
        <v>64.386570147897373</v>
      </c>
      <c r="CW93" s="22">
        <f t="shared" si="67"/>
        <v>578.59450300758806</v>
      </c>
      <c r="CX93" s="60">
        <f t="shared" si="68"/>
        <v>852.95214401181579</v>
      </c>
      <c r="CY93" s="60">
        <f ca="1">AVERAGE(OFFSET($CX$3,0,0,'Données projet'!$E$13+1,1))-AVERAGE(OFFSET($H$3,0,0,'Données projet'!$E$13+1,1))</f>
        <v>469.67944008675863</v>
      </c>
      <c r="CZ93" s="60">
        <f t="shared" si="96"/>
        <v>266.11908070867173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296.00000000000006</v>
      </c>
      <c r="DP93" s="18">
        <f>DO93*VLOOKUP('Données projet'!$B$14,Paramètres!$A$1:$I$89,3,0)*VLOOKUP('Données projet'!$B$14,Paramètres!$A$1:$I$89,5,0)</f>
        <v>318.61440000000005</v>
      </c>
      <c r="DQ93" s="14">
        <f t="shared" si="97"/>
        <v>75.06497986502842</v>
      </c>
      <c r="DR93" s="22">
        <f t="shared" si="70"/>
        <v>685.6582532649245</v>
      </c>
      <c r="DS93" s="60">
        <f t="shared" si="71"/>
        <v>960.01589426915211</v>
      </c>
      <c r="DT93" s="60">
        <f ca="1">AVERAGE(OFFSET($DS$3,0,0,'Données projet'!$E$14+1,1))-AVERAGE(OFFSET($H$3,0,0,'Données projet'!$E$14+1,1))</f>
        <v>542.90832990875208</v>
      </c>
      <c r="DU93" s="60">
        <f t="shared" si="98"/>
        <v>304.94365539329362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42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5.6843418860808015E-14</v>
      </c>
      <c r="EK93" s="18">
        <f>EJ93*VLOOKUP('Données projet'!$B$15,Paramètres!$A$1:$I$89,3,0)*VLOOKUP('Données projet'!$B$15,Paramètres!$A$1:$I$89,5,0)</f>
        <v>4.5224624045658861E-14</v>
      </c>
      <c r="EL93" s="14">
        <f t="shared" si="99"/>
        <v>7.4514601661523691E-13</v>
      </c>
      <c r="EM93" s="22">
        <f t="shared" si="73"/>
        <v>1.3765621991510601E-12</v>
      </c>
      <c r="EN93" s="60">
        <f t="shared" si="74"/>
        <v>274.35764100422904</v>
      </c>
      <c r="EO93" s="60">
        <f ca="1">AVERAGE(OFFSET($EN$3,0,0,'Données projet'!$E$15+1,1))-AVERAGE(OFFSET($H$3,0,0,'Données projet'!$E$15+1,1))</f>
        <v>273.72403794510291</v>
      </c>
      <c r="EP93" s="60">
        <f t="shared" si="100"/>
        <v>292.00185554564109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5.6843418860808015E-14</v>
      </c>
      <c r="FF93" s="18">
        <f>FE93*VLOOKUP('Données projet'!$B$16,Paramètres!$A$1:$I$89,3,0)*VLOOKUP('Données projet'!$B$16,Paramètres!$A$1:$I$89,5,0)</f>
        <v>4.4337866711430253E-14</v>
      </c>
      <c r="FG93" s="14">
        <f t="shared" si="101"/>
        <v>7.3222115536967035E-13</v>
      </c>
      <c r="FH93" s="22">
        <f t="shared" si="76"/>
        <v>1.3525069634579169E-12</v>
      </c>
      <c r="FI93" s="60">
        <f t="shared" si="77"/>
        <v>274.35764100422904</v>
      </c>
      <c r="FJ93" s="60">
        <f ca="1">AVERAGE(OFFSET($FI$3,0,0,'Données projet'!$E$16+1,1))-AVERAGE(OFFSET($H$3,0,0,'Données projet'!$E$16+1,1))</f>
        <v>309.21625451786218</v>
      </c>
      <c r="FK93" s="60">
        <f t="shared" si="102"/>
        <v>302.59481222418219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>
        <f>FZ93*VLOOKUP('Données projet'!$B$17,Paramètres!$A$1:$I$89,3,0)*VLOOKUP('Données projet'!$B$17,Paramètres!$A$1:$I$89,5,0)</f>
        <v>0</v>
      </c>
      <c r="GB93" s="14" t="e">
        <f t="shared" si="103"/>
        <v>#NUM!</v>
      </c>
      <c r="GC93" s="22" t="e">
        <f t="shared" si="79"/>
        <v>#NUM!</v>
      </c>
      <c r="GD93" s="60" t="e">
        <f t="shared" si="80"/>
        <v>#NUM!</v>
      </c>
      <c r="GE93" s="60">
        <f ca="1">AVERAGE(OFFSET($GD$3,0,0,'Données projet'!$E$17+1,1))-AVERAGE(OFFSET($H$3,0,0,'Données projet'!$E$17+1,1))</f>
        <v>216.36762889365235</v>
      </c>
      <c r="GF93" s="60">
        <f t="shared" si="104"/>
        <v>333.29599352215496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4.1144588434217289</v>
      </c>
      <c r="GM93" s="23">
        <f>EXP(-LN(2)/25)*GM92+(1-EXP(-LN(2)/25))/(LN(2)/25)*Calculateur!GH93*Calculateur!GJ93*VLOOKUP('Données projet'!$B$17,Paramètres!$A$1:$I$89,3,0)*0.475*44/12</f>
        <v>1.8471684693707455</v>
      </c>
      <c r="GN93" s="23">
        <f>EXP(-LN(2)/2)*GN92+(1-EXP(-LN(2)/2))/(LN(2)/2)*GH93*GK93*VLOOKUP('Données projet'!$B$17,Paramètres!$A$1:$I$89,3,0)*0.475*44/12</f>
        <v>2.7235855319656523E-9</v>
      </c>
      <c r="GO93" s="23">
        <f t="shared" si="81"/>
        <v>5.9616273155160604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4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250.40808000000004</v>
      </c>
      <c r="P94" s="14">
        <f t="shared" si="87"/>
        <v>60.67331674592576</v>
      </c>
      <c r="Q94" s="22">
        <f t="shared" si="54"/>
        <v>541.80009933248743</v>
      </c>
      <c r="R94" s="60">
        <f t="shared" si="55"/>
        <v>816.48692617533243</v>
      </c>
      <c r="S94" s="60">
        <f ca="1">AVERAGE(OFFSET($R$3,0,0,'Données projet'!$E$9+1,1))-AVERAGE(OFFSET($H$3,0,0,'Données projet'!$E$9+1,1))</f>
        <v>496.33873798282525</v>
      </c>
      <c r="T94" s="60">
        <f t="shared" si="88"/>
        <v>280.25465074992246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8.0338461538461612</v>
      </c>
      <c r="AI94" s="14">
        <f>IF('Données projet'!$A$62&gt;35,AI93+AH94-AQ93,IF(A94&lt;'Données projet'!$A$62,$AF$205^A94,IF(A94='Données projet'!$A$62,'Données projet'!$B$62,AI93+AH94-AQ93)))</f>
        <v>332.64923076923088</v>
      </c>
      <c r="AJ94" s="14">
        <f>AI94*VLOOKUP('Données projet'!$B$10,Paramètres!$A$1:$I$89,3,0)*VLOOKUP('Données projet'!$B$10,Paramètres!$A$1:$I$89,5,0)</f>
        <v>155.67984000000004</v>
      </c>
      <c r="AK94" s="14">
        <f t="shared" si="89"/>
        <v>39.866544383167358</v>
      </c>
      <c r="AL94" s="22">
        <f t="shared" si="58"/>
        <v>340.57661946734987</v>
      </c>
      <c r="AM94" s="60">
        <f t="shared" si="59"/>
        <v>615.26344631019492</v>
      </c>
      <c r="AN94" s="60">
        <f ca="1">AVERAGE(OFFSET($AM$3,0,0,'Données projet'!$E$10+1,1))-AVERAGE(OFFSET($H$3,0,0,'Données projet'!$E$10+1,1))</f>
        <v>277.7918215389401</v>
      </c>
      <c r="AO94" s="60">
        <f t="shared" si="90"/>
        <v>164.65640238394164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3.4615384615384643</v>
      </c>
      <c r="BD94" s="13">
        <f>IF('Données projet'!$A$88&gt;35,BD93+BC94-BL93,IF(A94&lt;'Données projet'!$A$88,$BA$205^A94,IF(A94='Données projet'!$A$88,'Données projet'!$B$88,BD93+BC94-BL93)))</f>
        <v>208.58974358974348</v>
      </c>
      <c r="BE94" s="14">
        <f>BD94*VLOOKUP('Données projet'!$B$11,Paramètres!$A$1:$I$89,3,0)*VLOOKUP('Données projet'!$B$11,Paramètres!$A$1:$I$89,5,0)</f>
        <v>198.49399999999989</v>
      </c>
      <c r="BF94" s="14">
        <f t="shared" si="91"/>
        <v>49.413049051705734</v>
      </c>
      <c r="BG94" s="22">
        <f t="shared" si="61"/>
        <v>431.77144376505402</v>
      </c>
      <c r="BH94" s="60">
        <f t="shared" si="62"/>
        <v>706.45827060789907</v>
      </c>
      <c r="BI94" s="60">
        <f ca="1">AVERAGE(OFFSET($BH$3,0,0,'Données projet'!$E$11+1,1))-AVERAGE(OFFSET($H$3,0,0,'Données projet'!$E$11+1,1))</f>
        <v>366.21371543563254</v>
      </c>
      <c r="BJ94" s="60">
        <f t="shared" si="92"/>
        <v>237.43356317334084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3.4615384615384643</v>
      </c>
      <c r="BY94" s="13">
        <f>IF('Données projet'!$A$114&gt;35,BY93+BX94-CG93,IF(A94&lt;'Données projet'!$A$114,$BV$205^A94,IF(A94='Données projet'!$A$114,'Données projet'!$B$114,BY93+BX94-CG93)))</f>
        <v>288.71794871794862</v>
      </c>
      <c r="BZ94" s="14">
        <f>BY94*VLOOKUP('Données projet'!$B$12,Paramètres!$A$1:$I$89,3,0)*VLOOKUP('Données projet'!$B$12,Paramètres!$A$1:$I$89,5,0)</f>
        <v>301.76799999999992</v>
      </c>
      <c r="CA94" s="14">
        <f t="shared" si="93"/>
        <v>71.546977336455484</v>
      </c>
      <c r="CB94" s="22">
        <f t="shared" si="64"/>
        <v>650.19025219432649</v>
      </c>
      <c r="CC94" s="60">
        <f t="shared" si="65"/>
        <v>924.8770790371716</v>
      </c>
      <c r="CD94" s="60">
        <f ca="1">AVERAGE(OFFSET($CC$3,0,0,'Données projet'!$E$12+1,1))-AVERAGE(OFFSET($H$3,0,0,'Données projet'!$E$12+1,1))</f>
        <v>530.79860063513229</v>
      </c>
      <c r="CE94" s="60">
        <f t="shared" si="94"/>
        <v>302.50876440460434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234.25272000000001</v>
      </c>
      <c r="CV94" s="14">
        <f t="shared" si="95"/>
        <v>57.201236231171301</v>
      </c>
      <c r="CW94" s="22">
        <f t="shared" si="67"/>
        <v>507.61564043595672</v>
      </c>
      <c r="CX94" s="60">
        <f t="shared" si="68"/>
        <v>782.30246727880171</v>
      </c>
      <c r="CY94" s="60">
        <f ca="1">AVERAGE(OFFSET($CX$3,0,0,'Données projet'!$E$13+1,1))-AVERAGE(OFFSET($H$3,0,0,'Données projet'!$E$13+1,1))</f>
        <v>469.67944008675863</v>
      </c>
      <c r="CZ94" s="60">
        <f t="shared" si="96"/>
        <v>266.11908070867173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4.9000000000000004</v>
      </c>
      <c r="DO94" s="13">
        <f>IF('Données projet'!$A$166&gt;35,DO93+DN94-DW93,IF(A94&lt;'Données projet'!$A$166,$DL$205^A94,IF(A94='Données projet'!$A$166,'Données projet'!$B$166,DO93+DN94-DW93)))</f>
        <v>258.90000000000003</v>
      </c>
      <c r="DP94" s="18">
        <f>DO94*VLOOKUP('Données projet'!$B$14,Paramètres!$A$1:$I$89,3,0)*VLOOKUP('Données projet'!$B$14,Paramètres!$A$1:$I$89,5,0)</f>
        <v>278.67996000000005</v>
      </c>
      <c r="DQ94" s="14">
        <f t="shared" si="97"/>
        <v>66.687969806197728</v>
      </c>
      <c r="DR94" s="22">
        <f t="shared" si="70"/>
        <v>601.51581107912773</v>
      </c>
      <c r="DS94" s="60">
        <f t="shared" si="71"/>
        <v>876.20263792197284</v>
      </c>
      <c r="DT94" s="60">
        <f ca="1">AVERAGE(OFFSET($DS$3,0,0,'Données projet'!$E$14+1,1))-AVERAGE(OFFSET($H$3,0,0,'Données projet'!$E$14+1,1))</f>
        <v>542.90832990875208</v>
      </c>
      <c r="DU94" s="60">
        <f t="shared" si="98"/>
        <v>304.94365539329362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5.6843418860808015E-14</v>
      </c>
      <c r="EK94" s="18">
        <f>EJ94*VLOOKUP('Données projet'!$B$15,Paramètres!$A$1:$I$89,3,0)*VLOOKUP('Données projet'!$B$15,Paramètres!$A$1:$I$89,5,0)</f>
        <v>4.5224624045658861E-14</v>
      </c>
      <c r="EL94" s="14">
        <f t="shared" si="99"/>
        <v>7.4514601661523691E-13</v>
      </c>
      <c r="EM94" s="22">
        <f t="shared" si="73"/>
        <v>1.3765621991510601E-12</v>
      </c>
      <c r="EN94" s="60">
        <f t="shared" si="74"/>
        <v>274.68682684284641</v>
      </c>
      <c r="EO94" s="60">
        <f ca="1">AVERAGE(OFFSET($EN$3,0,0,'Données projet'!$E$15+1,1))-AVERAGE(OFFSET($H$3,0,0,'Données projet'!$E$15+1,1))</f>
        <v>273.72403794510291</v>
      </c>
      <c r="EP94" s="60">
        <f t="shared" si="100"/>
        <v>292.00185554564109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5.6843418860808015E-14</v>
      </c>
      <c r="FF94" s="18">
        <f>FE94*VLOOKUP('Données projet'!$B$16,Paramètres!$A$1:$I$89,3,0)*VLOOKUP('Données projet'!$B$16,Paramètres!$A$1:$I$89,5,0)</f>
        <v>4.4337866711430253E-14</v>
      </c>
      <c r="FG94" s="14">
        <f t="shared" si="101"/>
        <v>7.3222115536967035E-13</v>
      </c>
      <c r="FH94" s="22">
        <f t="shared" si="76"/>
        <v>1.3525069634579169E-12</v>
      </c>
      <c r="FI94" s="60">
        <f t="shared" si="77"/>
        <v>274.68682684284641</v>
      </c>
      <c r="FJ94" s="60">
        <f ca="1">AVERAGE(OFFSET($FI$3,0,0,'Données projet'!$E$16+1,1))-AVERAGE(OFFSET($H$3,0,0,'Données projet'!$E$16+1,1))</f>
        <v>309.21625451786218</v>
      </c>
      <c r="FK94" s="60">
        <f t="shared" si="102"/>
        <v>302.59481222418219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>
        <f>FZ94*VLOOKUP('Données projet'!$B$17,Paramètres!$A$1:$I$89,3,0)*VLOOKUP('Données projet'!$B$17,Paramètres!$A$1:$I$89,5,0)</f>
        <v>0</v>
      </c>
      <c r="GB94" s="14" t="e">
        <f t="shared" si="103"/>
        <v>#NUM!</v>
      </c>
      <c r="GC94" s="22" t="e">
        <f t="shared" si="79"/>
        <v>#NUM!</v>
      </c>
      <c r="GD94" s="60" t="e">
        <f t="shared" si="80"/>
        <v>#NUM!</v>
      </c>
      <c r="GE94" s="60">
        <f ca="1">AVERAGE(OFFSET($GD$3,0,0,'Données projet'!$E$17+1,1))-AVERAGE(OFFSET($H$3,0,0,'Données projet'!$E$17+1,1))</f>
        <v>216.36762889365235</v>
      </c>
      <c r="GF94" s="60">
        <f t="shared" si="104"/>
        <v>333.29599352215496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4.0337768150743232</v>
      </c>
      <c r="GM94" s="23">
        <f>EXP(-LN(2)/25)*GM93+(1-EXP(-LN(2)/25))/(LN(2)/25)*Calculateur!GH94*Calculateur!GJ94*VLOOKUP('Données projet'!$B$17,Paramètres!$A$1:$I$89,3,0)*0.475*44/12</f>
        <v>1.7966575504374345</v>
      </c>
      <c r="GN94" s="23">
        <f>EXP(-LN(2)/2)*GN93+(1-EXP(-LN(2)/2))/(LN(2)/2)*GH94*GK94*VLOOKUP('Données projet'!$B$17,Paramètres!$A$1:$I$89,3,0)*0.475*44/12</f>
        <v>1.9258657987944831E-9</v>
      </c>
      <c r="GO94" s="23">
        <f t="shared" si="81"/>
        <v>5.8304343674376238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4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255.14736000000002</v>
      </c>
      <c r="P95" s="14">
        <f t="shared" si="87"/>
        <v>61.686859728645651</v>
      </c>
      <c r="Q95" s="22">
        <f t="shared" si="54"/>
        <v>551.81959936072451</v>
      </c>
      <c r="R95" s="60">
        <f t="shared" si="55"/>
        <v>826.82990140383617</v>
      </c>
      <c r="S95" s="60">
        <f ca="1">AVERAGE(OFFSET($R$3,0,0,'Données projet'!$E$9+1,1))-AVERAGE(OFFSET($H$3,0,0,'Données projet'!$E$9+1,1))</f>
        <v>496.33873798282525</v>
      </c>
      <c r="T95" s="60">
        <f t="shared" si="88"/>
        <v>280.25465074992246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8.0338461538461612</v>
      </c>
      <c r="AI95" s="14">
        <f>IF('Données projet'!$A$62&gt;35,AI94+AH95-AQ94,IF(A95&lt;'Données projet'!$A$62,$AF$205^A95,IF(A95='Données projet'!$A$62,'Données projet'!$B$62,AI94+AH95-AQ94)))</f>
        <v>340.68307692307707</v>
      </c>
      <c r="AJ95" s="14">
        <f>AI95*VLOOKUP('Données projet'!$B$10,Paramètres!$A$1:$I$89,3,0)*VLOOKUP('Données projet'!$B$10,Paramètres!$A$1:$I$89,5,0)</f>
        <v>159.43968000000007</v>
      </c>
      <c r="AK95" s="14">
        <f t="shared" si="89"/>
        <v>40.716107874353241</v>
      </c>
      <c r="AL95" s="22">
        <f t="shared" si="58"/>
        <v>348.60466388116532</v>
      </c>
      <c r="AM95" s="60">
        <f t="shared" si="59"/>
        <v>623.61496592427704</v>
      </c>
      <c r="AN95" s="60">
        <f ca="1">AVERAGE(OFFSET($AM$3,0,0,'Données projet'!$E$10+1,1))-AVERAGE(OFFSET($H$3,0,0,'Données projet'!$E$10+1,1))</f>
        <v>277.7918215389401</v>
      </c>
      <c r="AO95" s="60">
        <f t="shared" si="90"/>
        <v>164.65640238394164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3.4615384615384643</v>
      </c>
      <c r="BD95" s="13">
        <f>IF('Données projet'!$A$88&gt;35,BD94+BC95-BL94,IF(A95&lt;'Données projet'!$A$88,$BA$205^A95,IF(A95='Données projet'!$A$88,'Données projet'!$B$88,BD94+BC95-BL94)))</f>
        <v>212.05128205128193</v>
      </c>
      <c r="BE95" s="14">
        <f>BD95*VLOOKUP('Données projet'!$B$11,Paramètres!$A$1:$I$89,3,0)*VLOOKUP('Données projet'!$B$11,Paramètres!$A$1:$I$89,5,0)</f>
        <v>201.78799999999987</v>
      </c>
      <c r="BF95" s="14">
        <f t="shared" si="91"/>
        <v>50.136912230864475</v>
      </c>
      <c r="BG95" s="22">
        <f t="shared" si="61"/>
        <v>438.76922213542207</v>
      </c>
      <c r="BH95" s="60">
        <f t="shared" si="62"/>
        <v>713.77952417853385</v>
      </c>
      <c r="BI95" s="60">
        <f ca="1">AVERAGE(OFFSET($BH$3,0,0,'Données projet'!$E$11+1,1))-AVERAGE(OFFSET($H$3,0,0,'Données projet'!$E$11+1,1))</f>
        <v>366.21371543563254</v>
      </c>
      <c r="BJ95" s="60">
        <f t="shared" si="92"/>
        <v>237.43356317334084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3.4615384615384643</v>
      </c>
      <c r="BY95" s="13">
        <f>IF('Données projet'!$A$114&gt;35,BY94+BX95-CG94,IF(A95&lt;'Données projet'!$A$114,$BV$205^A95,IF(A95='Données projet'!$A$114,'Données projet'!$B$114,BY94+BX95-CG94)))</f>
        <v>292.17948717948707</v>
      </c>
      <c r="BZ95" s="14">
        <f>BY95*VLOOKUP('Données projet'!$B$12,Paramètres!$A$1:$I$89,3,0)*VLOOKUP('Données projet'!$B$12,Paramètres!$A$1:$I$89,5,0)</f>
        <v>305.38599999999991</v>
      </c>
      <c r="CA95" s="14">
        <f t="shared" si="93"/>
        <v>72.304403970848256</v>
      </c>
      <c r="CB95" s="22">
        <f t="shared" si="64"/>
        <v>657.8107869158938</v>
      </c>
      <c r="CC95" s="60">
        <f t="shared" si="65"/>
        <v>932.82108895900546</v>
      </c>
      <c r="CD95" s="60">
        <f ca="1">AVERAGE(OFFSET($CC$3,0,0,'Données projet'!$E$12+1,1))-AVERAGE(OFFSET($H$3,0,0,'Données projet'!$E$12+1,1))</f>
        <v>530.79860063513229</v>
      </c>
      <c r="CE95" s="60">
        <f t="shared" si="94"/>
        <v>302.50876440460434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238.68624</v>
      </c>
      <c r="CV95" s="14">
        <f t="shared" si="95"/>
        <v>58.156778382060871</v>
      </c>
      <c r="CW95" s="22">
        <f t="shared" si="67"/>
        <v>517.00159034875594</v>
      </c>
      <c r="CX95" s="60">
        <f t="shared" si="68"/>
        <v>792.0118923918676</v>
      </c>
      <c r="CY95" s="60">
        <f ca="1">AVERAGE(OFFSET($CX$3,0,0,'Données projet'!$E$13+1,1))-AVERAGE(OFFSET($H$3,0,0,'Données projet'!$E$13+1,1))</f>
        <v>469.67944008675863</v>
      </c>
      <c r="CZ95" s="60">
        <f t="shared" si="96"/>
        <v>266.11908070867173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4.9000000000000004</v>
      </c>
      <c r="DO95" s="13">
        <f>IF('Données projet'!$A$166&gt;35,DO94+DN95-DW94,IF(A95&lt;'Données projet'!$A$166,$DL$205^A95,IF(A95='Données projet'!$A$166,'Données projet'!$B$166,DO94+DN95-DW94)))</f>
        <v>263.8</v>
      </c>
      <c r="DP95" s="18">
        <f>DO95*VLOOKUP('Données projet'!$B$14,Paramètres!$A$1:$I$89,3,0)*VLOOKUP('Données projet'!$B$14,Paramètres!$A$1:$I$89,5,0)</f>
        <v>283.95432</v>
      </c>
      <c r="DQ95" s="14">
        <f t="shared" si="97"/>
        <v>67.801987095081913</v>
      </c>
      <c r="DR95" s="22">
        <f t="shared" si="70"/>
        <v>612.64223485726768</v>
      </c>
      <c r="DS95" s="60">
        <f t="shared" si="71"/>
        <v>887.65253690037935</v>
      </c>
      <c r="DT95" s="60">
        <f ca="1">AVERAGE(OFFSET($DS$3,0,0,'Données projet'!$E$14+1,1))-AVERAGE(OFFSET($H$3,0,0,'Données projet'!$E$14+1,1))</f>
        <v>542.90832990875208</v>
      </c>
      <c r="DU95" s="60">
        <f t="shared" si="98"/>
        <v>304.94365539329362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5.6843418860808015E-14</v>
      </c>
      <c r="EK95" s="18">
        <f>EJ95*VLOOKUP('Données projet'!$B$15,Paramètres!$A$1:$I$89,3,0)*VLOOKUP('Données projet'!$B$15,Paramètres!$A$1:$I$89,5,0)</f>
        <v>4.5224624045658861E-14</v>
      </c>
      <c r="EL95" s="14">
        <f t="shared" si="99"/>
        <v>7.4514601661523691E-13</v>
      </c>
      <c r="EM95" s="22">
        <f t="shared" si="73"/>
        <v>1.3765621991510601E-12</v>
      </c>
      <c r="EN95" s="60">
        <f t="shared" si="74"/>
        <v>275.01030204311309</v>
      </c>
      <c r="EO95" s="60">
        <f ca="1">AVERAGE(OFFSET($EN$3,0,0,'Données projet'!$E$15+1,1))-AVERAGE(OFFSET($H$3,0,0,'Données projet'!$E$15+1,1))</f>
        <v>273.72403794510291</v>
      </c>
      <c r="EP95" s="60">
        <f t="shared" si="100"/>
        <v>292.00185554564109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5.6843418860808015E-14</v>
      </c>
      <c r="FF95" s="18">
        <f>FE95*VLOOKUP('Données projet'!$B$16,Paramètres!$A$1:$I$89,3,0)*VLOOKUP('Données projet'!$B$16,Paramètres!$A$1:$I$89,5,0)</f>
        <v>4.4337866711430253E-14</v>
      </c>
      <c r="FG95" s="14">
        <f t="shared" si="101"/>
        <v>7.3222115536967035E-13</v>
      </c>
      <c r="FH95" s="22">
        <f t="shared" si="76"/>
        <v>1.3525069634579169E-12</v>
      </c>
      <c r="FI95" s="60">
        <f t="shared" si="77"/>
        <v>275.01030204311309</v>
      </c>
      <c r="FJ95" s="60">
        <f ca="1">AVERAGE(OFFSET($FI$3,0,0,'Données projet'!$E$16+1,1))-AVERAGE(OFFSET($H$3,0,0,'Données projet'!$E$16+1,1))</f>
        <v>309.21625451786218</v>
      </c>
      <c r="FK95" s="60">
        <f t="shared" si="102"/>
        <v>302.59481222418219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>
        <f>FZ95*VLOOKUP('Données projet'!$B$17,Paramètres!$A$1:$I$89,3,0)*VLOOKUP('Données projet'!$B$17,Paramètres!$A$1:$I$89,5,0)</f>
        <v>0</v>
      </c>
      <c r="GB95" s="14" t="e">
        <f t="shared" si="103"/>
        <v>#NUM!</v>
      </c>
      <c r="GC95" s="22" t="e">
        <f t="shared" si="79"/>
        <v>#NUM!</v>
      </c>
      <c r="GD95" s="60" t="e">
        <f t="shared" si="80"/>
        <v>#NUM!</v>
      </c>
      <c r="GE95" s="60">
        <f ca="1">AVERAGE(OFFSET($GD$3,0,0,'Données projet'!$E$17+1,1))-AVERAGE(OFFSET($H$3,0,0,'Données projet'!$E$17+1,1))</f>
        <v>216.36762889365235</v>
      </c>
      <c r="GF95" s="60">
        <f t="shared" si="104"/>
        <v>333.29599352215496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3.9546769120916325</v>
      </c>
      <c r="GM95" s="23">
        <f>EXP(-LN(2)/25)*GM94+(1-EXP(-LN(2)/25))/(LN(2)/25)*Calculateur!GH95*Calculateur!GJ95*VLOOKUP('Données projet'!$B$17,Paramètres!$A$1:$I$89,3,0)*0.475*44/12</f>
        <v>1.7475278552386087</v>
      </c>
      <c r="GN95" s="23">
        <f>EXP(-LN(2)/2)*GN94+(1-EXP(-LN(2)/2))/(LN(2)/2)*GH95*GK95*VLOOKUP('Données projet'!$B$17,Paramètres!$A$1:$I$89,3,0)*0.475*44/12</f>
        <v>1.3617927659828261E-9</v>
      </c>
      <c r="GO95" s="23">
        <f t="shared" si="81"/>
        <v>5.7022047686920336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4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259.88664</v>
      </c>
      <c r="P96" s="14">
        <f t="shared" si="87"/>
        <v>62.698213571884004</v>
      </c>
      <c r="Q96" s="22">
        <f t="shared" si="54"/>
        <v>561.835286637698</v>
      </c>
      <c r="R96" s="60">
        <f t="shared" si="55"/>
        <v>837.16345230953402</v>
      </c>
      <c r="S96" s="60">
        <f ca="1">AVERAGE(OFFSET($R$3,0,0,'Données projet'!$E$9+1,1))-AVERAGE(OFFSET($H$3,0,0,'Données projet'!$E$9+1,1))</f>
        <v>496.33873798282525</v>
      </c>
      <c r="T96" s="60">
        <f t="shared" si="88"/>
        <v>280.25465074992246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8.0338461538461612</v>
      </c>
      <c r="AI96" s="14">
        <f>IF('Données projet'!$A$62&gt;35,AI95+AH96-AQ95,IF(A96&lt;'Données projet'!$A$62,$AF$205^A96,IF(A96='Données projet'!$A$62,'Données projet'!$B$62,AI95+AH96-AQ95)))</f>
        <v>348.71692307692325</v>
      </c>
      <c r="AJ96" s="14">
        <f>AI96*VLOOKUP('Données projet'!$B$10,Paramètres!$A$1:$I$89,3,0)*VLOOKUP('Données projet'!$B$10,Paramètres!$A$1:$I$89,5,0)</f>
        <v>163.19952000000009</v>
      </c>
      <c r="AK96" s="14">
        <f t="shared" si="89"/>
        <v>41.563342371355041</v>
      </c>
      <c r="AL96" s="22">
        <f t="shared" si="58"/>
        <v>356.62865196344347</v>
      </c>
      <c r="AM96" s="60">
        <f t="shared" si="59"/>
        <v>631.95681763527944</v>
      </c>
      <c r="AN96" s="60">
        <f ca="1">AVERAGE(OFFSET($AM$3,0,0,'Données projet'!$E$10+1,1))-AVERAGE(OFFSET($H$3,0,0,'Données projet'!$E$10+1,1))</f>
        <v>277.7918215389401</v>
      </c>
      <c r="AO96" s="60">
        <f t="shared" si="90"/>
        <v>164.65640238394164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3.4615384615384643</v>
      </c>
      <c r="BD96" s="13">
        <f>IF('Données projet'!$A$88&gt;35,BD95+BC96-BL95,IF(A96&lt;'Données projet'!$A$88,$BA$205^A96,IF(A96='Données projet'!$A$88,'Données projet'!$B$88,BD95+BC96-BL95)))</f>
        <v>215.51282051282038</v>
      </c>
      <c r="BE96" s="14">
        <f>BD96*VLOOKUP('Données projet'!$B$11,Paramètres!$A$1:$I$89,3,0)*VLOOKUP('Données projet'!$B$11,Paramètres!$A$1:$I$89,5,0)</f>
        <v>205.08199999999988</v>
      </c>
      <c r="BF96" s="14">
        <f t="shared" si="91"/>
        <v>50.859401223840209</v>
      </c>
      <c r="BG96" s="22">
        <f t="shared" si="61"/>
        <v>445.76460713152147</v>
      </c>
      <c r="BH96" s="60">
        <f t="shared" si="62"/>
        <v>721.09277280335743</v>
      </c>
      <c r="BI96" s="60">
        <f ca="1">AVERAGE(OFFSET($BH$3,0,0,'Données projet'!$E$11+1,1))-AVERAGE(OFFSET($H$3,0,0,'Données projet'!$E$11+1,1))</f>
        <v>366.21371543563254</v>
      </c>
      <c r="BJ96" s="60">
        <f t="shared" si="92"/>
        <v>237.43356317334084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3.4615384615384643</v>
      </c>
      <c r="BY96" s="13">
        <f>IF('Données projet'!$A$114&gt;35,BY95+BX96-CG95,IF(A96&lt;'Données projet'!$A$114,$BV$205^A96,IF(A96='Données projet'!$A$114,'Données projet'!$B$114,BY95+BX96-CG95)))</f>
        <v>295.64102564102552</v>
      </c>
      <c r="BZ96" s="14">
        <f>BY96*VLOOKUP('Données projet'!$B$12,Paramètres!$A$1:$I$89,3,0)*VLOOKUP('Données projet'!$B$12,Paramètres!$A$1:$I$89,5,0)</f>
        <v>309.00399999999991</v>
      </c>
      <c r="CA96" s="14">
        <f t="shared" si="93"/>
        <v>73.060786788354093</v>
      </c>
      <c r="CB96" s="22">
        <f t="shared" si="64"/>
        <v>665.42950365638319</v>
      </c>
      <c r="CC96" s="60">
        <f t="shared" si="65"/>
        <v>940.75766932821921</v>
      </c>
      <c r="CD96" s="60">
        <f ca="1">AVERAGE(OFFSET($CC$3,0,0,'Données projet'!$E$12+1,1))-AVERAGE(OFFSET($H$3,0,0,'Données projet'!$E$12+1,1))</f>
        <v>530.79860063513229</v>
      </c>
      <c r="CE96" s="60">
        <f t="shared" si="94"/>
        <v>302.50876440460434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243.11975999999996</v>
      </c>
      <c r="CV96" s="14">
        <f t="shared" si="95"/>
        <v>59.110256668778533</v>
      </c>
      <c r="CW96" s="22">
        <f t="shared" si="67"/>
        <v>526.3839456981226</v>
      </c>
      <c r="CX96" s="60">
        <f t="shared" si="68"/>
        <v>801.71211136995862</v>
      </c>
      <c r="CY96" s="60">
        <f ca="1">AVERAGE(OFFSET($CX$3,0,0,'Données projet'!$E$13+1,1))-AVERAGE(OFFSET($H$3,0,0,'Données projet'!$E$13+1,1))</f>
        <v>469.67944008675863</v>
      </c>
      <c r="CZ96" s="60">
        <f t="shared" si="96"/>
        <v>266.11908070867173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4.9000000000000004</v>
      </c>
      <c r="DO96" s="13">
        <f>IF('Données projet'!$A$166&gt;35,DO95+DN96-DW95,IF(A96&lt;'Données projet'!$A$166,$DL$205^A96,IF(A96='Données projet'!$A$166,'Données projet'!$B$166,DO95+DN96-DW95)))</f>
        <v>268.7</v>
      </c>
      <c r="DP96" s="18">
        <f>DO96*VLOOKUP('Données projet'!$B$14,Paramètres!$A$1:$I$89,3,0)*VLOOKUP('Données projet'!$B$14,Paramètres!$A$1:$I$89,5,0)</f>
        <v>289.22868</v>
      </c>
      <c r="DQ96" s="14">
        <f t="shared" si="97"/>
        <v>68.913598231220931</v>
      </c>
      <c r="DR96" s="22">
        <f t="shared" si="70"/>
        <v>623.76446791937644</v>
      </c>
      <c r="DS96" s="60">
        <f t="shared" si="71"/>
        <v>899.09263359121246</v>
      </c>
      <c r="DT96" s="60">
        <f ca="1">AVERAGE(OFFSET($DS$3,0,0,'Données projet'!$E$14+1,1))-AVERAGE(OFFSET($H$3,0,0,'Données projet'!$E$14+1,1))</f>
        <v>542.90832990875208</v>
      </c>
      <c r="DU96" s="60">
        <f t="shared" si="98"/>
        <v>304.94365539329362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5.6843418860808015E-14</v>
      </c>
      <c r="EK96" s="18">
        <f>EJ96*VLOOKUP('Données projet'!$B$15,Paramètres!$A$1:$I$89,3,0)*VLOOKUP('Données projet'!$B$15,Paramètres!$A$1:$I$89,5,0)</f>
        <v>4.5224624045658861E-14</v>
      </c>
      <c r="EL96" s="14">
        <f t="shared" si="99"/>
        <v>7.4514601661523691E-13</v>
      </c>
      <c r="EM96" s="22">
        <f t="shared" si="73"/>
        <v>1.3765621991510601E-12</v>
      </c>
      <c r="EN96" s="60">
        <f t="shared" si="74"/>
        <v>275.32816567183733</v>
      </c>
      <c r="EO96" s="60">
        <f ca="1">AVERAGE(OFFSET($EN$3,0,0,'Données projet'!$E$15+1,1))-AVERAGE(OFFSET($H$3,0,0,'Données projet'!$E$15+1,1))</f>
        <v>273.72403794510291</v>
      </c>
      <c r="EP96" s="60">
        <f t="shared" si="100"/>
        <v>292.00185554564109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5.6843418860808015E-14</v>
      </c>
      <c r="FF96" s="18">
        <f>FE96*VLOOKUP('Données projet'!$B$16,Paramètres!$A$1:$I$89,3,0)*VLOOKUP('Données projet'!$B$16,Paramètres!$A$1:$I$89,5,0)</f>
        <v>4.4337866711430253E-14</v>
      </c>
      <c r="FG96" s="14">
        <f t="shared" si="101"/>
        <v>7.3222115536967035E-13</v>
      </c>
      <c r="FH96" s="22">
        <f t="shared" si="76"/>
        <v>1.3525069634579169E-12</v>
      </c>
      <c r="FI96" s="60">
        <f t="shared" si="77"/>
        <v>275.32816567183733</v>
      </c>
      <c r="FJ96" s="60">
        <f ca="1">AVERAGE(OFFSET($FI$3,0,0,'Données projet'!$E$16+1,1))-AVERAGE(OFFSET($H$3,0,0,'Données projet'!$E$16+1,1))</f>
        <v>309.21625451786218</v>
      </c>
      <c r="FK96" s="60">
        <f t="shared" si="102"/>
        <v>302.59481222418219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>
        <f>FZ96*VLOOKUP('Données projet'!$B$17,Paramètres!$A$1:$I$89,3,0)*VLOOKUP('Données projet'!$B$17,Paramètres!$A$1:$I$89,5,0)</f>
        <v>0</v>
      </c>
      <c r="GB96" s="14" t="e">
        <f t="shared" si="103"/>
        <v>#NUM!</v>
      </c>
      <c r="GC96" s="22" t="e">
        <f t="shared" si="79"/>
        <v>#NUM!</v>
      </c>
      <c r="GD96" s="60" t="e">
        <f t="shared" si="80"/>
        <v>#NUM!</v>
      </c>
      <c r="GE96" s="60">
        <f ca="1">AVERAGE(OFFSET($GD$3,0,0,'Données projet'!$E$17+1,1))-AVERAGE(OFFSET($H$3,0,0,'Données projet'!$E$17+1,1))</f>
        <v>216.36762889365235</v>
      </c>
      <c r="GF96" s="60">
        <f t="shared" si="104"/>
        <v>333.29599352215496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3.8771281099602555</v>
      </c>
      <c r="GM96" s="23">
        <f>EXP(-LN(2)/25)*GM95+(1-EXP(-LN(2)/25))/(LN(2)/25)*Calculateur!GH96*Calculateur!GJ96*VLOOKUP('Données projet'!$B$17,Paramètres!$A$1:$I$89,3,0)*0.475*44/12</f>
        <v>1.699741614138613</v>
      </c>
      <c r="GN96" s="23">
        <f>EXP(-LN(2)/2)*GN95+(1-EXP(-LN(2)/2))/(LN(2)/2)*GH96*GK96*VLOOKUP('Données projet'!$B$17,Paramètres!$A$1:$I$89,3,0)*0.475*44/12</f>
        <v>9.6293289939724155E-10</v>
      </c>
      <c r="GO96" s="23">
        <f t="shared" si="81"/>
        <v>5.5768697250618011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4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264.62591999999995</v>
      </c>
      <c r="P97" s="14">
        <f t="shared" si="87"/>
        <v>63.707422801198604</v>
      </c>
      <c r="Q97" s="22">
        <f t="shared" si="54"/>
        <v>571.84723871208746</v>
      </c>
      <c r="R97" s="60">
        <f t="shared" si="55"/>
        <v>847.48775378932601</v>
      </c>
      <c r="S97" s="60">
        <f ca="1">AVERAGE(OFFSET($R$3,0,0,'Données projet'!$E$9+1,1))-AVERAGE(OFFSET($H$3,0,0,'Données projet'!$E$9+1,1))</f>
        <v>496.33873798282525</v>
      </c>
      <c r="T97" s="60">
        <f t="shared" si="88"/>
        <v>280.25465074992246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8.0338461538461612</v>
      </c>
      <c r="AI97" s="14">
        <f>IF('Données projet'!$A$62&gt;35,AI96+AH97-AQ96,IF(A97&lt;'Données projet'!$A$62,$AF$205^A97,IF(A97='Données projet'!$A$62,'Données projet'!$B$62,AI96+AH97-AQ96)))</f>
        <v>356.75076923076944</v>
      </c>
      <c r="AJ97" s="14">
        <f>AI97*VLOOKUP('Données projet'!$B$10,Paramètres!$A$1:$I$89,3,0)*VLOOKUP('Données projet'!$B$10,Paramètres!$A$1:$I$89,5,0)</f>
        <v>166.95936000000012</v>
      </c>
      <c r="AK97" s="14">
        <f t="shared" si="89"/>
        <v>42.408307706264836</v>
      </c>
      <c r="AL97" s="22">
        <f t="shared" si="58"/>
        <v>364.64868792174479</v>
      </c>
      <c r="AM97" s="60">
        <f t="shared" si="59"/>
        <v>640.28920299898323</v>
      </c>
      <c r="AN97" s="60">
        <f ca="1">AVERAGE(OFFSET($AM$3,0,0,'Données projet'!$E$10+1,1))-AVERAGE(OFFSET($H$3,0,0,'Données projet'!$E$10+1,1))</f>
        <v>277.7918215389401</v>
      </c>
      <c r="AO97" s="60">
        <f t="shared" si="90"/>
        <v>164.65640238394164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3.4615384615384643</v>
      </c>
      <c r="BD97" s="13">
        <f>IF('Données projet'!$A$88&gt;35,BD96+BC97-BL96,IF(A97&lt;'Données projet'!$A$88,$BA$205^A97,IF(A97='Données projet'!$A$88,'Données projet'!$B$88,BD96+BC97-BL96)))</f>
        <v>218.97435897435884</v>
      </c>
      <c r="BE97" s="14">
        <f>BD97*VLOOKUP('Données projet'!$B$11,Paramètres!$A$1:$I$89,3,0)*VLOOKUP('Données projet'!$B$11,Paramètres!$A$1:$I$89,5,0)</f>
        <v>208.37599999999986</v>
      </c>
      <c r="BF97" s="14">
        <f t="shared" si="91"/>
        <v>51.580540650922742</v>
      </c>
      <c r="BG97" s="22">
        <f t="shared" si="61"/>
        <v>452.75764163369013</v>
      </c>
      <c r="BH97" s="60">
        <f t="shared" si="62"/>
        <v>728.39815671092856</v>
      </c>
      <c r="BI97" s="60">
        <f ca="1">AVERAGE(OFFSET($BH$3,0,0,'Données projet'!$E$11+1,1))-AVERAGE(OFFSET($H$3,0,0,'Données projet'!$E$11+1,1))</f>
        <v>366.21371543563254</v>
      </c>
      <c r="BJ97" s="60">
        <f t="shared" si="92"/>
        <v>237.43356317334084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3.4615384615384643</v>
      </c>
      <c r="BY97" s="13">
        <f>IF('Données projet'!$A$114&gt;35,BY96+BX97-CG96,IF(A97&lt;'Données projet'!$A$114,$BV$205^A97,IF(A97='Données projet'!$A$114,'Données projet'!$B$114,BY96+BX97-CG96)))</f>
        <v>299.10256410256397</v>
      </c>
      <c r="BZ97" s="14">
        <f>BY97*VLOOKUP('Données projet'!$B$12,Paramètres!$A$1:$I$89,3,0)*VLOOKUP('Données projet'!$B$12,Paramètres!$A$1:$I$89,5,0)</f>
        <v>312.6219999999999</v>
      </c>
      <c r="CA97" s="14">
        <f t="shared" si="93"/>
        <v>73.816139424522504</v>
      </c>
      <c r="CB97" s="22">
        <f t="shared" si="64"/>
        <v>673.0464261643765</v>
      </c>
      <c r="CC97" s="60">
        <f t="shared" si="65"/>
        <v>948.68694124161493</v>
      </c>
      <c r="CD97" s="60">
        <f ca="1">AVERAGE(OFFSET($CC$3,0,0,'Données projet'!$E$12+1,1))-AVERAGE(OFFSET($H$3,0,0,'Données projet'!$E$12+1,1))</f>
        <v>530.79860063513229</v>
      </c>
      <c r="CE97" s="60">
        <f t="shared" si="94"/>
        <v>302.50876440460434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247.55327999999994</v>
      </c>
      <c r="CV97" s="14">
        <f t="shared" si="95"/>
        <v>60.061713068870255</v>
      </c>
      <c r="CW97" s="22">
        <f t="shared" si="67"/>
        <v>535.76277959494894</v>
      </c>
      <c r="CX97" s="60">
        <f t="shared" si="68"/>
        <v>811.40329467218749</v>
      </c>
      <c r="CY97" s="60">
        <f ca="1">AVERAGE(OFFSET($CX$3,0,0,'Données projet'!$E$13+1,1))-AVERAGE(OFFSET($H$3,0,0,'Données projet'!$E$13+1,1))</f>
        <v>469.67944008675863</v>
      </c>
      <c r="CZ97" s="60">
        <f t="shared" si="96"/>
        <v>266.11908070867173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4.9000000000000004</v>
      </c>
      <c r="DO97" s="13">
        <f>IF('Données projet'!$A$166&gt;35,DO96+DN97-DW96,IF(A97&lt;'Données projet'!$A$166,$DL$205^A97,IF(A97='Données projet'!$A$166,'Données projet'!$B$166,DO96+DN97-DW96)))</f>
        <v>273.59999999999997</v>
      </c>
      <c r="DP97" s="18">
        <f>DO97*VLOOKUP('Données projet'!$B$14,Paramètres!$A$1:$I$89,3,0)*VLOOKUP('Données projet'!$B$14,Paramètres!$A$1:$I$89,5,0)</f>
        <v>294.50303999999994</v>
      </c>
      <c r="DQ97" s="14">
        <f t="shared" si="97"/>
        <v>70.022852154069838</v>
      </c>
      <c r="DR97" s="22">
        <f t="shared" si="70"/>
        <v>634.88259550167152</v>
      </c>
      <c r="DS97" s="60">
        <f t="shared" si="71"/>
        <v>910.52311057891006</v>
      </c>
      <c r="DT97" s="60">
        <f ca="1">AVERAGE(OFFSET($DS$3,0,0,'Données projet'!$E$14+1,1))-AVERAGE(OFFSET($H$3,0,0,'Données projet'!$E$14+1,1))</f>
        <v>542.90832990875208</v>
      </c>
      <c r="DU97" s="60">
        <f t="shared" si="98"/>
        <v>304.94365539329362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5.6843418860808015E-14</v>
      </c>
      <c r="EK97" s="18">
        <f>EJ97*VLOOKUP('Données projet'!$B$15,Paramètres!$A$1:$I$89,3,0)*VLOOKUP('Données projet'!$B$15,Paramètres!$A$1:$I$89,5,0)</f>
        <v>4.5224624045658861E-14</v>
      </c>
      <c r="EL97" s="14">
        <f t="shared" si="99"/>
        <v>7.4514601661523691E-13</v>
      </c>
      <c r="EM97" s="22">
        <f t="shared" si="73"/>
        <v>1.3765621991510601E-12</v>
      </c>
      <c r="EN97" s="60">
        <f t="shared" si="74"/>
        <v>275.64051507723985</v>
      </c>
      <c r="EO97" s="60">
        <f ca="1">AVERAGE(OFFSET($EN$3,0,0,'Données projet'!$E$15+1,1))-AVERAGE(OFFSET($H$3,0,0,'Données projet'!$E$15+1,1))</f>
        <v>273.72403794510291</v>
      </c>
      <c r="EP97" s="60">
        <f t="shared" si="100"/>
        <v>292.00185554564109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5.6843418860808015E-14</v>
      </c>
      <c r="FF97" s="18">
        <f>FE97*VLOOKUP('Données projet'!$B$16,Paramètres!$A$1:$I$89,3,0)*VLOOKUP('Données projet'!$B$16,Paramètres!$A$1:$I$89,5,0)</f>
        <v>4.4337866711430253E-14</v>
      </c>
      <c r="FG97" s="14">
        <f t="shared" si="101"/>
        <v>7.3222115536967035E-13</v>
      </c>
      <c r="FH97" s="22">
        <f t="shared" si="76"/>
        <v>1.3525069634579169E-12</v>
      </c>
      <c r="FI97" s="60">
        <f t="shared" si="77"/>
        <v>275.64051507723985</v>
      </c>
      <c r="FJ97" s="60">
        <f ca="1">AVERAGE(OFFSET($FI$3,0,0,'Données projet'!$E$16+1,1))-AVERAGE(OFFSET($H$3,0,0,'Données projet'!$E$16+1,1))</f>
        <v>309.21625451786218</v>
      </c>
      <c r="FK97" s="60">
        <f t="shared" si="102"/>
        <v>302.59481222418219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>
        <f>FZ97*VLOOKUP('Données projet'!$B$17,Paramètres!$A$1:$I$89,3,0)*VLOOKUP('Données projet'!$B$17,Paramètres!$A$1:$I$89,5,0)</f>
        <v>0</v>
      </c>
      <c r="GB97" s="14" t="e">
        <f t="shared" si="103"/>
        <v>#NUM!</v>
      </c>
      <c r="GC97" s="22" t="e">
        <f t="shared" si="79"/>
        <v>#NUM!</v>
      </c>
      <c r="GD97" s="60" t="e">
        <f t="shared" si="80"/>
        <v>#NUM!</v>
      </c>
      <c r="GE97" s="60">
        <f ca="1">AVERAGE(OFFSET($GD$3,0,0,'Données projet'!$E$17+1,1))-AVERAGE(OFFSET($H$3,0,0,'Données projet'!$E$17+1,1))</f>
        <v>216.36762889365235</v>
      </c>
      <c r="GF97" s="60">
        <f t="shared" si="104"/>
        <v>333.29599352215496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3.801099992538576</v>
      </c>
      <c r="GM97" s="23">
        <f>EXP(-LN(2)/25)*GM96+(1-EXP(-LN(2)/25))/(LN(2)/25)*Calculateur!GH97*Calculateur!GJ97*VLOOKUP('Données projet'!$B$17,Paramètres!$A$1:$I$89,3,0)*0.475*44/12</f>
        <v>1.6532620903144659</v>
      </c>
      <c r="GN97" s="23">
        <f>EXP(-LN(2)/2)*GN96+(1-EXP(-LN(2)/2))/(LN(2)/2)*GH97*GK97*VLOOKUP('Données projet'!$B$17,Paramètres!$A$1:$I$89,3,0)*0.475*44/12</f>
        <v>6.8089638299141307E-10</v>
      </c>
      <c r="GO97" s="23">
        <f t="shared" si="81"/>
        <v>5.4543620835339377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4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269.36519999999996</v>
      </c>
      <c r="P98" s="14">
        <f t="shared" si="87"/>
        <v>64.714530255967034</v>
      </c>
      <c r="Q98" s="22">
        <f t="shared" si="54"/>
        <v>581.85553019580914</v>
      </c>
      <c r="R98" s="60">
        <f t="shared" si="55"/>
        <v>857.80297611457513</v>
      </c>
      <c r="S98" s="60">
        <f ca="1">AVERAGE(OFFSET($R$3,0,0,'Données projet'!$E$9+1,1))-AVERAGE(OFFSET($H$3,0,0,'Données projet'!$E$9+1,1))</f>
        <v>496.33873798282525</v>
      </c>
      <c r="T98" s="60">
        <f t="shared" si="88"/>
        <v>280.25465074992246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364.78461538461539</v>
      </c>
      <c r="AG98" s="13">
        <f>VLOOKUP(A98,'Données projet'!$A$61:$I$81,9,0)</f>
        <v>8.0338461538461612</v>
      </c>
      <c r="AH98" s="13">
        <f t="array" ref="AH98">INDEX(AG:AG,MIN(IF(ISNUMBER(AG98:AG294),ROW(AG98:AG294),"")))</f>
        <v>8.0338461538461612</v>
      </c>
      <c r="AI98" s="14">
        <f>IF('Données projet'!$A$62&gt;35,AI97+AH98-AQ97,IF(A98&lt;'Données projet'!$A$62,$AF$205^A98,IF(A98='Données projet'!$A$62,'Données projet'!$B$62,AI97+AH98-AQ97)))</f>
        <v>364.78461538461562</v>
      </c>
      <c r="AJ98" s="14">
        <f>AI98*VLOOKUP('Données projet'!$B$10,Paramètres!$A$1:$I$89,3,0)*VLOOKUP('Données projet'!$B$10,Paramètres!$A$1:$I$89,5,0)</f>
        <v>170.71920000000011</v>
      </c>
      <c r="AK98" s="14">
        <f t="shared" si="89"/>
        <v>43.251060862572231</v>
      </c>
      <c r="AL98" s="22">
        <f t="shared" si="58"/>
        <v>372.66487100231348</v>
      </c>
      <c r="AM98" s="60">
        <f t="shared" si="59"/>
        <v>648.61231692107935</v>
      </c>
      <c r="AN98" s="60">
        <f ca="1">AVERAGE(OFFSET($AM$3,0,0,'Données projet'!$E$10+1,1))-AVERAGE(OFFSET($H$3,0,0,'Données projet'!$E$10+1,1))</f>
        <v>277.7918215389401</v>
      </c>
      <c r="AO98" s="60">
        <f t="shared" si="90"/>
        <v>164.65640238394164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222.43589743589743</v>
      </c>
      <c r="BB98" s="13">
        <f>VLOOKUP(A98,'Données projet'!$A$87:$I$107,9,0)</f>
        <v>3.4615384615384643</v>
      </c>
      <c r="BC98" s="13">
        <f t="array" ref="BC98">INDEX(BB:BB,MIN(IF(ISNUMBER(BB98:BB294),ROW(BB98:BB294),"")))</f>
        <v>3.4615384615384643</v>
      </c>
      <c r="BD98" s="13">
        <f>IF('Données projet'!$A$88&gt;35,BD97+BC98-BL97,IF(A98&lt;'Données projet'!$A$88,$BA$205^A98,IF(A98='Données projet'!$A$88,'Données projet'!$B$88,BD97+BC98-BL97)))</f>
        <v>222.43589743589729</v>
      </c>
      <c r="BE98" s="14">
        <f>BD98*VLOOKUP('Données projet'!$B$11,Paramètres!$A$1:$I$89,3,0)*VLOOKUP('Données projet'!$B$11,Paramètres!$A$1:$I$89,5,0)</f>
        <v>211.66999999999987</v>
      </c>
      <c r="BF98" s="14">
        <f t="shared" si="91"/>
        <v>52.300354309361161</v>
      </c>
      <c r="BG98" s="22">
        <f t="shared" si="61"/>
        <v>459.74836708880383</v>
      </c>
      <c r="BH98" s="60">
        <f t="shared" si="62"/>
        <v>735.69581300756977</v>
      </c>
      <c r="BI98" s="60">
        <f ca="1">AVERAGE(OFFSET($BH$3,0,0,'Données projet'!$E$11+1,1))-AVERAGE(OFFSET($H$3,0,0,'Données projet'!$E$11+1,1))</f>
        <v>366.21371543563254</v>
      </c>
      <c r="BJ98" s="60">
        <f t="shared" si="92"/>
        <v>237.43356317334084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23.717948717948715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3.4615384615384643</v>
      </c>
      <c r="BY98" s="13">
        <f>IF('Données projet'!$A$114&gt;35,BY97+BX98-CG97,IF(A98&lt;'Données projet'!$A$114,$BV$205^A98,IF(A98='Données projet'!$A$114,'Données projet'!$B$114,BY97+BX98-CG97)))</f>
        <v>302.56410256410243</v>
      </c>
      <c r="BZ98" s="14">
        <f>BY98*VLOOKUP('Données projet'!$B$12,Paramètres!$A$1:$I$89,3,0)*VLOOKUP('Données projet'!$B$12,Paramètres!$A$1:$I$89,5,0)</f>
        <v>316.2399999999999</v>
      </c>
      <c r="CA98" s="14">
        <f t="shared" si="93"/>
        <v>74.570475181126611</v>
      </c>
      <c r="CB98" s="22">
        <f t="shared" si="64"/>
        <v>680.66157760712861</v>
      </c>
      <c r="CC98" s="60">
        <f t="shared" si="65"/>
        <v>956.6090235258946</v>
      </c>
      <c r="CD98" s="60">
        <f ca="1">AVERAGE(OFFSET($CC$3,0,0,'Données projet'!$E$12+1,1))-AVERAGE(OFFSET($H$3,0,0,'Données projet'!$E$12+1,1))</f>
        <v>530.79860063513229</v>
      </c>
      <c r="CE98" s="60">
        <f t="shared" si="94"/>
        <v>302.50876440460434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251.98679999999993</v>
      </c>
      <c r="CV98" s="14">
        <f t="shared" si="95"/>
        <v>61.011187970195053</v>
      </c>
      <c r="CW98" s="22">
        <f t="shared" si="67"/>
        <v>545.13816238142283</v>
      </c>
      <c r="CX98" s="60">
        <f t="shared" si="68"/>
        <v>821.08560830018882</v>
      </c>
      <c r="CY98" s="60">
        <f ca="1">AVERAGE(OFFSET($CX$3,0,0,'Données projet'!$E$13+1,1))-AVERAGE(OFFSET($H$3,0,0,'Données projet'!$E$13+1,1))</f>
        <v>469.67944008675863</v>
      </c>
      <c r="CZ98" s="60">
        <f t="shared" si="96"/>
        <v>266.11908070867173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4.9000000000000004</v>
      </c>
      <c r="DO98" s="13">
        <f>IF('Données projet'!$A$166&gt;35,DO97+DN98-DW97,IF(A98&lt;'Données projet'!$A$166,$DL$205^A98,IF(A98='Données projet'!$A$166,'Données projet'!$B$166,DO97+DN98-DW97)))</f>
        <v>278.49999999999994</v>
      </c>
      <c r="DP98" s="18">
        <f>DO98*VLOOKUP('Données projet'!$B$14,Paramètres!$A$1:$I$89,3,0)*VLOOKUP('Données projet'!$B$14,Paramètres!$A$1:$I$89,5,0)</f>
        <v>299.77739999999989</v>
      </c>
      <c r="DQ98" s="14">
        <f t="shared" si="97"/>
        <v>71.129795949749251</v>
      </c>
      <c r="DR98" s="22">
        <f t="shared" si="70"/>
        <v>645.9966996124798</v>
      </c>
      <c r="DS98" s="60">
        <f t="shared" si="71"/>
        <v>921.94414553124579</v>
      </c>
      <c r="DT98" s="60">
        <f ca="1">AVERAGE(OFFSET($DS$3,0,0,'Données projet'!$E$14+1,1))-AVERAGE(OFFSET($H$3,0,0,'Données projet'!$E$14+1,1))</f>
        <v>542.90832990875208</v>
      </c>
      <c r="DU98" s="60">
        <f t="shared" si="98"/>
        <v>304.94365539329362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5.6843418860808015E-14</v>
      </c>
      <c r="EK98" s="18">
        <f>EJ98*VLOOKUP('Données projet'!$B$15,Paramètres!$A$1:$I$89,3,0)*VLOOKUP('Données projet'!$B$15,Paramètres!$A$1:$I$89,5,0)</f>
        <v>4.5224624045658861E-14</v>
      </c>
      <c r="EL98" s="14">
        <f t="shared" si="99"/>
        <v>7.4514601661523691E-13</v>
      </c>
      <c r="EM98" s="22">
        <f t="shared" si="73"/>
        <v>1.3765621991510601E-12</v>
      </c>
      <c r="EN98" s="60">
        <f t="shared" si="74"/>
        <v>275.9474459187673</v>
      </c>
      <c r="EO98" s="60">
        <f ca="1">AVERAGE(OFFSET($EN$3,0,0,'Données projet'!$E$15+1,1))-AVERAGE(OFFSET($H$3,0,0,'Données projet'!$E$15+1,1))</f>
        <v>273.72403794510291</v>
      </c>
      <c r="EP98" s="60">
        <f t="shared" si="100"/>
        <v>292.00185554564109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5.6843418860808015E-14</v>
      </c>
      <c r="FF98" s="18">
        <f>FE98*VLOOKUP('Données projet'!$B$16,Paramètres!$A$1:$I$89,3,0)*VLOOKUP('Données projet'!$B$16,Paramètres!$A$1:$I$89,5,0)</f>
        <v>4.4337866711430253E-14</v>
      </c>
      <c r="FG98" s="14">
        <f t="shared" si="101"/>
        <v>7.3222115536967035E-13</v>
      </c>
      <c r="FH98" s="22">
        <f t="shared" si="76"/>
        <v>1.3525069634579169E-12</v>
      </c>
      <c r="FI98" s="60">
        <f t="shared" si="77"/>
        <v>275.9474459187673</v>
      </c>
      <c r="FJ98" s="60">
        <f ca="1">AVERAGE(OFFSET($FI$3,0,0,'Données projet'!$E$16+1,1))-AVERAGE(OFFSET($H$3,0,0,'Données projet'!$E$16+1,1))</f>
        <v>309.21625451786218</v>
      </c>
      <c r="FK98" s="60">
        <f t="shared" si="102"/>
        <v>302.59481222418219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>
        <f>FZ98*VLOOKUP('Données projet'!$B$17,Paramètres!$A$1:$I$89,3,0)*VLOOKUP('Données projet'!$B$17,Paramètres!$A$1:$I$89,5,0)</f>
        <v>0</v>
      </c>
      <c r="GB98" s="14" t="e">
        <f t="shared" si="103"/>
        <v>#NUM!</v>
      </c>
      <c r="GC98" s="22" t="e">
        <f t="shared" si="79"/>
        <v>#NUM!</v>
      </c>
      <c r="GD98" s="60" t="e">
        <f t="shared" si="80"/>
        <v>#NUM!</v>
      </c>
      <c r="GE98" s="60">
        <f ca="1">AVERAGE(OFFSET($GD$3,0,0,'Données projet'!$E$17+1,1))-AVERAGE(OFFSET($H$3,0,0,'Données projet'!$E$17+1,1))</f>
        <v>216.36762889365235</v>
      </c>
      <c r="GF98" s="60">
        <f t="shared" si="104"/>
        <v>333.29599352215496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3.7265627401269628</v>
      </c>
      <c r="GM98" s="23">
        <f>EXP(-LN(2)/25)*GM97+(1-EXP(-LN(2)/25))/(LN(2)/25)*Calculateur!GH98*Calculateur!GJ98*VLOOKUP('Données projet'!$B$17,Paramètres!$A$1:$I$89,3,0)*0.475*44/12</f>
        <v>1.6080535515135421</v>
      </c>
      <c r="GN98" s="23">
        <f>EXP(-LN(2)/2)*GN97+(1-EXP(-LN(2)/2))/(LN(2)/2)*GH98*GK98*VLOOKUP('Données projet'!$B$17,Paramètres!$A$1:$I$89,3,0)*0.475*44/12</f>
        <v>4.8146644969862077E-10</v>
      </c>
      <c r="GO98" s="23">
        <f t="shared" si="81"/>
        <v>5.3346162921219715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4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274.10447999999991</v>
      </c>
      <c r="P99" s="14">
        <f t="shared" si="87"/>
        <v>65.719577181765516</v>
      </c>
      <c r="Q99" s="22">
        <f t="shared" ref="Q99:Q130" si="107">(O99+P99)*0.475*44/12</f>
        <v>591.86023292490802</v>
      </c>
      <c r="R99" s="60">
        <f t="shared" si="55"/>
        <v>868.10928512129544</v>
      </c>
      <c r="S99" s="60">
        <f ca="1">AVERAGE(OFFSET($R$3,0,0,'Données projet'!$E$9+1,1))-AVERAGE(OFFSET($H$3,0,0,'Données projet'!$E$9+1,1))</f>
        <v>496.33873798282525</v>
      </c>
      <c r="T99" s="60">
        <f t="shared" si="88"/>
        <v>280.25465074992246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8.271153846153851</v>
      </c>
      <c r="AI99" s="14">
        <f>IF('Données projet'!$A$62&gt;35,AI98+AH99-AQ98,IF(A99&lt;'Données projet'!$A$62,$AF$205^A99,IF(A99='Données projet'!$A$62,'Données projet'!$B$62,AI98+AH99-AQ98)))</f>
        <v>373.05576923076944</v>
      </c>
      <c r="AJ99" s="14">
        <f>AI99*VLOOKUP('Données projet'!$B$10,Paramètres!$A$1:$I$89,3,0)*VLOOKUP('Données projet'!$B$10,Paramètres!$A$1:$I$89,5,0)</f>
        <v>174.59010000000012</v>
      </c>
      <c r="AK99" s="14">
        <f t="shared" si="89"/>
        <v>44.116453815589544</v>
      </c>
      <c r="AL99" s="22">
        <f t="shared" si="58"/>
        <v>380.913914562152</v>
      </c>
      <c r="AM99" s="60">
        <f t="shared" si="59"/>
        <v>657.16296675853937</v>
      </c>
      <c r="AN99" s="60">
        <f ca="1">AVERAGE(OFFSET($AM$3,0,0,'Données projet'!$E$10+1,1))-AVERAGE(OFFSET($H$3,0,0,'Données projet'!$E$10+1,1))</f>
        <v>277.7918215389401</v>
      </c>
      <c r="AO99" s="60">
        <f t="shared" si="90"/>
        <v>164.65640238394164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3.2051282051281986</v>
      </c>
      <c r="BD99" s="13">
        <f>IF('Données projet'!$A$88&gt;35,BD98+BC99-BL98,IF(A99&lt;'Données projet'!$A$88,$BA$205^A99,IF(A99='Données projet'!$A$88,'Données projet'!$B$88,BD98+BC99-BL98)))</f>
        <v>201.92307692307679</v>
      </c>
      <c r="BE99" s="14">
        <f>BD99*VLOOKUP('Données projet'!$B$11,Paramètres!$A$1:$I$89,3,0)*VLOOKUP('Données projet'!$B$11,Paramètres!$A$1:$I$89,5,0)</f>
        <v>192.14999999999986</v>
      </c>
      <c r="BF99" s="14">
        <f t="shared" si="91"/>
        <v>48.014975590181486</v>
      </c>
      <c r="BG99" s="22">
        <f t="shared" si="61"/>
        <v>418.28733248623251</v>
      </c>
      <c r="BH99" s="60">
        <f t="shared" si="62"/>
        <v>694.53638468261988</v>
      </c>
      <c r="BI99" s="60">
        <f ca="1">AVERAGE(OFFSET($BH$3,0,0,'Données projet'!$E$11+1,1))-AVERAGE(OFFSET($H$3,0,0,'Données projet'!$E$11+1,1))</f>
        <v>366.21371543563254</v>
      </c>
      <c r="BJ99" s="60">
        <f t="shared" si="92"/>
        <v>237.43356317334084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3.4615384615384643</v>
      </c>
      <c r="BY99" s="13">
        <f>IF('Données projet'!$A$114&gt;35,BY98+BX99-CG98,IF(A99&lt;'Données projet'!$A$114,$BV$205^A99,IF(A99='Données projet'!$A$114,'Données projet'!$B$114,BY98+BX99-CG98)))</f>
        <v>306.02564102564088</v>
      </c>
      <c r="BZ99" s="14">
        <f>BY99*VLOOKUP('Données projet'!$B$12,Paramètres!$A$1:$I$89,3,0)*VLOOKUP('Données projet'!$B$12,Paramètres!$A$1:$I$89,5,0)</f>
        <v>319.85799999999989</v>
      </c>
      <c r="CA99" s="14">
        <f t="shared" si="93"/>
        <v>75.323807038056458</v>
      </c>
      <c r="CB99" s="22">
        <f t="shared" si="64"/>
        <v>688.27498059128141</v>
      </c>
      <c r="CC99" s="60">
        <f t="shared" si="65"/>
        <v>964.52403278766883</v>
      </c>
      <c r="CD99" s="60">
        <f ca="1">AVERAGE(OFFSET($CC$3,0,0,'Données projet'!$E$12+1,1))-AVERAGE(OFFSET($H$3,0,0,'Données projet'!$E$12+1,1))</f>
        <v>530.79860063513229</v>
      </c>
      <c r="CE99" s="60">
        <f t="shared" si="94"/>
        <v>302.50876440460434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256.42031999999989</v>
      </c>
      <c r="CV99" s="14">
        <f t="shared" si="95"/>
        <v>61.958720258016918</v>
      </c>
      <c r="CW99" s="22">
        <f t="shared" si="67"/>
        <v>554.51016178271254</v>
      </c>
      <c r="CX99" s="60">
        <f t="shared" si="68"/>
        <v>830.75921397909997</v>
      </c>
      <c r="CY99" s="60">
        <f ca="1">AVERAGE(OFFSET($CX$3,0,0,'Données projet'!$E$13+1,1))-AVERAGE(OFFSET($H$3,0,0,'Données projet'!$E$13+1,1))</f>
        <v>469.67944008675863</v>
      </c>
      <c r="CZ99" s="60">
        <f t="shared" si="96"/>
        <v>266.11908070867173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4.9000000000000004</v>
      </c>
      <c r="DO99" s="13">
        <f>IF('Données projet'!$A$166&gt;35,DO98+DN99-DW98,IF(A99&lt;'Données projet'!$A$166,$DL$205^A99,IF(A99='Données projet'!$A$166,'Données projet'!$B$166,DO98+DN99-DW98)))</f>
        <v>283.39999999999992</v>
      </c>
      <c r="DP99" s="18">
        <f>DO99*VLOOKUP('Données projet'!$B$14,Paramètres!$A$1:$I$89,3,0)*VLOOKUP('Données projet'!$B$14,Paramètres!$A$1:$I$89,5,0)</f>
        <v>305.05175999999989</v>
      </c>
      <c r="DQ99" s="14">
        <f t="shared" si="97"/>
        <v>72.23447495258219</v>
      </c>
      <c r="DR99" s="22">
        <f t="shared" si="70"/>
        <v>657.10685920908043</v>
      </c>
      <c r="DS99" s="60">
        <f t="shared" si="71"/>
        <v>933.35591140546785</v>
      </c>
      <c r="DT99" s="60">
        <f ca="1">AVERAGE(OFFSET($DS$3,0,0,'Données projet'!$E$14+1,1))-AVERAGE(OFFSET($H$3,0,0,'Données projet'!$E$14+1,1))</f>
        <v>542.90832990875208</v>
      </c>
      <c r="DU99" s="60">
        <f t="shared" si="98"/>
        <v>304.94365539329362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5.6843418860808015E-14</v>
      </c>
      <c r="EK99" s="18">
        <f>EJ99*VLOOKUP('Données projet'!$B$15,Paramètres!$A$1:$I$89,3,0)*VLOOKUP('Données projet'!$B$15,Paramètres!$A$1:$I$89,5,0)</f>
        <v>4.5224624045658861E-14</v>
      </c>
      <c r="EL99" s="14">
        <f t="shared" si="99"/>
        <v>7.4514601661523691E-13</v>
      </c>
      <c r="EM99" s="22">
        <f t="shared" si="73"/>
        <v>1.3765621991510601E-12</v>
      </c>
      <c r="EN99" s="60">
        <f t="shared" si="74"/>
        <v>276.24905219638879</v>
      </c>
      <c r="EO99" s="60">
        <f ca="1">AVERAGE(OFFSET($EN$3,0,0,'Données projet'!$E$15+1,1))-AVERAGE(OFFSET($H$3,0,0,'Données projet'!$E$15+1,1))</f>
        <v>273.72403794510291</v>
      </c>
      <c r="EP99" s="60">
        <f t="shared" si="100"/>
        <v>292.00185554564109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5.6843418860808015E-14</v>
      </c>
      <c r="FF99" s="18">
        <f>FE99*VLOOKUP('Données projet'!$B$16,Paramètres!$A$1:$I$89,3,0)*VLOOKUP('Données projet'!$B$16,Paramètres!$A$1:$I$89,5,0)</f>
        <v>4.4337866711430253E-14</v>
      </c>
      <c r="FG99" s="14">
        <f t="shared" si="101"/>
        <v>7.3222115536967035E-13</v>
      </c>
      <c r="FH99" s="22">
        <f t="shared" si="76"/>
        <v>1.3525069634579169E-12</v>
      </c>
      <c r="FI99" s="60">
        <f t="shared" si="77"/>
        <v>276.24905219638879</v>
      </c>
      <c r="FJ99" s="60">
        <f ca="1">AVERAGE(OFFSET($FI$3,0,0,'Données projet'!$E$16+1,1))-AVERAGE(OFFSET($H$3,0,0,'Données projet'!$E$16+1,1))</f>
        <v>309.21625451786218</v>
      </c>
      <c r="FK99" s="60">
        <f t="shared" si="102"/>
        <v>302.59481222418219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>
        <f>FZ99*VLOOKUP('Données projet'!$B$17,Paramètres!$A$1:$I$89,3,0)*VLOOKUP('Données projet'!$B$17,Paramètres!$A$1:$I$89,5,0)</f>
        <v>0</v>
      </c>
      <c r="GB99" s="14" t="e">
        <f t="shared" si="103"/>
        <v>#NUM!</v>
      </c>
      <c r="GC99" s="22" t="e">
        <f t="shared" si="79"/>
        <v>#NUM!</v>
      </c>
      <c r="GD99" s="60" t="e">
        <f t="shared" si="80"/>
        <v>#NUM!</v>
      </c>
      <c r="GE99" s="60">
        <f ca="1">AVERAGE(OFFSET($GD$3,0,0,'Données projet'!$E$17+1,1))-AVERAGE(OFFSET($H$3,0,0,'Données projet'!$E$17+1,1))</f>
        <v>216.36762889365235</v>
      </c>
      <c r="GF99" s="60">
        <f t="shared" si="104"/>
        <v>333.29599352215496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3.6534871177719066</v>
      </c>
      <c r="GM99" s="23">
        <f>EXP(-LN(2)/25)*GM98+(1-EXP(-LN(2)/25))/(LN(2)/25)*Calculateur!GH99*Calculateur!GJ99*VLOOKUP('Données projet'!$B$17,Paramètres!$A$1:$I$89,3,0)*0.475*44/12</f>
        <v>1.5640812425835433</v>
      </c>
      <c r="GN99" s="23">
        <f>EXP(-LN(2)/2)*GN98+(1-EXP(-LN(2)/2))/(LN(2)/2)*GH99*GK99*VLOOKUP('Données projet'!$B$17,Paramètres!$A$1:$I$89,3,0)*0.475*44/12</f>
        <v>3.4044819149570654E-10</v>
      </c>
      <c r="GO99" s="23">
        <f t="shared" si="81"/>
        <v>5.2175683606958989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4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278.84375999999992</v>
      </c>
      <c r="P100" s="14">
        <f t="shared" si="87"/>
        <v>66.722603316177725</v>
      </c>
      <c r="Q100" s="22">
        <f t="shared" si="107"/>
        <v>601.86141610900938</v>
      </c>
      <c r="R100" s="60">
        <f t="shared" si="55"/>
        <v>878.40684238839219</v>
      </c>
      <c r="S100" s="60">
        <f ca="1">AVERAGE(OFFSET($R$3,0,0,'Données projet'!$E$9+1,1))-AVERAGE(OFFSET($H$3,0,0,'Données projet'!$E$9+1,1))</f>
        <v>496.33873798282525</v>
      </c>
      <c r="T100" s="60">
        <f t="shared" si="88"/>
        <v>280.25465074992246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8.271153846153851</v>
      </c>
      <c r="AI100" s="14">
        <f>IF('Données projet'!$A$62&gt;35,AI99+AH100-AQ99,IF(A100&lt;'Données projet'!$A$62,$AF$205^A100,IF(A100='Données projet'!$A$62,'Données projet'!$B$62,AI99+AH100-AQ99)))</f>
        <v>381.32692307692332</v>
      </c>
      <c r="AJ100" s="14">
        <f>AI100*VLOOKUP('Données projet'!$B$10,Paramètres!$A$1:$I$89,3,0)*VLOOKUP('Données projet'!$B$10,Paramètres!$A$1:$I$89,5,0)</f>
        <v>178.46100000000013</v>
      </c>
      <c r="AK100" s="14">
        <f t="shared" si="89"/>
        <v>44.979616095143392</v>
      </c>
      <c r="AL100" s="22">
        <f t="shared" si="58"/>
        <v>389.15907303237492</v>
      </c>
      <c r="AM100" s="60">
        <f t="shared" si="59"/>
        <v>665.70449931175767</v>
      </c>
      <c r="AN100" s="60">
        <f ca="1">AVERAGE(OFFSET($AM$3,0,0,'Données projet'!$E$10+1,1))-AVERAGE(OFFSET($H$3,0,0,'Données projet'!$E$10+1,1))</f>
        <v>277.7918215389401</v>
      </c>
      <c r="AO100" s="60">
        <f t="shared" si="90"/>
        <v>164.65640238394164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3.2051282051281986</v>
      </c>
      <c r="BD100" s="13">
        <f>IF('Données projet'!$A$88&gt;35,BD99+BC100-BL99,IF(A100&lt;'Données projet'!$A$88,$BA$205^A100,IF(A100='Données projet'!$A$88,'Données projet'!$B$88,BD99+BC100-BL99)))</f>
        <v>205.128205128205</v>
      </c>
      <c r="BE100" s="14">
        <f>BD100*VLOOKUP('Données projet'!$B$11,Paramètres!$A$1:$I$89,3,0)*VLOOKUP('Données projet'!$B$11,Paramètres!$A$1:$I$89,5,0)</f>
        <v>195.19999999999987</v>
      </c>
      <c r="BF100" s="14">
        <f t="shared" si="91"/>
        <v>48.687786200420049</v>
      </c>
      <c r="BG100" s="22">
        <f t="shared" si="61"/>
        <v>424.77122763239805</v>
      </c>
      <c r="BH100" s="60">
        <f t="shared" si="62"/>
        <v>701.3166539117808</v>
      </c>
      <c r="BI100" s="60">
        <f ca="1">AVERAGE(OFFSET($BH$3,0,0,'Données projet'!$E$11+1,1))-AVERAGE(OFFSET($H$3,0,0,'Données projet'!$E$11+1,1))</f>
        <v>366.21371543563254</v>
      </c>
      <c r="BJ100" s="60">
        <f t="shared" si="92"/>
        <v>237.43356317334084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3.4615384615384643</v>
      </c>
      <c r="BY100" s="13">
        <f>IF('Données projet'!$A$114&gt;35,BY99+BX100-CG99,IF(A100&lt;'Données projet'!$A$114,$BV$205^A100,IF(A100='Données projet'!$A$114,'Données projet'!$B$114,BY99+BX100-CG99)))</f>
        <v>309.48717948717933</v>
      </c>
      <c r="BZ100" s="14">
        <f>BY100*VLOOKUP('Données projet'!$B$12,Paramètres!$A$1:$I$89,3,0)*VLOOKUP('Données projet'!$B$12,Paramètres!$A$1:$I$89,5,0)</f>
        <v>323.47599999999983</v>
      </c>
      <c r="CA100" s="14">
        <f t="shared" si="93"/>
        <v>76.07614766465899</v>
      </c>
      <c r="CB100" s="22">
        <f t="shared" si="64"/>
        <v>695.88665718261416</v>
      </c>
      <c r="CC100" s="60">
        <f t="shared" si="65"/>
        <v>972.43208346199697</v>
      </c>
      <c r="CD100" s="60">
        <f ca="1">AVERAGE(OFFSET($CC$3,0,0,'Données projet'!$E$12+1,1))-AVERAGE(OFFSET($H$3,0,0,'Données projet'!$E$12+1,1))</f>
        <v>530.79860063513229</v>
      </c>
      <c r="CE100" s="60">
        <f t="shared" si="94"/>
        <v>302.50876440460434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260.85383999999993</v>
      </c>
      <c r="CV100" s="14">
        <f t="shared" si="95"/>
        <v>62.904347395903763</v>
      </c>
      <c r="CW100" s="22">
        <f t="shared" si="67"/>
        <v>563.87884304786564</v>
      </c>
      <c r="CX100" s="60">
        <f t="shared" si="68"/>
        <v>840.42426932724845</v>
      </c>
      <c r="CY100" s="60">
        <f ca="1">AVERAGE(OFFSET($CX$3,0,0,'Données projet'!$E$13+1,1))-AVERAGE(OFFSET($H$3,0,0,'Données projet'!$E$13+1,1))</f>
        <v>469.67944008675863</v>
      </c>
      <c r="CZ100" s="60">
        <f t="shared" si="96"/>
        <v>266.11908070867173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4.9000000000000004</v>
      </c>
      <c r="DO100" s="13">
        <f>IF('Données projet'!$A$166&gt;35,DO99+DN100-DW99,IF(A100&lt;'Données projet'!$A$166,$DL$205^A100,IF(A100='Données projet'!$A$166,'Données projet'!$B$166,DO99+DN100-DW99)))</f>
        <v>288.2999999999999</v>
      </c>
      <c r="DP100" s="18">
        <f>DO100*VLOOKUP('Données projet'!$B$14,Paramètres!$A$1:$I$89,3,0)*VLOOKUP('Données projet'!$B$14,Paramètres!$A$1:$I$89,5,0)</f>
        <v>310.32611999999989</v>
      </c>
      <c r="DQ100" s="14">
        <f t="shared" si="97"/>
        <v>73.336932839409357</v>
      </c>
      <c r="DR100" s="22">
        <f t="shared" si="70"/>
        <v>668.21315036197109</v>
      </c>
      <c r="DS100" s="60">
        <f t="shared" si="71"/>
        <v>944.7585766413539</v>
      </c>
      <c r="DT100" s="60">
        <f ca="1">AVERAGE(OFFSET($DS$3,0,0,'Données projet'!$E$14+1,1))-AVERAGE(OFFSET($H$3,0,0,'Données projet'!$E$14+1,1))</f>
        <v>542.90832990875208</v>
      </c>
      <c r="DU100" s="60">
        <f t="shared" si="98"/>
        <v>304.94365539329362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5.6843418860808015E-14</v>
      </c>
      <c r="EK100" s="18">
        <f>EJ100*VLOOKUP('Données projet'!$B$15,Paramètres!$A$1:$I$89,3,0)*VLOOKUP('Données projet'!$B$15,Paramètres!$A$1:$I$89,5,0)</f>
        <v>4.5224624045658861E-14</v>
      </c>
      <c r="EL100" s="14">
        <f t="shared" si="99"/>
        <v>7.4514601661523691E-13</v>
      </c>
      <c r="EM100" s="22">
        <f t="shared" si="73"/>
        <v>1.3765621991510601E-12</v>
      </c>
      <c r="EN100" s="60">
        <f t="shared" si="74"/>
        <v>276.54542627938417</v>
      </c>
      <c r="EO100" s="60">
        <f ca="1">AVERAGE(OFFSET($EN$3,0,0,'Données projet'!$E$15+1,1))-AVERAGE(OFFSET($H$3,0,0,'Données projet'!$E$15+1,1))</f>
        <v>273.72403794510291</v>
      </c>
      <c r="EP100" s="60">
        <f t="shared" si="100"/>
        <v>292.00185554564109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5.6843418860808015E-14</v>
      </c>
      <c r="FF100" s="18">
        <f>FE100*VLOOKUP('Données projet'!$B$16,Paramètres!$A$1:$I$89,3,0)*VLOOKUP('Données projet'!$B$16,Paramètres!$A$1:$I$89,5,0)</f>
        <v>4.4337866711430253E-14</v>
      </c>
      <c r="FG100" s="14">
        <f t="shared" si="101"/>
        <v>7.3222115536967035E-13</v>
      </c>
      <c r="FH100" s="22">
        <f t="shared" si="76"/>
        <v>1.3525069634579169E-12</v>
      </c>
      <c r="FI100" s="60">
        <f t="shared" si="77"/>
        <v>276.54542627938417</v>
      </c>
      <c r="FJ100" s="60">
        <f ca="1">AVERAGE(OFFSET($FI$3,0,0,'Données projet'!$E$16+1,1))-AVERAGE(OFFSET($H$3,0,0,'Données projet'!$E$16+1,1))</f>
        <v>309.21625451786218</v>
      </c>
      <c r="FK100" s="60">
        <f t="shared" si="102"/>
        <v>302.59481222418219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>
        <f>FZ100*VLOOKUP('Données projet'!$B$17,Paramètres!$A$1:$I$89,3,0)*VLOOKUP('Données projet'!$B$17,Paramètres!$A$1:$I$89,5,0)</f>
        <v>0</v>
      </c>
      <c r="GB100" s="14" t="e">
        <f t="shared" si="103"/>
        <v>#NUM!</v>
      </c>
      <c r="GC100" s="22" t="e">
        <f t="shared" si="79"/>
        <v>#NUM!</v>
      </c>
      <c r="GD100" s="60" t="e">
        <f t="shared" si="80"/>
        <v>#NUM!</v>
      </c>
      <c r="GE100" s="60">
        <f ca="1">AVERAGE(OFFSET($GD$3,0,0,'Données projet'!$E$17+1,1))-AVERAGE(OFFSET($H$3,0,0,'Données projet'!$E$17+1,1))</f>
        <v>216.36762889365235</v>
      </c>
      <c r="GF100" s="60">
        <f t="shared" si="104"/>
        <v>333.29599352215496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3.5818444637995044</v>
      </c>
      <c r="GM100" s="23">
        <f>EXP(-LN(2)/25)*GM99+(1-EXP(-LN(2)/25))/(LN(2)/25)*Calculateur!GH100*Calculateur!GJ100*VLOOKUP('Données projet'!$B$17,Paramètres!$A$1:$I$89,3,0)*0.475*44/12</f>
        <v>1.5213113587536384</v>
      </c>
      <c r="GN100" s="23">
        <f>EXP(-LN(2)/2)*GN99+(1-EXP(-LN(2)/2))/(LN(2)/2)*GH100*GK100*VLOOKUP('Données projet'!$B$17,Paramètres!$A$1:$I$89,3,0)*0.475*44/12</f>
        <v>2.4073322484931039E-10</v>
      </c>
      <c r="GO100" s="23">
        <f t="shared" si="81"/>
        <v>5.1031558227938767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4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283.58303999999993</v>
      </c>
      <c r="P101" s="14">
        <f t="shared" si="87"/>
        <v>67.723646968605209</v>
      </c>
      <c r="Q101" s="22">
        <f t="shared" si="107"/>
        <v>611.85914647032064</v>
      </c>
      <c r="R101" s="60">
        <f t="shared" si="55"/>
        <v>888.69580540495201</v>
      </c>
      <c r="S101" s="60">
        <f ca="1">AVERAGE(OFFSET($R$3,0,0,'Données projet'!$E$9+1,1))-AVERAGE(OFFSET($H$3,0,0,'Données projet'!$E$9+1,1))</f>
        <v>496.33873798282525</v>
      </c>
      <c r="T101" s="60">
        <f t="shared" si="88"/>
        <v>280.25465074992246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8.271153846153851</v>
      </c>
      <c r="AI101" s="14">
        <f>IF('Données projet'!$A$62&gt;35,AI100+AH101-AQ100,IF(A101&lt;'Données projet'!$A$62,$AF$205^A101,IF(A101='Données projet'!$A$62,'Données projet'!$B$62,AI100+AH101-AQ100)))</f>
        <v>389.5980769230772</v>
      </c>
      <c r="AJ101" s="14">
        <f>AI101*VLOOKUP('Données projet'!$B$10,Paramètres!$A$1:$I$89,3,0)*VLOOKUP('Données projet'!$B$10,Paramètres!$A$1:$I$89,5,0)</f>
        <v>182.33190000000013</v>
      </c>
      <c r="AK101" s="14">
        <f t="shared" si="89"/>
        <v>45.840601657901161</v>
      </c>
      <c r="AL101" s="22">
        <f t="shared" si="58"/>
        <v>397.40044038751142</v>
      </c>
      <c r="AM101" s="60">
        <f t="shared" si="59"/>
        <v>674.23709932214274</v>
      </c>
      <c r="AN101" s="60">
        <f ca="1">AVERAGE(OFFSET($AM$3,0,0,'Données projet'!$E$10+1,1))-AVERAGE(OFFSET($H$3,0,0,'Données projet'!$E$10+1,1))</f>
        <v>277.7918215389401</v>
      </c>
      <c r="AO101" s="60">
        <f t="shared" si="90"/>
        <v>164.65640238394164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3.2051282051281986</v>
      </c>
      <c r="BD101" s="13">
        <f>IF('Données projet'!$A$88&gt;35,BD100+BC101-BL100,IF(A101&lt;'Données projet'!$A$88,$BA$205^A101,IF(A101='Données projet'!$A$88,'Données projet'!$B$88,BD100+BC101-BL100)))</f>
        <v>208.3333333333332</v>
      </c>
      <c r="BE101" s="14">
        <f>BD101*VLOOKUP('Données projet'!$B$11,Paramètres!$A$1:$I$89,3,0)*VLOOKUP('Données projet'!$B$11,Paramètres!$A$1:$I$89,5,0)</f>
        <v>198.24999999999986</v>
      </c>
      <c r="BF101" s="14">
        <f t="shared" si="91"/>
        <v>49.359374195866835</v>
      </c>
      <c r="BG101" s="22">
        <f t="shared" si="61"/>
        <v>431.25299339113445</v>
      </c>
      <c r="BH101" s="60">
        <f t="shared" si="62"/>
        <v>708.08965232576588</v>
      </c>
      <c r="BI101" s="60">
        <f ca="1">AVERAGE(OFFSET($BH$3,0,0,'Données projet'!$E$11+1,1))-AVERAGE(OFFSET($H$3,0,0,'Données projet'!$E$11+1,1))</f>
        <v>366.21371543563254</v>
      </c>
      <c r="BJ101" s="60">
        <f t="shared" si="92"/>
        <v>237.43356317334084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3.4615384615384643</v>
      </c>
      <c r="BY101" s="13">
        <f>IF('Données projet'!$A$114&gt;35,BY100+BX101-CG100,IF(A101&lt;'Données projet'!$A$114,$BV$205^A101,IF(A101='Données projet'!$A$114,'Données projet'!$B$114,BY100+BX101-CG100)))</f>
        <v>312.94871794871779</v>
      </c>
      <c r="BZ101" s="14">
        <f>BY101*VLOOKUP('Données projet'!$B$12,Paramètres!$A$1:$I$89,3,0)*VLOOKUP('Données projet'!$B$12,Paramètres!$A$1:$I$89,5,0)</f>
        <v>327.09399999999988</v>
      </c>
      <c r="CA101" s="14">
        <f t="shared" si="93"/>
        <v>76.827509430556432</v>
      </c>
      <c r="CB101" s="22">
        <f t="shared" si="64"/>
        <v>703.4966289248855</v>
      </c>
      <c r="CC101" s="60">
        <f t="shared" si="65"/>
        <v>980.33328785951687</v>
      </c>
      <c r="CD101" s="60">
        <f ca="1">AVERAGE(OFFSET($CC$3,0,0,'Données projet'!$E$12+1,1))-AVERAGE(OFFSET($H$3,0,0,'Données projet'!$E$12+1,1))</f>
        <v>530.79860063513229</v>
      </c>
      <c r="CE101" s="60">
        <f t="shared" si="94"/>
        <v>302.50876440460434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265.28735999999992</v>
      </c>
      <c r="CV101" s="14">
        <f t="shared" si="95"/>
        <v>63.84810550096995</v>
      </c>
      <c r="CW101" s="22">
        <f t="shared" si="67"/>
        <v>573.24426908085582</v>
      </c>
      <c r="CX101" s="60">
        <f t="shared" si="68"/>
        <v>850.08092801548719</v>
      </c>
      <c r="CY101" s="60">
        <f ca="1">AVERAGE(OFFSET($CX$3,0,0,'Données projet'!$E$13+1,1))-AVERAGE(OFFSET($H$3,0,0,'Données projet'!$E$13+1,1))</f>
        <v>469.67944008675863</v>
      </c>
      <c r="CZ101" s="60">
        <f t="shared" si="96"/>
        <v>266.11908070867173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4.9000000000000004</v>
      </c>
      <c r="DO101" s="13">
        <f>IF('Données projet'!$A$166&gt;35,DO100+DN101-DW100,IF(A101&lt;'Données projet'!$A$166,$DL$205^A101,IF(A101='Données projet'!$A$166,'Données projet'!$B$166,DO100+DN101-DW100)))</f>
        <v>293.19999999999987</v>
      </c>
      <c r="DP101" s="18">
        <f>DO101*VLOOKUP('Données projet'!$B$14,Paramètres!$A$1:$I$89,3,0)*VLOOKUP('Données projet'!$B$14,Paramètres!$A$1:$I$89,5,0)</f>
        <v>315.60047999999989</v>
      </c>
      <c r="DQ101" s="14">
        <f t="shared" si="97"/>
        <v>74.437211717310802</v>
      </c>
      <c r="DR101" s="22">
        <f t="shared" si="70"/>
        <v>679.31564640764952</v>
      </c>
      <c r="DS101" s="60">
        <f t="shared" si="71"/>
        <v>956.1523053422809</v>
      </c>
      <c r="DT101" s="60">
        <f ca="1">AVERAGE(OFFSET($DS$3,0,0,'Données projet'!$E$14+1,1))-AVERAGE(OFFSET($H$3,0,0,'Données projet'!$E$14+1,1))</f>
        <v>542.90832990875208</v>
      </c>
      <c r="DU101" s="60">
        <f t="shared" si="98"/>
        <v>304.94365539329362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5.6843418860808015E-14</v>
      </c>
      <c r="EK101" s="18">
        <f>EJ101*VLOOKUP('Données projet'!$B$15,Paramètres!$A$1:$I$89,3,0)*VLOOKUP('Données projet'!$B$15,Paramètres!$A$1:$I$89,5,0)</f>
        <v>4.5224624045658861E-14</v>
      </c>
      <c r="EL101" s="14">
        <f t="shared" si="99"/>
        <v>7.4514601661523691E-13</v>
      </c>
      <c r="EM101" s="22">
        <f t="shared" si="73"/>
        <v>1.3765621991510601E-12</v>
      </c>
      <c r="EN101" s="60">
        <f t="shared" si="74"/>
        <v>276.83665893463274</v>
      </c>
      <c r="EO101" s="60">
        <f ca="1">AVERAGE(OFFSET($EN$3,0,0,'Données projet'!$E$15+1,1))-AVERAGE(OFFSET($H$3,0,0,'Données projet'!$E$15+1,1))</f>
        <v>273.72403794510291</v>
      </c>
      <c r="EP101" s="60">
        <f t="shared" si="100"/>
        <v>292.00185554564109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5.6843418860808015E-14</v>
      </c>
      <c r="FF101" s="18">
        <f>FE101*VLOOKUP('Données projet'!$B$16,Paramètres!$A$1:$I$89,3,0)*VLOOKUP('Données projet'!$B$16,Paramètres!$A$1:$I$89,5,0)</f>
        <v>4.4337866711430253E-14</v>
      </c>
      <c r="FG101" s="14">
        <f t="shared" si="101"/>
        <v>7.3222115536967035E-13</v>
      </c>
      <c r="FH101" s="22">
        <f t="shared" si="76"/>
        <v>1.3525069634579169E-12</v>
      </c>
      <c r="FI101" s="60">
        <f t="shared" si="77"/>
        <v>276.83665893463274</v>
      </c>
      <c r="FJ101" s="60">
        <f ca="1">AVERAGE(OFFSET($FI$3,0,0,'Données projet'!$E$16+1,1))-AVERAGE(OFFSET($H$3,0,0,'Données projet'!$E$16+1,1))</f>
        <v>309.21625451786218</v>
      </c>
      <c r="FK101" s="60">
        <f t="shared" si="102"/>
        <v>302.59481222418219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>
        <f>FZ101*VLOOKUP('Données projet'!$B$17,Paramètres!$A$1:$I$89,3,0)*VLOOKUP('Données projet'!$B$17,Paramètres!$A$1:$I$89,5,0)</f>
        <v>0</v>
      </c>
      <c r="GB101" s="14" t="e">
        <f t="shared" si="103"/>
        <v>#NUM!</v>
      </c>
      <c r="GC101" s="22" t="e">
        <f t="shared" si="79"/>
        <v>#NUM!</v>
      </c>
      <c r="GD101" s="60" t="e">
        <f t="shared" si="80"/>
        <v>#NUM!</v>
      </c>
      <c r="GE101" s="60">
        <f ca="1">AVERAGE(OFFSET($GD$3,0,0,'Données projet'!$E$17+1,1))-AVERAGE(OFFSET($H$3,0,0,'Données projet'!$E$17+1,1))</f>
        <v>216.36762889365235</v>
      </c>
      <c r="GF101" s="60">
        <f t="shared" si="104"/>
        <v>333.29599352215496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3.5116066785737967</v>
      </c>
      <c r="GM101" s="23">
        <f>EXP(-LN(2)/25)*GM100+(1-EXP(-LN(2)/25))/(LN(2)/25)*Calculateur!GH101*Calculateur!GJ101*VLOOKUP('Données projet'!$B$17,Paramètres!$A$1:$I$89,3,0)*0.475*44/12</f>
        <v>1.4797110196462329</v>
      </c>
      <c r="GN101" s="23">
        <f>EXP(-LN(2)/2)*GN100+(1-EXP(-LN(2)/2))/(LN(2)/2)*GH101*GK101*VLOOKUP('Données projet'!$B$17,Paramètres!$A$1:$I$89,3,0)*0.475*44/12</f>
        <v>1.7022409574785327E-10</v>
      </c>
      <c r="GO101" s="23">
        <f t="shared" si="81"/>
        <v>4.9913176983902536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4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288.32231999999988</v>
      </c>
      <c r="P102" s="14">
        <f t="shared" si="87"/>
        <v>68.722745094590621</v>
      </c>
      <c r="Q102" s="22">
        <f t="shared" si="107"/>
        <v>621.85348837307845</v>
      </c>
      <c r="R102" s="60">
        <f t="shared" si="55"/>
        <v>898.97632772748852</v>
      </c>
      <c r="S102" s="60">
        <f ca="1">AVERAGE(OFFSET($R$3,0,0,'Données projet'!$E$9+1,1))-AVERAGE(OFFSET($H$3,0,0,'Données projet'!$E$9+1,1))</f>
        <v>496.33873798282525</v>
      </c>
      <c r="T102" s="60">
        <f t="shared" si="88"/>
        <v>280.25465074992246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>
        <f>VLOOKUP(A102,'Données projet'!$A$61:$I$81,2,0)</f>
        <v>397.8692307692308</v>
      </c>
      <c r="AG102" s="13">
        <f>VLOOKUP(A102,'Données projet'!$A$61:$I$81,9,0)</f>
        <v>8.271153846153851</v>
      </c>
      <c r="AH102" s="13">
        <f t="array" ref="AH102">INDEX(AG:AG,MIN(IF(ISNUMBER(AG102:AG298),ROW(AG102:AG298),"")))</f>
        <v>8.271153846153851</v>
      </c>
      <c r="AI102" s="14">
        <f>IF('Données projet'!$A$62&gt;35,AI101+AH102-AQ101,IF(A102&lt;'Données projet'!$A$62,$AF$205^A102,IF(A102='Données projet'!$A$62,'Données projet'!$B$62,AI101+AH102-AQ101)))</f>
        <v>397.86923076923108</v>
      </c>
      <c r="AJ102" s="14">
        <f>AI102*VLOOKUP('Données projet'!$B$10,Paramètres!$A$1:$I$89,3,0)*VLOOKUP('Données projet'!$B$10,Paramètres!$A$1:$I$89,5,0)</f>
        <v>186.20280000000014</v>
      </c>
      <c r="AK102" s="14">
        <f t="shared" si="89"/>
        <v>46.699462038644228</v>
      </c>
      <c r="AL102" s="22">
        <f t="shared" si="58"/>
        <v>405.63810638397234</v>
      </c>
      <c r="AM102" s="60">
        <f t="shared" si="59"/>
        <v>682.76094573838247</v>
      </c>
      <c r="AN102" s="60">
        <f ca="1">AVERAGE(OFFSET($AM$3,0,0,'Données projet'!$E$10+1,1))-AVERAGE(OFFSET($H$3,0,0,'Données projet'!$E$10+1,1))</f>
        <v>277.7918215389401</v>
      </c>
      <c r="AO102" s="60">
        <f t="shared" si="90"/>
        <v>164.65640238394164</v>
      </c>
      <c r="AP102" s="16">
        <f>IF(ISNA(VLOOKUP(A102,'Données projet'!$A$61:$I$81,3,0)),0,VLOOKUP(A102,'Données projet'!$A$61:$I$81,3,0))</f>
        <v>5</v>
      </c>
      <c r="AQ102" s="16">
        <f>IF(ISNA(VLOOKUP(A102,'Données projet'!$A$61:$I$81,4,0)),0,VLOOKUP(A102,'Données projet'!$A$61:$I$81,4,0))</f>
        <v>198.32307692307691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3.2051282051281986</v>
      </c>
      <c r="BD102" s="13">
        <f>IF('Données projet'!$A$88&gt;35,BD101+BC102-BL101,IF(A102&lt;'Données projet'!$A$88,$BA$205^A102,IF(A102='Données projet'!$A$88,'Données projet'!$B$88,BD101+BC102-BL101)))</f>
        <v>211.53846153846141</v>
      </c>
      <c r="BE102" s="14">
        <f>BD102*VLOOKUP('Données projet'!$B$11,Paramètres!$A$1:$I$89,3,0)*VLOOKUP('Données projet'!$B$11,Paramètres!$A$1:$I$89,5,0)</f>
        <v>201.2999999999999</v>
      </c>
      <c r="BF102" s="14">
        <f t="shared" si="91"/>
        <v>50.029760558277118</v>
      </c>
      <c r="BG102" s="22">
        <f t="shared" si="61"/>
        <v>437.73266630566582</v>
      </c>
      <c r="BH102" s="60">
        <f t="shared" si="62"/>
        <v>714.85550566007601</v>
      </c>
      <c r="BI102" s="60">
        <f ca="1">AVERAGE(OFFSET($BH$3,0,0,'Données projet'!$E$11+1,1))-AVERAGE(OFFSET($H$3,0,0,'Données projet'!$E$11+1,1))</f>
        <v>366.21371543563254</v>
      </c>
      <c r="BJ102" s="60">
        <f t="shared" si="92"/>
        <v>237.43356317334084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3.4615384615384643</v>
      </c>
      <c r="BY102" s="13">
        <f>IF('Données projet'!$A$114&gt;35,BY101+BX102-CG101,IF(A102&lt;'Données projet'!$A$114,$BV$205^A102,IF(A102='Données projet'!$A$114,'Données projet'!$B$114,BY101+BX102-CG101)))</f>
        <v>316.41025641025624</v>
      </c>
      <c r="BZ102" s="14">
        <f>BY102*VLOOKUP('Données projet'!$B$12,Paramètres!$A$1:$I$89,3,0)*VLOOKUP('Données projet'!$B$12,Paramètres!$A$1:$I$89,5,0)</f>
        <v>330.71199999999988</v>
      </c>
      <c r="CA102" s="14">
        <f t="shared" si="93"/>
        <v>77.577904415971943</v>
      </c>
      <c r="CB102" s="22">
        <f t="shared" si="64"/>
        <v>711.10491685781756</v>
      </c>
      <c r="CC102" s="60">
        <f t="shared" si="65"/>
        <v>988.22775621222763</v>
      </c>
      <c r="CD102" s="60">
        <f ca="1">AVERAGE(OFFSET($CC$3,0,0,'Données projet'!$E$12+1,1))-AVERAGE(OFFSET($H$3,0,0,'Données projet'!$E$12+1,1))</f>
        <v>530.79860063513229</v>
      </c>
      <c r="CE102" s="60">
        <f t="shared" si="94"/>
        <v>302.50876440460434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269.72087999999985</v>
      </c>
      <c r="CV102" s="14">
        <f t="shared" si="95"/>
        <v>64.790029413946939</v>
      </c>
      <c r="CW102" s="22">
        <f t="shared" si="67"/>
        <v>582.60650056262409</v>
      </c>
      <c r="CX102" s="60">
        <f t="shared" si="68"/>
        <v>859.72933991703417</v>
      </c>
      <c r="CY102" s="60">
        <f ca="1">AVERAGE(OFFSET($CX$3,0,0,'Données projet'!$E$13+1,1))-AVERAGE(OFFSET($H$3,0,0,'Données projet'!$E$13+1,1))</f>
        <v>469.67944008675863</v>
      </c>
      <c r="CZ102" s="60">
        <f t="shared" si="96"/>
        <v>266.11908070867173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4.9000000000000004</v>
      </c>
      <c r="DO102" s="13">
        <f>IF('Données projet'!$A$166&gt;35,DO101+DN102-DW101,IF(A102&lt;'Données projet'!$A$166,$DL$205^A102,IF(A102='Données projet'!$A$166,'Données projet'!$B$166,DO101+DN102-DW101)))</f>
        <v>298.09999999999985</v>
      </c>
      <c r="DP102" s="18">
        <f>DO102*VLOOKUP('Données projet'!$B$14,Paramètres!$A$1:$I$89,3,0)*VLOOKUP('Données projet'!$B$14,Paramètres!$A$1:$I$89,5,0)</f>
        <v>320.87483999999984</v>
      </c>
      <c r="DQ102" s="14">
        <f t="shared" si="97"/>
        <v>75.535352205297585</v>
      </c>
      <c r="DR102" s="22">
        <f t="shared" si="70"/>
        <v>690.41441809089304</v>
      </c>
      <c r="DS102" s="60">
        <f t="shared" si="71"/>
        <v>967.53725744530311</v>
      </c>
      <c r="DT102" s="60">
        <f ca="1">AVERAGE(OFFSET($DS$3,0,0,'Données projet'!$E$14+1,1))-AVERAGE(OFFSET($H$3,0,0,'Données projet'!$E$14+1,1))</f>
        <v>542.90832990875208</v>
      </c>
      <c r="DU102" s="60">
        <f t="shared" si="98"/>
        <v>304.94365539329362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5.6843418860808015E-14</v>
      </c>
      <c r="EK102" s="18">
        <f>EJ102*VLOOKUP('Données projet'!$B$15,Paramètres!$A$1:$I$89,3,0)*VLOOKUP('Données projet'!$B$15,Paramètres!$A$1:$I$89,5,0)</f>
        <v>4.5224624045658861E-14</v>
      </c>
      <c r="EL102" s="14">
        <f t="shared" si="99"/>
        <v>7.4514601661523691E-13</v>
      </c>
      <c r="EM102" s="22">
        <f t="shared" si="73"/>
        <v>1.3765621991510601E-12</v>
      </c>
      <c r="EN102" s="60">
        <f t="shared" si="74"/>
        <v>277.1228393544115</v>
      </c>
      <c r="EO102" s="60">
        <f ca="1">AVERAGE(OFFSET($EN$3,0,0,'Données projet'!$E$15+1,1))-AVERAGE(OFFSET($H$3,0,0,'Données projet'!$E$15+1,1))</f>
        <v>273.72403794510291</v>
      </c>
      <c r="EP102" s="60">
        <f t="shared" si="100"/>
        <v>292.00185554564109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5.6843418860808015E-14</v>
      </c>
      <c r="FF102" s="18">
        <f>FE102*VLOOKUP('Données projet'!$B$16,Paramètres!$A$1:$I$89,3,0)*VLOOKUP('Données projet'!$B$16,Paramètres!$A$1:$I$89,5,0)</f>
        <v>4.4337866711430253E-14</v>
      </c>
      <c r="FG102" s="14">
        <f t="shared" si="101"/>
        <v>7.3222115536967035E-13</v>
      </c>
      <c r="FH102" s="22">
        <f t="shared" si="76"/>
        <v>1.3525069634579169E-12</v>
      </c>
      <c r="FI102" s="60">
        <f t="shared" si="77"/>
        <v>277.1228393544115</v>
      </c>
      <c r="FJ102" s="60">
        <f ca="1">AVERAGE(OFFSET($FI$3,0,0,'Données projet'!$E$16+1,1))-AVERAGE(OFFSET($H$3,0,0,'Données projet'!$E$16+1,1))</f>
        <v>309.21625451786218</v>
      </c>
      <c r="FK102" s="60">
        <f t="shared" si="102"/>
        <v>302.59481222418219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>
        <f>FZ102*VLOOKUP('Données projet'!$B$17,Paramètres!$A$1:$I$89,3,0)*VLOOKUP('Données projet'!$B$17,Paramètres!$A$1:$I$89,5,0)</f>
        <v>0</v>
      </c>
      <c r="GB102" s="14" t="e">
        <f t="shared" si="103"/>
        <v>#NUM!</v>
      </c>
      <c r="GC102" s="22" t="e">
        <f t="shared" si="79"/>
        <v>#NUM!</v>
      </c>
      <c r="GD102" s="60" t="e">
        <f t="shared" si="80"/>
        <v>#NUM!</v>
      </c>
      <c r="GE102" s="60">
        <f ca="1">AVERAGE(OFFSET($GD$3,0,0,'Données projet'!$E$17+1,1))-AVERAGE(OFFSET($H$3,0,0,'Données projet'!$E$17+1,1))</f>
        <v>216.36762889365235</v>
      </c>
      <c r="GF102" s="60">
        <f t="shared" si="104"/>
        <v>333.29599352215496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3.4427462134755467</v>
      </c>
      <c r="GM102" s="23">
        <f>EXP(-LN(2)/25)*GM101+(1-EXP(-LN(2)/25))/(LN(2)/25)*Calculateur!GH102*Calculateur!GJ102*VLOOKUP('Données projet'!$B$17,Paramètres!$A$1:$I$89,3,0)*0.475*44/12</f>
        <v>1.4392482439993861</v>
      </c>
      <c r="GN102" s="23">
        <f>EXP(-LN(2)/2)*GN101+(1-EXP(-LN(2)/2))/(LN(2)/2)*GH102*GK102*VLOOKUP('Données projet'!$B$17,Paramètres!$A$1:$I$89,3,0)*0.475*44/12</f>
        <v>1.2036661242465519E-10</v>
      </c>
      <c r="GO102" s="23">
        <f t="shared" si="81"/>
        <v>4.8819944575953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4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293.06159999999983</v>
      </c>
      <c r="P103" s="14">
        <f t="shared" si="87"/>
        <v>69.719933365116546</v>
      </c>
      <c r="Q103" s="22">
        <f t="shared" si="107"/>
        <v>631.84450394424437</v>
      </c>
      <c r="R103" s="60">
        <f t="shared" si="55"/>
        <v>909.24855912795351</v>
      </c>
      <c r="S103" s="60">
        <f ca="1">AVERAGE(OFFSET($R$3,0,0,'Données projet'!$E$9+1,1))-AVERAGE(OFFSET($H$3,0,0,'Données projet'!$E$9+1,1))</f>
        <v>496.33873798282525</v>
      </c>
      <c r="T103" s="60">
        <f t="shared" si="88"/>
        <v>280.25465074992246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207.28461538461539</v>
      </c>
      <c r="AG103" s="13">
        <f>VLOOKUP(A103,'Données projet'!$A$61:$I$81,9,0)</f>
        <v>7.7384615384615074</v>
      </c>
      <c r="AH103" s="13">
        <f t="array" ref="AH103">INDEX(AG:AG,MIN(IF(ISNUMBER(AG103:AG299),ROW(AG103:AG299),"")))</f>
        <v>7.7384615384615074</v>
      </c>
      <c r="AI103" s="14">
        <f>IF('Données projet'!$A$62&gt;35,AI102+AH103-AQ102,IF(A103&lt;'Données projet'!$A$62,$AF$205^A103,IF(A103='Données projet'!$A$62,'Données projet'!$B$62,AI102+AH103-AQ102)))</f>
        <v>207.28461538461565</v>
      </c>
      <c r="AJ103" s="14">
        <f>AI103*VLOOKUP('Données projet'!$B$10,Paramètres!$A$1:$I$89,3,0)*VLOOKUP('Données projet'!$B$10,Paramètres!$A$1:$I$89,5,0)</f>
        <v>97.009200000000135</v>
      </c>
      <c r="AK103" s="14">
        <f t="shared" si="89"/>
        <v>26.248226424980707</v>
      </c>
      <c r="AL103" s="22">
        <f t="shared" si="58"/>
        <v>214.6733510235083</v>
      </c>
      <c r="AM103" s="60">
        <f t="shared" si="59"/>
        <v>492.07740620721751</v>
      </c>
      <c r="AN103" s="60">
        <f ca="1">AVERAGE(OFFSET($AM$3,0,0,'Données projet'!$E$10+1,1))-AVERAGE(OFFSET($H$3,0,0,'Données projet'!$E$10+1,1))</f>
        <v>277.7918215389401</v>
      </c>
      <c r="AO103" s="60">
        <f t="shared" si="90"/>
        <v>164.65640238394164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214.74358974358972</v>
      </c>
      <c r="BB103" s="13">
        <f>VLOOKUP(A103,'Données projet'!$A$87:$I$107,9,0)</f>
        <v>3.2051282051281986</v>
      </c>
      <c r="BC103" s="13">
        <f t="array" ref="BC103">INDEX(BB:BB,MIN(IF(ISNUMBER(BB103:BB299),ROW(BB103:BB299),"")))</f>
        <v>3.2051282051281986</v>
      </c>
      <c r="BD103" s="13">
        <f>IF('Données projet'!$A$88&gt;35,BD102+BC103-BL102,IF(A103&lt;'Données projet'!$A$88,$BA$205^A103,IF(A103='Données projet'!$A$88,'Données projet'!$B$88,BD102+BC103-BL102)))</f>
        <v>214.74358974358961</v>
      </c>
      <c r="BE103" s="14">
        <f>BD103*VLOOKUP('Données projet'!$B$11,Paramètres!$A$1:$I$89,3,0)*VLOOKUP('Données projet'!$B$11,Paramètres!$A$1:$I$89,5,0)</f>
        <v>204.34999999999988</v>
      </c>
      <c r="BF103" s="14">
        <f t="shared" si="91"/>
        <v>50.698965597107438</v>
      </c>
      <c r="BG103" s="22">
        <f t="shared" si="61"/>
        <v>444.21028174829524</v>
      </c>
      <c r="BH103" s="60">
        <f t="shared" si="62"/>
        <v>721.61433693200445</v>
      </c>
      <c r="BI103" s="60">
        <f ca="1">AVERAGE(OFFSET($BH$3,0,0,'Données projet'!$E$11+1,1))-AVERAGE(OFFSET($H$3,0,0,'Données projet'!$E$11+1,1))</f>
        <v>366.21371543563254</v>
      </c>
      <c r="BJ103" s="60">
        <f t="shared" si="92"/>
        <v>237.43356317334084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319.87179487179486</v>
      </c>
      <c r="BW103" s="13">
        <f>VLOOKUP(A103,'Données projet'!$A$113:$I$133,9,0)</f>
        <v>3.4615384615384643</v>
      </c>
      <c r="BX103" s="13">
        <f t="array" ref="BX103">INDEX(BW:BW,MIN(IF(ISNUMBER(BW103:BW299),ROW(BW103:BW299),"")))</f>
        <v>3.4615384615384643</v>
      </c>
      <c r="BY103" s="13">
        <f>IF('Données projet'!$A$114&gt;35,BY102+BX103-CG102,IF(A103&lt;'Données projet'!$A$114,$BV$205^A103,IF(A103='Données projet'!$A$114,'Données projet'!$B$114,BY102+BX103-CG102)))</f>
        <v>319.87179487179469</v>
      </c>
      <c r="BZ103" s="14">
        <f>BY103*VLOOKUP('Données projet'!$B$12,Paramètres!$A$1:$I$89,3,0)*VLOOKUP('Données projet'!$B$12,Paramètres!$A$1:$I$89,5,0)</f>
        <v>334.32999999999987</v>
      </c>
      <c r="CA103" s="14">
        <f t="shared" si="93"/>
        <v>78.327344421590865</v>
      </c>
      <c r="CB103" s="22">
        <f t="shared" si="64"/>
        <v>718.71154153427051</v>
      </c>
      <c r="CC103" s="60">
        <f t="shared" si="65"/>
        <v>996.11559671797977</v>
      </c>
      <c r="CD103" s="60">
        <f ca="1">AVERAGE(OFFSET($CC$3,0,0,'Données projet'!$E$12+1,1))-AVERAGE(OFFSET($H$3,0,0,'Données projet'!$E$12+1,1))</f>
        <v>530.79860063513229</v>
      </c>
      <c r="CE103" s="60">
        <f t="shared" si="94"/>
        <v>302.50876440460434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30.769230769230766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274.15439999999984</v>
      </c>
      <c r="CV103" s="14">
        <f t="shared" si="95"/>
        <v>65.730152764515779</v>
      </c>
      <c r="CW103" s="22">
        <f t="shared" si="67"/>
        <v>591.9655960648646</v>
      </c>
      <c r="CX103" s="60">
        <f t="shared" si="68"/>
        <v>869.36965124857375</v>
      </c>
      <c r="CY103" s="60">
        <f ca="1">AVERAGE(OFFSET($CX$3,0,0,'Données projet'!$E$13+1,1))-AVERAGE(OFFSET($H$3,0,0,'Données projet'!$E$13+1,1))</f>
        <v>469.67944008675863</v>
      </c>
      <c r="CZ103" s="60">
        <f t="shared" si="96"/>
        <v>266.11908070867173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303</v>
      </c>
      <c r="DM103" s="13">
        <f>VLOOKUP(A103,'Données projet'!$A$165:$I$185,9,0)</f>
        <v>4.9000000000000004</v>
      </c>
      <c r="DN103" s="13">
        <f t="array" ref="DN103">INDEX(DM:DM,MIN(IF(ISNUMBER(DM103:DM299),ROW(DM103:DM299),"")))</f>
        <v>4.9000000000000004</v>
      </c>
      <c r="DO103" s="13">
        <f>IF('Données projet'!$A$166&gt;35,DO102+DN103-DW102,IF(A103&lt;'Données projet'!$A$166,$DL$205^A103,IF(A103='Données projet'!$A$166,'Données projet'!$B$166,DO102+DN103-DW102)))</f>
        <v>302.99999999999983</v>
      </c>
      <c r="DP103" s="18">
        <f>DO103*VLOOKUP('Données projet'!$B$14,Paramètres!$A$1:$I$89,3,0)*VLOOKUP('Données projet'!$B$14,Paramètres!$A$1:$I$89,5,0)</f>
        <v>326.14919999999984</v>
      </c>
      <c r="DQ103" s="14">
        <f t="shared" si="97"/>
        <v>76.631393510479555</v>
      </c>
      <c r="DR103" s="22">
        <f t="shared" si="70"/>
        <v>701.50953369741819</v>
      </c>
      <c r="DS103" s="60">
        <f t="shared" si="71"/>
        <v>978.91358888112745</v>
      </c>
      <c r="DT103" s="60">
        <f ca="1">AVERAGE(OFFSET($DS$3,0,0,'Données projet'!$E$14+1,1))-AVERAGE(OFFSET($H$3,0,0,'Données projet'!$E$14+1,1))</f>
        <v>542.90832990875208</v>
      </c>
      <c r="DU103" s="60">
        <f t="shared" si="98"/>
        <v>304.94365539329362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5.6843418860808015E-14</v>
      </c>
      <c r="EK103" s="18">
        <f>EJ103*VLOOKUP('Données projet'!$B$15,Paramètres!$A$1:$I$89,3,0)*VLOOKUP('Données projet'!$B$15,Paramètres!$A$1:$I$89,5,0)</f>
        <v>4.5224624045658861E-14</v>
      </c>
      <c r="EL103" s="14">
        <f t="shared" si="99"/>
        <v>7.4514601661523691E-13</v>
      </c>
      <c r="EM103" s="22">
        <f t="shared" si="73"/>
        <v>1.3765621991510601E-12</v>
      </c>
      <c r="EN103" s="60">
        <f t="shared" si="74"/>
        <v>277.40405518371057</v>
      </c>
      <c r="EO103" s="60">
        <f ca="1">AVERAGE(OFFSET($EN$3,0,0,'Données projet'!$E$15+1,1))-AVERAGE(OFFSET($H$3,0,0,'Données projet'!$E$15+1,1))</f>
        <v>273.72403794510291</v>
      </c>
      <c r="EP103" s="60">
        <f t="shared" si="100"/>
        <v>292.00185554564109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5.6843418860808015E-14</v>
      </c>
      <c r="FF103" s="18">
        <f>FE103*VLOOKUP('Données projet'!$B$16,Paramètres!$A$1:$I$89,3,0)*VLOOKUP('Données projet'!$B$16,Paramètres!$A$1:$I$89,5,0)</f>
        <v>4.4337866711430253E-14</v>
      </c>
      <c r="FG103" s="14">
        <f t="shared" si="101"/>
        <v>7.3222115536967035E-13</v>
      </c>
      <c r="FH103" s="22">
        <f t="shared" si="76"/>
        <v>1.3525069634579169E-12</v>
      </c>
      <c r="FI103" s="60">
        <f t="shared" si="77"/>
        <v>277.40405518371057</v>
      </c>
      <c r="FJ103" s="60">
        <f ca="1">AVERAGE(OFFSET($FI$3,0,0,'Données projet'!$E$16+1,1))-AVERAGE(OFFSET($H$3,0,0,'Données projet'!$E$16+1,1))</f>
        <v>309.21625451786218</v>
      </c>
      <c r="FK103" s="60">
        <f t="shared" si="102"/>
        <v>302.59481222418219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>
        <f>FZ103*VLOOKUP('Données projet'!$B$17,Paramètres!$A$1:$I$89,3,0)*VLOOKUP('Données projet'!$B$17,Paramètres!$A$1:$I$89,5,0)</f>
        <v>0</v>
      </c>
      <c r="GB103" s="14" t="e">
        <f t="shared" si="103"/>
        <v>#NUM!</v>
      </c>
      <c r="GC103" s="22" t="e">
        <f t="shared" si="79"/>
        <v>#NUM!</v>
      </c>
      <c r="GD103" s="60" t="e">
        <f t="shared" si="80"/>
        <v>#NUM!</v>
      </c>
      <c r="GE103" s="60">
        <f ca="1">AVERAGE(OFFSET($GD$3,0,0,'Données projet'!$E$17+1,1))-AVERAGE(OFFSET($H$3,0,0,'Données projet'!$E$17+1,1))</f>
        <v>216.36762889365235</v>
      </c>
      <c r="GF103" s="60">
        <f t="shared" si="104"/>
        <v>333.29599352215496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3.3752360600971367</v>
      </c>
      <c r="GM103" s="23">
        <f>EXP(-LN(2)/25)*GM102+(1-EXP(-LN(2)/25))/(LN(2)/25)*Calculateur!GH103*Calculateur!GJ103*VLOOKUP('Données projet'!$B$17,Paramètres!$A$1:$I$89,3,0)*0.475*44/12</f>
        <v>1.3998919250804471</v>
      </c>
      <c r="GN103" s="23">
        <f>EXP(-LN(2)/2)*GN102+(1-EXP(-LN(2)/2))/(LN(2)/2)*GH103*GK103*VLOOKUP('Données projet'!$B$17,Paramètres!$A$1:$I$89,3,0)*0.475*44/12</f>
        <v>8.5112047873926634E-11</v>
      </c>
      <c r="GO103" s="23">
        <f t="shared" si="81"/>
        <v>4.7751279852626958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4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256.69487999999984</v>
      </c>
      <c r="P104" s="14">
        <f t="shared" si="87"/>
        <v>62.017336223177502</v>
      </c>
      <c r="Q104" s="22">
        <f t="shared" si="107"/>
        <v>555.09044325536718</v>
      </c>
      <c r="R104" s="60">
        <f t="shared" si="55"/>
        <v>832.77083580244152</v>
      </c>
      <c r="S104" s="60">
        <f ca="1">AVERAGE(OFFSET($R$3,0,0,'Données projet'!$E$9+1,1))-AVERAGE(OFFSET($H$3,0,0,'Données projet'!$E$9+1,1))</f>
        <v>496.33873798282525</v>
      </c>
      <c r="T104" s="60">
        <f t="shared" si="88"/>
        <v>280.25465074992246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5.4230769230769242</v>
      </c>
      <c r="AI104" s="14">
        <f>IF('Données projet'!$A$62&gt;35,AI103+AH104-AQ103,IF(A104&lt;'Données projet'!$A$62,$AF$205^A104,IF(A104='Données projet'!$A$62,'Données projet'!$B$62,AI103+AH104-AQ103)))</f>
        <v>212.70769230769258</v>
      </c>
      <c r="AJ104" s="14">
        <f>AI104*VLOOKUP('Données projet'!$B$10,Paramètres!$A$1:$I$89,3,0)*VLOOKUP('Données projet'!$B$10,Paramètres!$A$1:$I$89,5,0)</f>
        <v>99.547200000000117</v>
      </c>
      <c r="AK104" s="14">
        <f t="shared" si="89"/>
        <v>26.854095716471431</v>
      </c>
      <c r="AL104" s="22">
        <f t="shared" si="58"/>
        <v>220.1489233728546</v>
      </c>
      <c r="AM104" s="60">
        <f t="shared" si="59"/>
        <v>497.829315919929</v>
      </c>
      <c r="AN104" s="60">
        <f ca="1">AVERAGE(OFFSET($AM$3,0,0,'Données projet'!$E$10+1,1))-AVERAGE(OFFSET($H$3,0,0,'Données projet'!$E$10+1,1))</f>
        <v>277.7918215389401</v>
      </c>
      <c r="AO104" s="60">
        <f t="shared" si="90"/>
        <v>164.65640238394164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3.141025641025641</v>
      </c>
      <c r="BD104" s="13">
        <f>IF('Données projet'!$A$88&gt;35,BD103+BC104-BL103,IF(A104&lt;'Données projet'!$A$88,$BA$205^A104,IF(A104='Données projet'!$A$88,'Données projet'!$B$88,BD103+BC104-BL103)))</f>
        <v>217.88461538461524</v>
      </c>
      <c r="BE104" s="14">
        <f>BD104*VLOOKUP('Données projet'!$B$11,Paramètres!$A$1:$I$89,3,0)*VLOOKUP('Données projet'!$B$11,Paramètres!$A$1:$I$89,5,0)</f>
        <v>207.33899999999988</v>
      </c>
      <c r="BF104" s="14">
        <f t="shared" si="91"/>
        <v>51.353659373071473</v>
      </c>
      <c r="BG104" s="22">
        <f t="shared" si="61"/>
        <v>450.55638174143263</v>
      </c>
      <c r="BH104" s="60">
        <f t="shared" si="62"/>
        <v>728.23677428850704</v>
      </c>
      <c r="BI104" s="60">
        <f ca="1">AVERAGE(OFFSET($BH$3,0,0,'Données projet'!$E$11+1,1))-AVERAGE(OFFSET($H$3,0,0,'Données projet'!$E$11+1,1))</f>
        <v>366.21371543563254</v>
      </c>
      <c r="BJ104" s="60">
        <f t="shared" si="92"/>
        <v>237.43356317334084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3.2051282051282044</v>
      </c>
      <c r="BY104" s="13">
        <f>IF('Données projet'!$A$114&gt;35,BY103+BX104-CG103,IF(A104&lt;'Données projet'!$A$114,$BV$205^A104,IF(A104='Données projet'!$A$114,'Données projet'!$B$114,BY103+BX104-CG103)))</f>
        <v>292.30769230769209</v>
      </c>
      <c r="BZ104" s="14">
        <f>BY104*VLOOKUP('Données projet'!$B$12,Paramètres!$A$1:$I$89,3,0)*VLOOKUP('Données projet'!$B$12,Paramètres!$A$1:$I$89,5,0)</f>
        <v>305.51999999999981</v>
      </c>
      <c r="CA104" s="14">
        <f t="shared" si="93"/>
        <v>72.332436678206648</v>
      </c>
      <c r="CB104" s="22">
        <f t="shared" si="64"/>
        <v>658.09299388120962</v>
      </c>
      <c r="CC104" s="60">
        <f t="shared" si="65"/>
        <v>935.77338642828408</v>
      </c>
      <c r="CD104" s="60">
        <f ca="1">AVERAGE(OFFSET($CC$3,0,0,'Données projet'!$E$12+1,1))-AVERAGE(OFFSET($H$3,0,0,'Données projet'!$E$12+1,1))</f>
        <v>530.79860063513229</v>
      </c>
      <c r="CE104" s="60">
        <f t="shared" si="94"/>
        <v>302.50876440460434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240.13391999999982</v>
      </c>
      <c r="CV104" s="14">
        <f t="shared" si="95"/>
        <v>58.468343087048559</v>
      </c>
      <c r="CW104" s="22">
        <f t="shared" si="67"/>
        <v>520.06560820994252</v>
      </c>
      <c r="CX104" s="60">
        <f t="shared" si="68"/>
        <v>797.74600075701687</v>
      </c>
      <c r="CY104" s="60">
        <f ca="1">AVERAGE(OFFSET($CX$3,0,0,'Données projet'!$E$13+1,1))-AVERAGE(OFFSET($H$3,0,0,'Données projet'!$E$13+1,1))</f>
        <v>469.67944008675863</v>
      </c>
      <c r="CZ104" s="60">
        <f t="shared" si="96"/>
        <v>266.11908070867173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265.39999999999981</v>
      </c>
      <c r="DP104" s="18">
        <f>DO104*VLOOKUP('Données projet'!$B$14,Paramètres!$A$1:$I$89,3,0)*VLOOKUP('Données projet'!$B$14,Paramètres!$A$1:$I$89,5,0)</f>
        <v>285.67655999999977</v>
      </c>
      <c r="DQ104" s="14">
        <f t="shared" si="97"/>
        <v>68.165224308258956</v>
      </c>
      <c r="DR104" s="22">
        <f t="shared" si="70"/>
        <v>616.27444100355058</v>
      </c>
      <c r="DS104" s="60">
        <f t="shared" si="71"/>
        <v>893.95483355062493</v>
      </c>
      <c r="DT104" s="60">
        <f ca="1">AVERAGE(OFFSET($DS$3,0,0,'Données projet'!$E$14+1,1))-AVERAGE(OFFSET($H$3,0,0,'Données projet'!$E$14+1,1))</f>
        <v>542.90832990875208</v>
      </c>
      <c r="DU104" s="60">
        <f t="shared" si="98"/>
        <v>304.94365539329362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5.6843418860808015E-14</v>
      </c>
      <c r="EK104" s="18">
        <f>EJ104*VLOOKUP('Données projet'!$B$15,Paramètres!$A$1:$I$89,3,0)*VLOOKUP('Données projet'!$B$15,Paramètres!$A$1:$I$89,5,0)</f>
        <v>4.5224624045658861E-14</v>
      </c>
      <c r="EL104" s="14">
        <f t="shared" si="99"/>
        <v>7.4514601661523691E-13</v>
      </c>
      <c r="EM104" s="22">
        <f t="shared" si="73"/>
        <v>1.3765621991510601E-12</v>
      </c>
      <c r="EN104" s="60">
        <f t="shared" si="74"/>
        <v>277.68039254707577</v>
      </c>
      <c r="EO104" s="60">
        <f ca="1">AVERAGE(OFFSET($EN$3,0,0,'Données projet'!$E$15+1,1))-AVERAGE(OFFSET($H$3,0,0,'Données projet'!$E$15+1,1))</f>
        <v>273.72403794510291</v>
      </c>
      <c r="EP104" s="60">
        <f t="shared" si="100"/>
        <v>292.00185554564109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5.6843418860808015E-14</v>
      </c>
      <c r="FF104" s="18">
        <f>FE104*VLOOKUP('Données projet'!$B$16,Paramètres!$A$1:$I$89,3,0)*VLOOKUP('Données projet'!$B$16,Paramètres!$A$1:$I$89,5,0)</f>
        <v>4.4337866711430253E-14</v>
      </c>
      <c r="FG104" s="14">
        <f t="shared" si="101"/>
        <v>7.3222115536967035E-13</v>
      </c>
      <c r="FH104" s="22">
        <f t="shared" si="76"/>
        <v>1.3525069634579169E-12</v>
      </c>
      <c r="FI104" s="60">
        <f t="shared" si="77"/>
        <v>277.68039254707577</v>
      </c>
      <c r="FJ104" s="60">
        <f ca="1">AVERAGE(OFFSET($FI$3,0,0,'Données projet'!$E$16+1,1))-AVERAGE(OFFSET($H$3,0,0,'Données projet'!$E$16+1,1))</f>
        <v>309.21625451786218</v>
      </c>
      <c r="FK104" s="60">
        <f t="shared" si="102"/>
        <v>302.59481222418219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>
        <f>FZ104*VLOOKUP('Données projet'!$B$17,Paramètres!$A$1:$I$89,3,0)*VLOOKUP('Données projet'!$B$17,Paramètres!$A$1:$I$89,5,0)</f>
        <v>0</v>
      </c>
      <c r="GB104" s="14" t="e">
        <f t="shared" si="103"/>
        <v>#NUM!</v>
      </c>
      <c r="GC104" s="22" t="e">
        <f t="shared" si="79"/>
        <v>#NUM!</v>
      </c>
      <c r="GD104" s="60" t="e">
        <f t="shared" si="80"/>
        <v>#NUM!</v>
      </c>
      <c r="GE104" s="60">
        <f ca="1">AVERAGE(OFFSET($GD$3,0,0,'Données projet'!$E$17+1,1))-AVERAGE(OFFSET($H$3,0,0,'Données projet'!$E$17+1,1))</f>
        <v>216.36762889365235</v>
      </c>
      <c r="GF104" s="60">
        <f t="shared" si="104"/>
        <v>333.29599352215496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3.3090497396493497</v>
      </c>
      <c r="GM104" s="23">
        <f>EXP(-LN(2)/25)*GM103+(1-EXP(-LN(2)/25))/(LN(2)/25)*Calculateur!GH104*Calculateur!GJ104*VLOOKUP('Données projet'!$B$17,Paramètres!$A$1:$I$89,3,0)*0.475*44/12</f>
        <v>1.3616118067720056</v>
      </c>
      <c r="GN104" s="23">
        <f>EXP(-LN(2)/2)*GN103+(1-EXP(-LN(2)/2))/(LN(2)/2)*GH104*GK104*VLOOKUP('Données projet'!$B$17,Paramètres!$A$1:$I$89,3,0)*0.475*44/12</f>
        <v>6.0183306212327597E-11</v>
      </c>
      <c r="GO104" s="23">
        <f t="shared" si="81"/>
        <v>4.6706615464815382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4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260.95055999999983</v>
      </c>
      <c r="P105" s="14">
        <f t="shared" si="87"/>
        <v>62.924955880176938</v>
      </c>
      <c r="Q105" s="22">
        <f t="shared" si="107"/>
        <v>564.08319015797451</v>
      </c>
      <c r="R105" s="60">
        <f t="shared" si="55"/>
        <v>842.03512623295751</v>
      </c>
      <c r="S105" s="60">
        <f ca="1">AVERAGE(OFFSET($R$3,0,0,'Données projet'!$E$9+1,1))-AVERAGE(OFFSET($H$3,0,0,'Données projet'!$E$9+1,1))</f>
        <v>496.33873798282525</v>
      </c>
      <c r="T105" s="60">
        <f t="shared" si="88"/>
        <v>280.25465074992246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5.4230769230769242</v>
      </c>
      <c r="AI105" s="14">
        <f>IF('Données projet'!$A$62&gt;35,AI104+AH105-AQ104,IF(A105&lt;'Données projet'!$A$62,$AF$205^A105,IF(A105='Données projet'!$A$62,'Données projet'!$B$62,AI104+AH105-AQ104)))</f>
        <v>218.13076923076952</v>
      </c>
      <c r="AJ105" s="14">
        <f>AI105*VLOOKUP('Données projet'!$B$10,Paramètres!$A$1:$I$89,3,0)*VLOOKUP('Données projet'!$B$10,Paramètres!$A$1:$I$89,5,0)</f>
        <v>102.08520000000013</v>
      </c>
      <c r="AK105" s="14">
        <f t="shared" si="89"/>
        <v>27.458169447833885</v>
      </c>
      <c r="AL105" s="22">
        <f t="shared" si="58"/>
        <v>225.62136845497756</v>
      </c>
      <c r="AM105" s="60">
        <f t="shared" si="59"/>
        <v>503.57330452996052</v>
      </c>
      <c r="AN105" s="60">
        <f ca="1">AVERAGE(OFFSET($AM$3,0,0,'Données projet'!$E$10+1,1))-AVERAGE(OFFSET($H$3,0,0,'Données projet'!$E$10+1,1))</f>
        <v>277.7918215389401</v>
      </c>
      <c r="AO105" s="60">
        <f t="shared" si="90"/>
        <v>164.65640238394164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3.141025641025641</v>
      </c>
      <c r="BD105" s="13">
        <f>IF('Données projet'!$A$88&gt;35,BD104+BC105-BL104,IF(A105&lt;'Données projet'!$A$88,$BA$205^A105,IF(A105='Données projet'!$A$88,'Données projet'!$B$88,BD104+BC105-BL104)))</f>
        <v>221.02564102564088</v>
      </c>
      <c r="BE105" s="14">
        <f>BD105*VLOOKUP('Données projet'!$B$11,Paramètres!$A$1:$I$89,3,0)*VLOOKUP('Données projet'!$B$11,Paramètres!$A$1:$I$89,5,0)</f>
        <v>210.32799999999983</v>
      </c>
      <c r="BF105" s="14">
        <f t="shared" si="91"/>
        <v>52.007255438868526</v>
      </c>
      <c r="BG105" s="22">
        <f t="shared" si="61"/>
        <v>456.90056988936232</v>
      </c>
      <c r="BH105" s="60">
        <f t="shared" si="62"/>
        <v>734.85250596434526</v>
      </c>
      <c r="BI105" s="60">
        <f ca="1">AVERAGE(OFFSET($BH$3,0,0,'Données projet'!$E$11+1,1))-AVERAGE(OFFSET($H$3,0,0,'Données projet'!$E$11+1,1))</f>
        <v>366.21371543563254</v>
      </c>
      <c r="BJ105" s="60">
        <f t="shared" si="92"/>
        <v>237.43356317334084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3.2051282051282044</v>
      </c>
      <c r="BY105" s="13">
        <f>IF('Données projet'!$A$114&gt;35,BY104+BX105-CG104,IF(A105&lt;'Données projet'!$A$114,$BV$205^A105,IF(A105='Données projet'!$A$114,'Données projet'!$B$114,BY104+BX105-CG104)))</f>
        <v>295.51282051282033</v>
      </c>
      <c r="BZ105" s="14">
        <f>BY105*VLOOKUP('Données projet'!$B$12,Paramètres!$A$1:$I$89,3,0)*VLOOKUP('Données projet'!$B$12,Paramètres!$A$1:$I$89,5,0)</f>
        <v>308.86999999999983</v>
      </c>
      <c r="CA105" s="14">
        <f t="shared" si="93"/>
        <v>73.032791063818379</v>
      </c>
      <c r="CB105" s="22">
        <f t="shared" si="64"/>
        <v>665.14736110281672</v>
      </c>
      <c r="CC105" s="60">
        <f t="shared" si="65"/>
        <v>943.0992971777996</v>
      </c>
      <c r="CD105" s="60">
        <f ca="1">AVERAGE(OFFSET($CC$3,0,0,'Données projet'!$E$12+1,1))-AVERAGE(OFFSET($H$3,0,0,'Données projet'!$E$12+1,1))</f>
        <v>530.79860063513229</v>
      </c>
      <c r="CE105" s="60">
        <f t="shared" si="94"/>
        <v>302.50876440460434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244.11503999999979</v>
      </c>
      <c r="CV105" s="14">
        <f t="shared" si="95"/>
        <v>59.324023461759012</v>
      </c>
      <c r="CW105" s="22">
        <f t="shared" si="67"/>
        <v>528.48970219589648</v>
      </c>
      <c r="CX105" s="60">
        <f t="shared" si="68"/>
        <v>806.44163827087937</v>
      </c>
      <c r="CY105" s="60">
        <f ca="1">AVERAGE(OFFSET($CX$3,0,0,'Données projet'!$E$13+1,1))-AVERAGE(OFFSET($H$3,0,0,'Données projet'!$E$13+1,1))</f>
        <v>469.67944008675863</v>
      </c>
      <c r="CZ105" s="60">
        <f t="shared" si="96"/>
        <v>266.11908070867173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269.79999999999978</v>
      </c>
      <c r="DP105" s="18">
        <f>DO105*VLOOKUP('Données projet'!$B$14,Paramètres!$A$1:$I$89,3,0)*VLOOKUP('Données projet'!$B$14,Paramètres!$A$1:$I$89,5,0)</f>
        <v>290.41271999999975</v>
      </c>
      <c r="DQ105" s="14">
        <f t="shared" si="97"/>
        <v>69.162817905044719</v>
      </c>
      <c r="DR105" s="22">
        <f t="shared" si="70"/>
        <v>626.26072851795254</v>
      </c>
      <c r="DS105" s="60">
        <f t="shared" si="71"/>
        <v>904.21266459293543</v>
      </c>
      <c r="DT105" s="60">
        <f ca="1">AVERAGE(OFFSET($DS$3,0,0,'Données projet'!$E$14+1,1))-AVERAGE(OFFSET($H$3,0,0,'Données projet'!$E$14+1,1))</f>
        <v>542.90832990875208</v>
      </c>
      <c r="DU105" s="60">
        <f t="shared" si="98"/>
        <v>304.94365539329362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5.6843418860808015E-14</v>
      </c>
      <c r="EK105" s="18">
        <f>EJ105*VLOOKUP('Données projet'!$B$15,Paramètres!$A$1:$I$89,3,0)*VLOOKUP('Données projet'!$B$15,Paramètres!$A$1:$I$89,5,0)</f>
        <v>4.5224624045658861E-14</v>
      </c>
      <c r="EL105" s="14">
        <f t="shared" si="99"/>
        <v>7.4514601661523691E-13</v>
      </c>
      <c r="EM105" s="22">
        <f t="shared" si="73"/>
        <v>1.3765621991510601E-12</v>
      </c>
      <c r="EN105" s="60">
        <f t="shared" si="74"/>
        <v>277.9519360749843</v>
      </c>
      <c r="EO105" s="60">
        <f ca="1">AVERAGE(OFFSET($EN$3,0,0,'Données projet'!$E$15+1,1))-AVERAGE(OFFSET($H$3,0,0,'Données projet'!$E$15+1,1))</f>
        <v>273.72403794510291</v>
      </c>
      <c r="EP105" s="60">
        <f t="shared" si="100"/>
        <v>292.00185554564109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5.6843418860808015E-14</v>
      </c>
      <c r="FF105" s="18">
        <f>FE105*VLOOKUP('Données projet'!$B$16,Paramètres!$A$1:$I$89,3,0)*VLOOKUP('Données projet'!$B$16,Paramètres!$A$1:$I$89,5,0)</f>
        <v>4.4337866711430253E-14</v>
      </c>
      <c r="FG105" s="14">
        <f t="shared" si="101"/>
        <v>7.3222115536967035E-13</v>
      </c>
      <c r="FH105" s="22">
        <f t="shared" si="76"/>
        <v>1.3525069634579169E-12</v>
      </c>
      <c r="FI105" s="60">
        <f t="shared" si="77"/>
        <v>277.9519360749843</v>
      </c>
      <c r="FJ105" s="60">
        <f ca="1">AVERAGE(OFFSET($FI$3,0,0,'Données projet'!$E$16+1,1))-AVERAGE(OFFSET($H$3,0,0,'Données projet'!$E$16+1,1))</f>
        <v>309.21625451786218</v>
      </c>
      <c r="FK105" s="60">
        <f t="shared" si="102"/>
        <v>302.59481222418219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>
        <f>FZ105*VLOOKUP('Données projet'!$B$17,Paramètres!$A$1:$I$89,3,0)*VLOOKUP('Données projet'!$B$17,Paramètres!$A$1:$I$89,5,0)</f>
        <v>0</v>
      </c>
      <c r="GB105" s="14" t="e">
        <f t="shared" si="103"/>
        <v>#NUM!</v>
      </c>
      <c r="GC105" s="22" t="e">
        <f t="shared" si="79"/>
        <v>#NUM!</v>
      </c>
      <c r="GD105" s="60" t="e">
        <f t="shared" si="80"/>
        <v>#NUM!</v>
      </c>
      <c r="GE105" s="60">
        <f ca="1">AVERAGE(OFFSET($GD$3,0,0,'Données projet'!$E$17+1,1))-AVERAGE(OFFSET($H$3,0,0,'Données projet'!$E$17+1,1))</f>
        <v>216.36762889365235</v>
      </c>
      <c r="GF105" s="60">
        <f t="shared" si="104"/>
        <v>333.29599352215496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3.2441612925758743</v>
      </c>
      <c r="GM105" s="23">
        <f>EXP(-LN(2)/25)*GM104+(1-EXP(-LN(2)/25))/(LN(2)/25)*Calculateur!GH105*Calculateur!GJ105*VLOOKUP('Données projet'!$B$17,Paramètres!$A$1:$I$89,3,0)*0.475*44/12</f>
        <v>1.3243784603117721</v>
      </c>
      <c r="GN105" s="23">
        <f>EXP(-LN(2)/2)*GN104+(1-EXP(-LN(2)/2))/(LN(2)/2)*GH105*GK105*VLOOKUP('Données projet'!$B$17,Paramètres!$A$1:$I$89,3,0)*0.475*44/12</f>
        <v>4.2556023936963317E-11</v>
      </c>
      <c r="GO105" s="23">
        <f t="shared" si="81"/>
        <v>4.568539752930203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4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265.20623999999975</v>
      </c>
      <c r="P106" s="14">
        <f t="shared" si="87"/>
        <v>63.830854160896386</v>
      </c>
      <c r="Q106" s="22">
        <f t="shared" si="107"/>
        <v>573.07293899689409</v>
      </c>
      <c r="R106" s="60">
        <f t="shared" si="55"/>
        <v>851.29170792665673</v>
      </c>
      <c r="S106" s="60">
        <f ca="1">AVERAGE(OFFSET($R$3,0,0,'Données projet'!$E$9+1,1))-AVERAGE(OFFSET($H$3,0,0,'Données projet'!$E$9+1,1))</f>
        <v>496.33873798282525</v>
      </c>
      <c r="T106" s="60">
        <f t="shared" si="88"/>
        <v>280.25465074992246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5.4230769230769242</v>
      </c>
      <c r="AI106" s="14">
        <f>IF('Données projet'!$A$62&gt;35,AI105+AH106-AQ105,IF(A106&lt;'Données projet'!$A$62,$AF$205^A106,IF(A106='Données projet'!$A$62,'Données projet'!$B$62,AI105+AH106-AQ105)))</f>
        <v>223.55384615384645</v>
      </c>
      <c r="AJ106" s="14">
        <f>AI106*VLOOKUP('Données projet'!$B$10,Paramètres!$A$1:$I$89,3,0)*VLOOKUP('Données projet'!$B$10,Paramètres!$A$1:$I$89,5,0)</f>
        <v>104.62320000000014</v>
      </c>
      <c r="AK106" s="14">
        <f t="shared" si="89"/>
        <v>28.060497394023365</v>
      </c>
      <c r="AL106" s="22">
        <f t="shared" si="58"/>
        <v>231.09077296125758</v>
      </c>
      <c r="AM106" s="60">
        <f t="shared" si="59"/>
        <v>509.30954189102027</v>
      </c>
      <c r="AN106" s="60">
        <f ca="1">AVERAGE(OFFSET($AM$3,0,0,'Données projet'!$E$10+1,1))-AVERAGE(OFFSET($H$3,0,0,'Données projet'!$E$10+1,1))</f>
        <v>277.7918215389401</v>
      </c>
      <c r="AO106" s="60">
        <f t="shared" si="90"/>
        <v>164.65640238394164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3.141025641025641</v>
      </c>
      <c r="BD106" s="13">
        <f>IF('Données projet'!$A$88&gt;35,BD105+BC106-BL105,IF(A106&lt;'Données projet'!$A$88,$BA$205^A106,IF(A106='Données projet'!$A$88,'Données projet'!$B$88,BD105+BC106-BL105)))</f>
        <v>224.16666666666652</v>
      </c>
      <c r="BE106" s="14">
        <f>BD106*VLOOKUP('Données projet'!$B$11,Paramètres!$A$1:$I$89,3,0)*VLOOKUP('Données projet'!$B$11,Paramètres!$A$1:$I$89,5,0)</f>
        <v>213.31699999999984</v>
      </c>
      <c r="BF106" s="14">
        <f t="shared" si="91"/>
        <v>52.659771196796932</v>
      </c>
      <c r="BG106" s="22">
        <f t="shared" si="61"/>
        <v>463.24287650108772</v>
      </c>
      <c r="BH106" s="60">
        <f t="shared" si="62"/>
        <v>741.46164543085047</v>
      </c>
      <c r="BI106" s="60">
        <f ca="1">AVERAGE(OFFSET($BH$3,0,0,'Données projet'!$E$11+1,1))-AVERAGE(OFFSET($H$3,0,0,'Données projet'!$E$11+1,1))</f>
        <v>366.21371543563254</v>
      </c>
      <c r="BJ106" s="60">
        <f t="shared" si="92"/>
        <v>237.43356317334084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3.2051282051282044</v>
      </c>
      <c r="BY106" s="13">
        <f>IF('Données projet'!$A$114&gt;35,BY105+BX106-CG105,IF(A106&lt;'Données projet'!$A$114,$BV$205^A106,IF(A106='Données projet'!$A$114,'Données projet'!$B$114,BY105+BX106-CG105)))</f>
        <v>298.7179487179485</v>
      </c>
      <c r="BZ106" s="14">
        <f>BY106*VLOOKUP('Données projet'!$B$12,Paramètres!$A$1:$I$89,3,0)*VLOOKUP('Données projet'!$B$12,Paramètres!$A$1:$I$89,5,0)</f>
        <v>312.2199999999998</v>
      </c>
      <c r="CA106" s="14">
        <f t="shared" si="93"/>
        <v>73.732261810577455</v>
      </c>
      <c r="CB106" s="22">
        <f t="shared" si="64"/>
        <v>672.20018932008873</v>
      </c>
      <c r="CC106" s="60">
        <f t="shared" si="65"/>
        <v>950.41895824985136</v>
      </c>
      <c r="CD106" s="60">
        <f ca="1">AVERAGE(OFFSET($CC$3,0,0,'Données projet'!$E$12+1,1))-AVERAGE(OFFSET($H$3,0,0,'Données projet'!$E$12+1,1))</f>
        <v>530.79860063513229</v>
      </c>
      <c r="CE106" s="60">
        <f t="shared" si="94"/>
        <v>302.50876440460434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248.0961599999998</v>
      </c>
      <c r="CV106" s="14">
        <f t="shared" si="95"/>
        <v>60.178080967364686</v>
      </c>
      <c r="CW106" s="22">
        <f t="shared" si="67"/>
        <v>536.91096968482657</v>
      </c>
      <c r="CX106" s="60">
        <f t="shared" si="68"/>
        <v>815.12973861458931</v>
      </c>
      <c r="CY106" s="60">
        <f ca="1">AVERAGE(OFFSET($CX$3,0,0,'Données projet'!$E$13+1,1))-AVERAGE(OFFSET($H$3,0,0,'Données projet'!$E$13+1,1))</f>
        <v>469.67944008675863</v>
      </c>
      <c r="CZ106" s="60">
        <f t="shared" si="96"/>
        <v>266.11908070867173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274.19999999999976</v>
      </c>
      <c r="DP106" s="18">
        <f>DO106*VLOOKUP('Données projet'!$B$14,Paramètres!$A$1:$I$89,3,0)*VLOOKUP('Données projet'!$B$14,Paramètres!$A$1:$I$89,5,0)</f>
        <v>295.14887999999974</v>
      </c>
      <c r="DQ106" s="14">
        <f t="shared" si="97"/>
        <v>70.158519482479349</v>
      </c>
      <c r="DR106" s="22">
        <f t="shared" si="70"/>
        <v>636.24372076531768</v>
      </c>
      <c r="DS106" s="60">
        <f t="shared" si="71"/>
        <v>914.46248969508042</v>
      </c>
      <c r="DT106" s="60">
        <f ca="1">AVERAGE(OFFSET($DS$3,0,0,'Données projet'!$E$14+1,1))-AVERAGE(OFFSET($H$3,0,0,'Données projet'!$E$14+1,1))</f>
        <v>542.90832990875208</v>
      </c>
      <c r="DU106" s="60">
        <f t="shared" si="98"/>
        <v>304.94365539329362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5.6843418860808015E-14</v>
      </c>
      <c r="EK106" s="18">
        <f>EJ106*VLOOKUP('Données projet'!$B$15,Paramètres!$A$1:$I$89,3,0)*VLOOKUP('Données projet'!$B$15,Paramètres!$A$1:$I$89,5,0)</f>
        <v>4.5224624045658861E-14</v>
      </c>
      <c r="EL106" s="14">
        <f t="shared" si="99"/>
        <v>7.4514601661523691E-13</v>
      </c>
      <c r="EM106" s="22">
        <f t="shared" si="73"/>
        <v>1.3765621991510601E-12</v>
      </c>
      <c r="EN106" s="60">
        <f t="shared" si="74"/>
        <v>278.21876892976405</v>
      </c>
      <c r="EO106" s="60">
        <f ca="1">AVERAGE(OFFSET($EN$3,0,0,'Données projet'!$E$15+1,1))-AVERAGE(OFFSET($H$3,0,0,'Données projet'!$E$15+1,1))</f>
        <v>273.72403794510291</v>
      </c>
      <c r="EP106" s="60">
        <f t="shared" si="100"/>
        <v>292.00185554564109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5.6843418860808015E-14</v>
      </c>
      <c r="FF106" s="18">
        <f>FE106*VLOOKUP('Données projet'!$B$16,Paramètres!$A$1:$I$89,3,0)*VLOOKUP('Données projet'!$B$16,Paramètres!$A$1:$I$89,5,0)</f>
        <v>4.4337866711430253E-14</v>
      </c>
      <c r="FG106" s="14">
        <f t="shared" si="101"/>
        <v>7.3222115536967035E-13</v>
      </c>
      <c r="FH106" s="22">
        <f t="shared" si="76"/>
        <v>1.3525069634579169E-12</v>
      </c>
      <c r="FI106" s="60">
        <f t="shared" si="77"/>
        <v>278.21876892976405</v>
      </c>
      <c r="FJ106" s="60">
        <f ca="1">AVERAGE(OFFSET($FI$3,0,0,'Données projet'!$E$16+1,1))-AVERAGE(OFFSET($H$3,0,0,'Données projet'!$E$16+1,1))</f>
        <v>309.21625451786218</v>
      </c>
      <c r="FK106" s="60">
        <f t="shared" si="102"/>
        <v>302.59481222418219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>
        <f>FZ106*VLOOKUP('Données projet'!$B$17,Paramètres!$A$1:$I$89,3,0)*VLOOKUP('Données projet'!$B$17,Paramètres!$A$1:$I$89,5,0)</f>
        <v>0</v>
      </c>
      <c r="GB106" s="14" t="e">
        <f t="shared" si="103"/>
        <v>#NUM!</v>
      </c>
      <c r="GC106" s="22" t="e">
        <f t="shared" si="79"/>
        <v>#NUM!</v>
      </c>
      <c r="GD106" s="60" t="e">
        <f t="shared" si="80"/>
        <v>#NUM!</v>
      </c>
      <c r="GE106" s="60">
        <f ca="1">AVERAGE(OFFSET($GD$3,0,0,'Données projet'!$E$17+1,1))-AVERAGE(OFFSET($H$3,0,0,'Données projet'!$E$17+1,1))</f>
        <v>216.36762889365235</v>
      </c>
      <c r="GF106" s="60">
        <f t="shared" si="104"/>
        <v>333.29599352215496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3.180545268371465</v>
      </c>
      <c r="GM106" s="23">
        <f>EXP(-LN(2)/25)*GM105+(1-EXP(-LN(2)/25))/(LN(2)/25)*Calculateur!GH106*Calculateur!GJ106*VLOOKUP('Données projet'!$B$17,Paramètres!$A$1:$I$89,3,0)*0.475*44/12</f>
        <v>1.2881632616685104</v>
      </c>
      <c r="GN106" s="23">
        <f>EXP(-LN(2)/2)*GN105+(1-EXP(-LN(2)/2))/(LN(2)/2)*GH106*GK106*VLOOKUP('Données projet'!$B$17,Paramètres!$A$1:$I$89,3,0)*0.475*44/12</f>
        <v>3.0091653106163798E-11</v>
      </c>
      <c r="GO106" s="23">
        <f t="shared" si="81"/>
        <v>4.4687085300700673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4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269.46191999999974</v>
      </c>
      <c r="P107" s="14">
        <f t="shared" si="87"/>
        <v>64.735061876839055</v>
      </c>
      <c r="Q107" s="22">
        <f t="shared" si="107"/>
        <v>582.05974343549417</v>
      </c>
      <c r="R107" s="60">
        <f t="shared" si="55"/>
        <v>860.54071626655514</v>
      </c>
      <c r="S107" s="60">
        <f ca="1">AVERAGE(OFFSET($R$3,0,0,'Données projet'!$E$9+1,1))-AVERAGE(OFFSET($H$3,0,0,'Données projet'!$E$9+1,1))</f>
        <v>496.33873798282525</v>
      </c>
      <c r="T107" s="60">
        <f t="shared" si="88"/>
        <v>280.25465074992246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5.4230769230769242</v>
      </c>
      <c r="AI107" s="14">
        <f>IF('Données projet'!$A$62&gt;35,AI106+AH107-AQ106,IF(A107&lt;'Données projet'!$A$62,$AF$205^A107,IF(A107='Données projet'!$A$62,'Données projet'!$B$62,AI106+AH107-AQ106)))</f>
        <v>228.97692307692338</v>
      </c>
      <c r="AJ107" s="14">
        <f>AI107*VLOOKUP('Données projet'!$B$10,Paramètres!$A$1:$I$89,3,0)*VLOOKUP('Données projet'!$B$10,Paramètres!$A$1:$I$89,5,0)</f>
        <v>107.16120000000015</v>
      </c>
      <c r="AK107" s="14">
        <f t="shared" si="89"/>
        <v>28.661126777366903</v>
      </c>
      <c r="AL107" s="22">
        <f t="shared" si="58"/>
        <v>236.55721913724756</v>
      </c>
      <c r="AM107" s="60">
        <f t="shared" si="59"/>
        <v>515.03819196830841</v>
      </c>
      <c r="AN107" s="60">
        <f ca="1">AVERAGE(OFFSET($AM$3,0,0,'Données projet'!$E$10+1,1))-AVERAGE(OFFSET($H$3,0,0,'Données projet'!$E$10+1,1))</f>
        <v>277.7918215389401</v>
      </c>
      <c r="AO107" s="60">
        <f t="shared" si="90"/>
        <v>164.65640238394164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3.141025641025641</v>
      </c>
      <c r="BD107" s="13">
        <f>IF('Données projet'!$A$88&gt;35,BD106+BC107-BL106,IF(A107&lt;'Données projet'!$A$88,$BA$205^A107,IF(A107='Données projet'!$A$88,'Données projet'!$B$88,BD106+BC107-BL106)))</f>
        <v>227.30769230769215</v>
      </c>
      <c r="BE107" s="14">
        <f>BD107*VLOOKUP('Données projet'!$B$11,Paramètres!$A$1:$I$89,3,0)*VLOOKUP('Données projet'!$B$11,Paramètres!$A$1:$I$89,5,0)</f>
        <v>216.30599999999984</v>
      </c>
      <c r="BF107" s="14">
        <f t="shared" si="91"/>
        <v>53.311223533459987</v>
      </c>
      <c r="BG107" s="22">
        <f t="shared" si="61"/>
        <v>469.58333098744248</v>
      </c>
      <c r="BH107" s="60">
        <f t="shared" si="62"/>
        <v>748.06430381850339</v>
      </c>
      <c r="BI107" s="60">
        <f ca="1">AVERAGE(OFFSET($BH$3,0,0,'Données projet'!$E$11+1,1))-AVERAGE(OFFSET($H$3,0,0,'Données projet'!$E$11+1,1))</f>
        <v>366.21371543563254</v>
      </c>
      <c r="BJ107" s="60">
        <f t="shared" si="92"/>
        <v>237.43356317334084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3.2051282051282044</v>
      </c>
      <c r="BY107" s="13">
        <f>IF('Données projet'!$A$114&gt;35,BY106+BX107-CG106,IF(A107&lt;'Données projet'!$A$114,$BV$205^A107,IF(A107='Données projet'!$A$114,'Données projet'!$B$114,BY106+BX107-CG106)))</f>
        <v>301.92307692307668</v>
      </c>
      <c r="BZ107" s="14">
        <f>BY107*VLOOKUP('Données projet'!$B$12,Paramètres!$A$1:$I$89,3,0)*VLOOKUP('Données projet'!$B$12,Paramètres!$A$1:$I$89,5,0)</f>
        <v>315.56999999999977</v>
      </c>
      <c r="CA107" s="14">
        <f t="shared" si="93"/>
        <v>74.430859496988774</v>
      </c>
      <c r="CB107" s="22">
        <f t="shared" si="64"/>
        <v>679.25149695725497</v>
      </c>
      <c r="CC107" s="60">
        <f t="shared" si="65"/>
        <v>957.73246978831594</v>
      </c>
      <c r="CD107" s="60">
        <f ca="1">AVERAGE(OFFSET($CC$3,0,0,'Données projet'!$E$12+1,1))-AVERAGE(OFFSET($H$3,0,0,'Données projet'!$E$12+1,1))</f>
        <v>530.79860063513229</v>
      </c>
      <c r="CE107" s="60">
        <f t="shared" si="94"/>
        <v>302.50876440460434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252.07727999999975</v>
      </c>
      <c r="CV107" s="14">
        <f t="shared" si="95"/>
        <v>61.03054465215493</v>
      </c>
      <c r="CW107" s="22">
        <f t="shared" si="67"/>
        <v>545.32946126916943</v>
      </c>
      <c r="CX107" s="60">
        <f t="shared" si="68"/>
        <v>823.8104341002304</v>
      </c>
      <c r="CY107" s="60">
        <f ca="1">AVERAGE(OFFSET($CX$3,0,0,'Données projet'!$E$13+1,1))-AVERAGE(OFFSET($H$3,0,0,'Données projet'!$E$13+1,1))</f>
        <v>469.67944008675863</v>
      </c>
      <c r="CZ107" s="60">
        <f t="shared" si="96"/>
        <v>266.11908070867173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278.59999999999974</v>
      </c>
      <c r="DP107" s="18">
        <f>DO107*VLOOKUP('Données projet'!$B$14,Paramètres!$A$1:$I$89,3,0)*VLOOKUP('Données projet'!$B$14,Paramètres!$A$1:$I$89,5,0)</f>
        <v>299.88503999999972</v>
      </c>
      <c r="DQ107" s="14">
        <f t="shared" si="97"/>
        <v>71.152362906464575</v>
      </c>
      <c r="DR107" s="22">
        <f t="shared" si="70"/>
        <v>646.22347672875867</v>
      </c>
      <c r="DS107" s="60">
        <f t="shared" si="71"/>
        <v>924.70444955981952</v>
      </c>
      <c r="DT107" s="60">
        <f ca="1">AVERAGE(OFFSET($DS$3,0,0,'Données projet'!$E$14+1,1))-AVERAGE(OFFSET($H$3,0,0,'Données projet'!$E$14+1,1))</f>
        <v>542.90832990875208</v>
      </c>
      <c r="DU107" s="60">
        <f t="shared" si="98"/>
        <v>304.94365539329362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5.6843418860808015E-14</v>
      </c>
      <c r="EK107" s="18">
        <f>EJ107*VLOOKUP('Données projet'!$B$15,Paramètres!$A$1:$I$89,3,0)*VLOOKUP('Données projet'!$B$15,Paramètres!$A$1:$I$89,5,0)</f>
        <v>4.5224624045658861E-14</v>
      </c>
      <c r="EL107" s="14">
        <f t="shared" si="99"/>
        <v>7.4514601661523691E-13</v>
      </c>
      <c r="EM107" s="22">
        <f t="shared" si="73"/>
        <v>1.3765621991510601E-12</v>
      </c>
      <c r="EN107" s="60">
        <f t="shared" si="74"/>
        <v>278.48097283106227</v>
      </c>
      <c r="EO107" s="60">
        <f ca="1">AVERAGE(OFFSET($EN$3,0,0,'Données projet'!$E$15+1,1))-AVERAGE(OFFSET($H$3,0,0,'Données projet'!$E$15+1,1))</f>
        <v>273.72403794510291</v>
      </c>
      <c r="EP107" s="60">
        <f t="shared" si="100"/>
        <v>292.00185554564109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5.6843418860808015E-14</v>
      </c>
      <c r="FF107" s="18">
        <f>FE107*VLOOKUP('Données projet'!$B$16,Paramètres!$A$1:$I$89,3,0)*VLOOKUP('Données projet'!$B$16,Paramètres!$A$1:$I$89,5,0)</f>
        <v>4.4337866711430253E-14</v>
      </c>
      <c r="FG107" s="14">
        <f t="shared" si="101"/>
        <v>7.3222115536967035E-13</v>
      </c>
      <c r="FH107" s="22">
        <f t="shared" si="76"/>
        <v>1.3525069634579169E-12</v>
      </c>
      <c r="FI107" s="60">
        <f t="shared" si="77"/>
        <v>278.48097283106227</v>
      </c>
      <c r="FJ107" s="60">
        <f ca="1">AVERAGE(OFFSET($FI$3,0,0,'Données projet'!$E$16+1,1))-AVERAGE(OFFSET($H$3,0,0,'Données projet'!$E$16+1,1))</f>
        <v>309.21625451786218</v>
      </c>
      <c r="FK107" s="60">
        <f t="shared" si="102"/>
        <v>302.59481222418219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>
        <f>FZ107*VLOOKUP('Données projet'!$B$17,Paramètres!$A$1:$I$89,3,0)*VLOOKUP('Données projet'!$B$17,Paramètres!$A$1:$I$89,5,0)</f>
        <v>0</v>
      </c>
      <c r="GB107" s="14" t="e">
        <f t="shared" si="103"/>
        <v>#NUM!</v>
      </c>
      <c r="GC107" s="22" t="e">
        <f t="shared" si="79"/>
        <v>#NUM!</v>
      </c>
      <c r="GD107" s="60" t="e">
        <f t="shared" si="80"/>
        <v>#NUM!</v>
      </c>
      <c r="GE107" s="60">
        <f ca="1">AVERAGE(OFFSET($GD$3,0,0,'Données projet'!$E$17+1,1))-AVERAGE(OFFSET($H$3,0,0,'Données projet'!$E$17+1,1))</f>
        <v>216.36762889365235</v>
      </c>
      <c r="GF107" s="60">
        <f t="shared" si="104"/>
        <v>333.29599352215496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3.1181767155997608</v>
      </c>
      <c r="GM107" s="23">
        <f>EXP(-LN(2)/25)*GM106+(1-EXP(-LN(2)/25))/(LN(2)/25)*Calculateur!GH107*Calculateur!GJ107*VLOOKUP('Données projet'!$B$17,Paramètres!$A$1:$I$89,3,0)*0.475*44/12</f>
        <v>1.2529383695366232</v>
      </c>
      <c r="GN107" s="23">
        <f>EXP(-LN(2)/2)*GN106+(1-EXP(-LN(2)/2))/(LN(2)/2)*GH107*GK107*VLOOKUP('Données projet'!$B$17,Paramètres!$A$1:$I$89,3,0)*0.475*44/12</f>
        <v>2.1278011968481659E-11</v>
      </c>
      <c r="GO107" s="23">
        <f t="shared" si="81"/>
        <v>4.3711150851576619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4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273.71759999999972</v>
      </c>
      <c r="P108" s="14">
        <f t="shared" si="87"/>
        <v>65.637608810456612</v>
      </c>
      <c r="Q108" s="22">
        <f t="shared" si="107"/>
        <v>591.04365534487806</v>
      </c>
      <c r="R108" s="60">
        <f t="shared" si="55"/>
        <v>869.78228342574982</v>
      </c>
      <c r="S108" s="60">
        <f ca="1">AVERAGE(OFFSET($R$3,0,0,'Données projet'!$E$9+1,1))-AVERAGE(OFFSET($H$3,0,0,'Données projet'!$E$9+1,1))</f>
        <v>496.33873798282525</v>
      </c>
      <c r="T108" s="60">
        <f t="shared" si="88"/>
        <v>280.25465074992246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5.4230769230769242</v>
      </c>
      <c r="AI108" s="14">
        <f>IF('Données projet'!$A$62&gt;35,AI107+AH108-AQ107,IF(A108&lt;'Données projet'!$A$62,$AF$205^A108,IF(A108='Données projet'!$A$62,'Données projet'!$B$62,AI107+AH108-AQ107)))</f>
        <v>234.40000000000032</v>
      </c>
      <c r="AJ108" s="14">
        <f>AI108*VLOOKUP('Données projet'!$B$10,Paramètres!$A$1:$I$89,3,0)*VLOOKUP('Données projet'!$B$10,Paramètres!$A$1:$I$89,5,0)</f>
        <v>109.69920000000015</v>
      </c>
      <c r="AK108" s="14">
        <f t="shared" si="89"/>
        <v>29.260102455780611</v>
      </c>
      <c r="AL108" s="22">
        <f t="shared" si="58"/>
        <v>242.02078511048478</v>
      </c>
      <c r="AM108" s="60">
        <f t="shared" si="59"/>
        <v>520.75941319135654</v>
      </c>
      <c r="AN108" s="60">
        <f ca="1">AVERAGE(OFFSET($AM$3,0,0,'Données projet'!$E$10+1,1))-AVERAGE(OFFSET($H$3,0,0,'Données projet'!$E$10+1,1))</f>
        <v>277.7918215389401</v>
      </c>
      <c r="AO108" s="60">
        <f t="shared" si="90"/>
        <v>164.65640238394164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3.141025641025641</v>
      </c>
      <c r="BD108" s="13">
        <f>IF('Données projet'!$A$88&gt;35,BD107+BC108-BL107,IF(A108&lt;'Données projet'!$A$88,$BA$205^A108,IF(A108='Données projet'!$A$88,'Données projet'!$B$88,BD107+BC108-BL107)))</f>
        <v>230.44871794871779</v>
      </c>
      <c r="BE108" s="14">
        <f>BD108*VLOOKUP('Données projet'!$B$11,Paramètres!$A$1:$I$89,3,0)*VLOOKUP('Données projet'!$B$11,Paramètres!$A$1:$I$89,5,0)</f>
        <v>219.29499999999985</v>
      </c>
      <c r="BF108" s="14">
        <f t="shared" si="91"/>
        <v>53.961628841958429</v>
      </c>
      <c r="BG108" s="22">
        <f t="shared" si="61"/>
        <v>475.92196189974402</v>
      </c>
      <c r="BH108" s="60">
        <f t="shared" si="62"/>
        <v>754.66058998061578</v>
      </c>
      <c r="BI108" s="60">
        <f ca="1">AVERAGE(OFFSET($BH$3,0,0,'Données projet'!$E$11+1,1))-AVERAGE(OFFSET($H$3,0,0,'Données projet'!$E$11+1,1))</f>
        <v>366.21371543563254</v>
      </c>
      <c r="BJ108" s="60">
        <f t="shared" si="92"/>
        <v>237.43356317334084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3.2051282051282044</v>
      </c>
      <c r="BY108" s="13">
        <f>IF('Données projet'!$A$114&gt;35,BY107+BX108-CG107,IF(A108&lt;'Données projet'!$A$114,$BV$205^A108,IF(A108='Données projet'!$A$114,'Données projet'!$B$114,BY107+BX108-CG107)))</f>
        <v>305.12820512820485</v>
      </c>
      <c r="BZ108" s="14">
        <f>BY108*VLOOKUP('Données projet'!$B$12,Paramètres!$A$1:$I$89,3,0)*VLOOKUP('Données projet'!$B$12,Paramètres!$A$1:$I$89,5,0)</f>
        <v>318.91999999999973</v>
      </c>
      <c r="CA108" s="14">
        <f t="shared" si="93"/>
        <v>75.128594464022456</v>
      </c>
      <c r="CB108" s="22">
        <f t="shared" si="64"/>
        <v>686.30130202483861</v>
      </c>
      <c r="CC108" s="60">
        <f t="shared" si="65"/>
        <v>965.03993010571037</v>
      </c>
      <c r="CD108" s="60">
        <f ca="1">AVERAGE(OFFSET($CC$3,0,0,'Données projet'!$E$12+1,1))-AVERAGE(OFFSET($H$3,0,0,'Données projet'!$E$12+1,1))</f>
        <v>530.79860063513229</v>
      </c>
      <c r="CE108" s="60">
        <f t="shared" si="94"/>
        <v>302.50876440460434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256.05839999999972</v>
      </c>
      <c r="CV108" s="14">
        <f t="shared" si="95"/>
        <v>61.881442594256434</v>
      </c>
      <c r="CW108" s="22">
        <f t="shared" si="67"/>
        <v>553.74522585166278</v>
      </c>
      <c r="CX108" s="60">
        <f t="shared" si="68"/>
        <v>832.48385393253454</v>
      </c>
      <c r="CY108" s="60">
        <f ca="1">AVERAGE(OFFSET($CX$3,0,0,'Données projet'!$E$13+1,1))-AVERAGE(OFFSET($H$3,0,0,'Données projet'!$E$13+1,1))</f>
        <v>469.67944008675863</v>
      </c>
      <c r="CZ108" s="60">
        <f t="shared" si="96"/>
        <v>266.11908070867173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282.99999999999972</v>
      </c>
      <c r="DP108" s="18">
        <f>DO108*VLOOKUP('Données projet'!$B$14,Paramètres!$A$1:$I$89,3,0)*VLOOKUP('Données projet'!$B$14,Paramètres!$A$1:$I$89,5,0)</f>
        <v>304.62119999999965</v>
      </c>
      <c r="DQ108" s="14">
        <f t="shared" si="97"/>
        <v>72.144380911839335</v>
      </c>
      <c r="DR108" s="22">
        <f t="shared" si="70"/>
        <v>656.20005342145294</v>
      </c>
      <c r="DS108" s="60">
        <f t="shared" si="71"/>
        <v>934.9386815023247</v>
      </c>
      <c r="DT108" s="60">
        <f ca="1">AVERAGE(OFFSET($DS$3,0,0,'Données projet'!$E$14+1,1))-AVERAGE(OFFSET($H$3,0,0,'Données projet'!$E$14+1,1))</f>
        <v>542.90832990875208</v>
      </c>
      <c r="DU108" s="60">
        <f t="shared" si="98"/>
        <v>304.94365539329362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5.6843418860808015E-14</v>
      </c>
      <c r="EK108" s="18">
        <f>EJ108*VLOOKUP('Données projet'!$B$15,Paramètres!$A$1:$I$89,3,0)*VLOOKUP('Données projet'!$B$15,Paramètres!$A$1:$I$89,5,0)</f>
        <v>4.5224624045658861E-14</v>
      </c>
      <c r="EL108" s="14">
        <f t="shared" si="99"/>
        <v>7.4514601661523691E-13</v>
      </c>
      <c r="EM108" s="22">
        <f t="shared" si="73"/>
        <v>1.3765621991510601E-12</v>
      </c>
      <c r="EN108" s="60">
        <f t="shared" si="74"/>
        <v>278.73862808087313</v>
      </c>
      <c r="EO108" s="60">
        <f ca="1">AVERAGE(OFFSET($EN$3,0,0,'Données projet'!$E$15+1,1))-AVERAGE(OFFSET($H$3,0,0,'Données projet'!$E$15+1,1))</f>
        <v>273.72403794510291</v>
      </c>
      <c r="EP108" s="60">
        <f t="shared" si="100"/>
        <v>292.00185554564109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5.6843418860808015E-14</v>
      </c>
      <c r="FF108" s="18">
        <f>FE108*VLOOKUP('Données projet'!$B$16,Paramètres!$A$1:$I$89,3,0)*VLOOKUP('Données projet'!$B$16,Paramètres!$A$1:$I$89,5,0)</f>
        <v>4.4337866711430253E-14</v>
      </c>
      <c r="FG108" s="14">
        <f t="shared" si="101"/>
        <v>7.3222115536967035E-13</v>
      </c>
      <c r="FH108" s="22">
        <f t="shared" si="76"/>
        <v>1.3525069634579169E-12</v>
      </c>
      <c r="FI108" s="60">
        <f t="shared" si="77"/>
        <v>278.73862808087313</v>
      </c>
      <c r="FJ108" s="60">
        <f ca="1">AVERAGE(OFFSET($FI$3,0,0,'Données projet'!$E$16+1,1))-AVERAGE(OFFSET($H$3,0,0,'Données projet'!$E$16+1,1))</f>
        <v>309.21625451786218</v>
      </c>
      <c r="FK108" s="60">
        <f t="shared" si="102"/>
        <v>302.59481222418219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>
        <f>FZ108*VLOOKUP('Données projet'!$B$17,Paramètres!$A$1:$I$89,3,0)*VLOOKUP('Données projet'!$B$17,Paramètres!$A$1:$I$89,5,0)</f>
        <v>0</v>
      </c>
      <c r="GB108" s="14" t="e">
        <f t="shared" si="103"/>
        <v>#NUM!</v>
      </c>
      <c r="GC108" s="22" t="e">
        <f t="shared" si="79"/>
        <v>#NUM!</v>
      </c>
      <c r="GD108" s="60" t="e">
        <f t="shared" si="80"/>
        <v>#NUM!</v>
      </c>
      <c r="GE108" s="60">
        <f ca="1">AVERAGE(OFFSET($GD$3,0,0,'Données projet'!$E$17+1,1))-AVERAGE(OFFSET($H$3,0,0,'Données projet'!$E$17+1,1))</f>
        <v>216.36762889365235</v>
      </c>
      <c r="GF108" s="60">
        <f t="shared" si="104"/>
        <v>333.29599352215496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3.057031172106849</v>
      </c>
      <c r="GM108" s="23">
        <f>EXP(-LN(2)/25)*GM107+(1-EXP(-LN(2)/25))/(LN(2)/25)*Calculateur!GH108*Calculateur!GJ108*VLOOKUP('Données projet'!$B$17,Paramètres!$A$1:$I$89,3,0)*0.475*44/12</f>
        <v>1.2186767039324791</v>
      </c>
      <c r="GN108" s="23">
        <f>EXP(-LN(2)/2)*GN107+(1-EXP(-LN(2)/2))/(LN(2)/2)*GH108*GK108*VLOOKUP('Données projet'!$B$17,Paramètres!$A$1:$I$89,3,0)*0.475*44/12</f>
        <v>1.5045826553081899E-11</v>
      </c>
      <c r="GO108" s="23">
        <f t="shared" si="81"/>
        <v>4.2757078760543736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4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277.9732799999997</v>
      </c>
      <c r="P109" s="14">
        <f t="shared" si="87"/>
        <v>66.538523764973135</v>
      </c>
      <c r="Q109" s="22">
        <f t="shared" si="107"/>
        <v>600.0247248906611</v>
      </c>
      <c r="R109" s="60">
        <f t="shared" si="55"/>
        <v>879.01653847879015</v>
      </c>
      <c r="S109" s="60">
        <f ca="1">AVERAGE(OFFSET($R$3,0,0,'Données projet'!$E$9+1,1))-AVERAGE(OFFSET($H$3,0,0,'Données projet'!$E$9+1,1))</f>
        <v>496.33873798282525</v>
      </c>
      <c r="T109" s="60">
        <f t="shared" si="88"/>
        <v>280.25465074992246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5.4230769230769242</v>
      </c>
      <c r="AI109" s="14">
        <f>IF('Données projet'!$A$62&gt;35,AI108+AH109-AQ108,IF(A109&lt;'Données projet'!$A$62,$AF$205^A109,IF(A109='Données projet'!$A$62,'Données projet'!$B$62,AI108+AH109-AQ108)))</f>
        <v>239.82307692307725</v>
      </c>
      <c r="AJ109" s="14">
        <f>AI109*VLOOKUP('Données projet'!$B$10,Paramètres!$A$1:$I$89,3,0)*VLOOKUP('Données projet'!$B$10,Paramètres!$A$1:$I$89,5,0)</f>
        <v>112.23720000000016</v>
      </c>
      <c r="AK109" s="14">
        <f t="shared" si="89"/>
        <v>29.857467093078018</v>
      </c>
      <c r="AL109" s="22">
        <f t="shared" si="58"/>
        <v>247.48154518711115</v>
      </c>
      <c r="AM109" s="60">
        <f t="shared" si="59"/>
        <v>526.47335877524029</v>
      </c>
      <c r="AN109" s="60">
        <f ca="1">AVERAGE(OFFSET($AM$3,0,0,'Données projet'!$E$10+1,1))-AVERAGE(OFFSET($H$3,0,0,'Données projet'!$E$10+1,1))</f>
        <v>277.7918215389401</v>
      </c>
      <c r="AO109" s="60">
        <f t="shared" si="90"/>
        <v>164.65640238394164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3.141025641025641</v>
      </c>
      <c r="BD109" s="13">
        <f>IF('Données projet'!$A$88&gt;35,BD108+BC109-BL108,IF(A109&lt;'Données projet'!$A$88,$BA$205^A109,IF(A109='Données projet'!$A$88,'Données projet'!$B$88,BD108+BC109-BL108)))</f>
        <v>233.58974358974342</v>
      </c>
      <c r="BE109" s="14">
        <f>BD109*VLOOKUP('Données projet'!$B$11,Paramètres!$A$1:$I$89,3,0)*VLOOKUP('Données projet'!$B$11,Paramètres!$A$1:$I$89,5,0)</f>
        <v>222.28399999999985</v>
      </c>
      <c r="BF109" s="14">
        <f t="shared" si="91"/>
        <v>54.611003042838703</v>
      </c>
      <c r="BG109" s="22">
        <f t="shared" si="61"/>
        <v>482.25879696627709</v>
      </c>
      <c r="BH109" s="60">
        <f t="shared" si="62"/>
        <v>761.25061055440619</v>
      </c>
      <c r="BI109" s="60">
        <f ca="1">AVERAGE(OFFSET($BH$3,0,0,'Données projet'!$E$11+1,1))-AVERAGE(OFFSET($H$3,0,0,'Données projet'!$E$11+1,1))</f>
        <v>366.21371543563254</v>
      </c>
      <c r="BJ109" s="60">
        <f t="shared" si="92"/>
        <v>237.43356317334084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3.2051282051282044</v>
      </c>
      <c r="BY109" s="13">
        <f>IF('Données projet'!$A$114&gt;35,BY108+BX109-CG108,IF(A109&lt;'Données projet'!$A$114,$BV$205^A109,IF(A109='Données projet'!$A$114,'Données projet'!$B$114,BY108+BX109-CG108)))</f>
        <v>308.33333333333303</v>
      </c>
      <c r="BZ109" s="14">
        <f>BY109*VLOOKUP('Données projet'!$B$12,Paramètres!$A$1:$I$89,3,0)*VLOOKUP('Données projet'!$B$12,Paramètres!$A$1:$I$89,5,0)</f>
        <v>322.2699999999997</v>
      </c>
      <c r="CA109" s="14">
        <f t="shared" si="93"/>
        <v>75.825476822885705</v>
      </c>
      <c r="CB109" s="22">
        <f t="shared" si="64"/>
        <v>693.34962213319204</v>
      </c>
      <c r="CC109" s="60">
        <f t="shared" si="65"/>
        <v>972.3414357213212</v>
      </c>
      <c r="CD109" s="60">
        <f ca="1">AVERAGE(OFFSET($CC$3,0,0,'Données projet'!$E$12+1,1))-AVERAGE(OFFSET($H$3,0,0,'Données projet'!$E$12+1,1))</f>
        <v>530.79860063513229</v>
      </c>
      <c r="CE109" s="60">
        <f t="shared" si="94"/>
        <v>302.50876440460434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260.0395199999997</v>
      </c>
      <c r="CV109" s="14">
        <f t="shared" si="95"/>
        <v>62.730801948604821</v>
      </c>
      <c r="CW109" s="22">
        <f t="shared" si="67"/>
        <v>562.15831072715287</v>
      </c>
      <c r="CX109" s="60">
        <f t="shared" si="68"/>
        <v>841.15012431528203</v>
      </c>
      <c r="CY109" s="60">
        <f ca="1">AVERAGE(OFFSET($CX$3,0,0,'Données projet'!$E$13+1,1))-AVERAGE(OFFSET($H$3,0,0,'Données projet'!$E$13+1,1))</f>
        <v>469.67944008675863</v>
      </c>
      <c r="CZ109" s="60">
        <f t="shared" si="96"/>
        <v>266.11908070867173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4.4000000000000004</v>
      </c>
      <c r="DO109" s="13">
        <f>IF('Données projet'!$A$166&gt;35,DO108+DN109-DW108,IF(A109&lt;'Données projet'!$A$166,$DL$205^A109,IF(A109='Données projet'!$A$166,'Données projet'!$B$166,DO108+DN109-DW108)))</f>
        <v>287.39999999999969</v>
      </c>
      <c r="DP109" s="18">
        <f>DO109*VLOOKUP('Données projet'!$B$14,Paramètres!$A$1:$I$89,3,0)*VLOOKUP('Données projet'!$B$14,Paramètres!$A$1:$I$89,5,0)</f>
        <v>309.35735999999969</v>
      </c>
      <c r="DQ109" s="14">
        <f t="shared" si="97"/>
        <v>73.134605157142161</v>
      </c>
      <c r="DR109" s="22">
        <f t="shared" si="70"/>
        <v>666.17350598202211</v>
      </c>
      <c r="DS109" s="60">
        <f t="shared" si="71"/>
        <v>945.16531957015127</v>
      </c>
      <c r="DT109" s="60">
        <f ca="1">AVERAGE(OFFSET($DS$3,0,0,'Données projet'!$E$14+1,1))-AVERAGE(OFFSET($H$3,0,0,'Données projet'!$E$14+1,1))</f>
        <v>542.90832990875208</v>
      </c>
      <c r="DU109" s="60">
        <f t="shared" si="98"/>
        <v>304.94365539329362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5.6843418860808015E-14</v>
      </c>
      <c r="EK109" s="18">
        <f>EJ109*VLOOKUP('Données projet'!$B$15,Paramètres!$A$1:$I$89,3,0)*VLOOKUP('Données projet'!$B$15,Paramètres!$A$1:$I$89,5,0)</f>
        <v>4.5224624045658861E-14</v>
      </c>
      <c r="EL109" s="14">
        <f t="shared" si="99"/>
        <v>7.4514601661523691E-13</v>
      </c>
      <c r="EM109" s="22">
        <f t="shared" si="73"/>
        <v>1.3765621991510601E-12</v>
      </c>
      <c r="EN109" s="60">
        <f t="shared" si="74"/>
        <v>278.99181358813047</v>
      </c>
      <c r="EO109" s="60">
        <f ca="1">AVERAGE(OFFSET($EN$3,0,0,'Données projet'!$E$15+1,1))-AVERAGE(OFFSET($H$3,0,0,'Données projet'!$E$15+1,1))</f>
        <v>273.72403794510291</v>
      </c>
      <c r="EP109" s="60">
        <f t="shared" si="100"/>
        <v>292.00185554564109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5.6843418860808015E-14</v>
      </c>
      <c r="FF109" s="18">
        <f>FE109*VLOOKUP('Données projet'!$B$16,Paramètres!$A$1:$I$89,3,0)*VLOOKUP('Données projet'!$B$16,Paramètres!$A$1:$I$89,5,0)</f>
        <v>4.4337866711430253E-14</v>
      </c>
      <c r="FG109" s="14">
        <f t="shared" si="101"/>
        <v>7.3222115536967035E-13</v>
      </c>
      <c r="FH109" s="22">
        <f t="shared" si="76"/>
        <v>1.3525069634579169E-12</v>
      </c>
      <c r="FI109" s="60">
        <f t="shared" si="77"/>
        <v>278.99181358813047</v>
      </c>
      <c r="FJ109" s="60">
        <f ca="1">AVERAGE(OFFSET($FI$3,0,0,'Données projet'!$E$16+1,1))-AVERAGE(OFFSET($H$3,0,0,'Données projet'!$E$16+1,1))</f>
        <v>309.21625451786218</v>
      </c>
      <c r="FK109" s="60">
        <f t="shared" si="102"/>
        <v>302.59481222418219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>
        <f>FZ109*VLOOKUP('Données projet'!$B$17,Paramètres!$A$1:$I$89,3,0)*VLOOKUP('Données projet'!$B$17,Paramètres!$A$1:$I$89,5,0)</f>
        <v>0</v>
      </c>
      <c r="GB109" s="14" t="e">
        <f t="shared" si="103"/>
        <v>#NUM!</v>
      </c>
      <c r="GC109" s="22" t="e">
        <f t="shared" si="79"/>
        <v>#NUM!</v>
      </c>
      <c r="GD109" s="60" t="e">
        <f t="shared" si="80"/>
        <v>#NUM!</v>
      </c>
      <c r="GE109" s="60">
        <f ca="1">AVERAGE(OFFSET($GD$3,0,0,'Données projet'!$E$17+1,1))-AVERAGE(OFFSET($H$3,0,0,'Données projet'!$E$17+1,1))</f>
        <v>216.36762889365235</v>
      </c>
      <c r="GF109" s="60">
        <f t="shared" si="104"/>
        <v>333.29599352215496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2.9970846554267343</v>
      </c>
      <c r="GM109" s="23">
        <f>EXP(-LN(2)/25)*GM108+(1-EXP(-LN(2)/25))/(LN(2)/25)*Calculateur!GH109*Calculateur!GJ109*VLOOKUP('Données projet'!$B$17,Paramètres!$A$1:$I$89,3,0)*0.475*44/12</f>
        <v>1.185351925376023</v>
      </c>
      <c r="GN109" s="23">
        <f>EXP(-LN(2)/2)*GN108+(1-EXP(-LN(2)/2))/(LN(2)/2)*GH109*GK109*VLOOKUP('Données projet'!$B$17,Paramètres!$A$1:$I$89,3,0)*0.475*44/12</f>
        <v>1.0639005984240829E-11</v>
      </c>
      <c r="GO109" s="23">
        <f t="shared" si="81"/>
        <v>4.1824365808133956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4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282.22895999999969</v>
      </c>
      <c r="P110" s="14">
        <f t="shared" si="87"/>
        <v>67.437834611070301</v>
      </c>
      <c r="Q110" s="22">
        <f t="shared" si="107"/>
        <v>609.00300061428027</v>
      </c>
      <c r="R110" s="60">
        <f t="shared" si="55"/>
        <v>888.24360750715391</v>
      </c>
      <c r="S110" s="60">
        <f ca="1">AVERAGE(OFFSET($R$3,0,0,'Données projet'!$E$9+1,1))-AVERAGE(OFFSET($H$3,0,0,'Données projet'!$E$9+1,1))</f>
        <v>496.33873798282525</v>
      </c>
      <c r="T110" s="60">
        <f t="shared" si="88"/>
        <v>280.25465074992246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5.4230769230769242</v>
      </c>
      <c r="AI110" s="14">
        <f>IF('Données projet'!$A$62&gt;35,AI109+AH110-AQ109,IF(A110&lt;'Données projet'!$A$62,$AF$205^A110,IF(A110='Données projet'!$A$62,'Données projet'!$B$62,AI109+AH110-AQ109)))</f>
        <v>245.24615384615419</v>
      </c>
      <c r="AJ110" s="14">
        <f>AI110*VLOOKUP('Données projet'!$B$10,Paramètres!$A$1:$I$89,3,0)*VLOOKUP('Données projet'!$B$10,Paramètres!$A$1:$I$89,5,0)</f>
        <v>114.77520000000015</v>
      </c>
      <c r="AK110" s="14">
        <f t="shared" si="89"/>
        <v>30.453261313439196</v>
      </c>
      <c r="AL110" s="22">
        <f t="shared" si="58"/>
        <v>252.93957012090684</v>
      </c>
      <c r="AM110" s="60">
        <f t="shared" si="59"/>
        <v>532.18017701378051</v>
      </c>
      <c r="AN110" s="60">
        <f ca="1">AVERAGE(OFFSET($AM$3,0,0,'Données projet'!$E$10+1,1))-AVERAGE(OFFSET($H$3,0,0,'Données projet'!$E$10+1,1))</f>
        <v>277.7918215389401</v>
      </c>
      <c r="AO110" s="60">
        <f t="shared" si="90"/>
        <v>164.65640238394164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3.141025641025641</v>
      </c>
      <c r="BD110" s="13">
        <f>IF('Données projet'!$A$88&gt;35,BD109+BC110-BL109,IF(A110&lt;'Données projet'!$A$88,$BA$205^A110,IF(A110='Données projet'!$A$88,'Données projet'!$B$88,BD109+BC110-BL109)))</f>
        <v>236.73076923076906</v>
      </c>
      <c r="BE110" s="14">
        <f>BD110*VLOOKUP('Données projet'!$B$11,Paramètres!$A$1:$I$89,3,0)*VLOOKUP('Données projet'!$B$11,Paramètres!$A$1:$I$89,5,0)</f>
        <v>225.27299999999985</v>
      </c>
      <c r="BF110" s="14">
        <f t="shared" si="91"/>
        <v>55.259361603882539</v>
      </c>
      <c r="BG110" s="22">
        <f t="shared" si="61"/>
        <v>488.59386312676185</v>
      </c>
      <c r="BH110" s="60">
        <f t="shared" si="62"/>
        <v>767.83447001963555</v>
      </c>
      <c r="BI110" s="60">
        <f ca="1">AVERAGE(OFFSET($BH$3,0,0,'Données projet'!$E$11+1,1))-AVERAGE(OFFSET($H$3,0,0,'Données projet'!$E$11+1,1))</f>
        <v>366.21371543563254</v>
      </c>
      <c r="BJ110" s="60">
        <f t="shared" si="92"/>
        <v>237.43356317334084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3.2051282051282044</v>
      </c>
      <c r="BY110" s="13">
        <f>IF('Données projet'!$A$114&gt;35,BY109+BX110-CG109,IF(A110&lt;'Données projet'!$A$114,$BV$205^A110,IF(A110='Données projet'!$A$114,'Données projet'!$B$114,BY109+BX110-CG109)))</f>
        <v>311.53846153846121</v>
      </c>
      <c r="BZ110" s="14">
        <f>BY110*VLOOKUP('Données projet'!$B$12,Paramètres!$A$1:$I$89,3,0)*VLOOKUP('Données projet'!$B$12,Paramètres!$A$1:$I$89,5,0)</f>
        <v>325.61999999999972</v>
      </c>
      <c r="CA110" s="14">
        <f t="shared" si="93"/>
        <v>76.521516462461591</v>
      </c>
      <c r="CB110" s="22">
        <f t="shared" si="64"/>
        <v>700.39647450545351</v>
      </c>
      <c r="CC110" s="60">
        <f t="shared" si="65"/>
        <v>979.63708139832715</v>
      </c>
      <c r="CD110" s="60">
        <f ca="1">AVERAGE(OFFSET($CC$3,0,0,'Données projet'!$E$12+1,1))-AVERAGE(OFFSET($H$3,0,0,'Données projet'!$E$12+1,1))</f>
        <v>530.79860063513229</v>
      </c>
      <c r="CE110" s="60">
        <f t="shared" si="94"/>
        <v>302.50876440460434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264.02063999999967</v>
      </c>
      <c r="CV110" s="14">
        <f t="shared" si="95"/>
        <v>63.57864899095906</v>
      </c>
      <c r="CW110" s="22">
        <f t="shared" si="67"/>
        <v>570.56876165925303</v>
      </c>
      <c r="CX110" s="60">
        <f t="shared" si="68"/>
        <v>849.80936855212667</v>
      </c>
      <c r="CY110" s="60">
        <f ca="1">AVERAGE(OFFSET($CX$3,0,0,'Données projet'!$E$13+1,1))-AVERAGE(OFFSET($H$3,0,0,'Données projet'!$E$13+1,1))</f>
        <v>469.67944008675863</v>
      </c>
      <c r="CZ110" s="60">
        <f t="shared" si="96"/>
        <v>266.11908070867173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4.4000000000000004</v>
      </c>
      <c r="DO110" s="13">
        <f>IF('Données projet'!$A$166&gt;35,DO109+DN110-DW109,IF(A110&lt;'Données projet'!$A$166,$DL$205^A110,IF(A110='Données projet'!$A$166,'Données projet'!$B$166,DO109+DN110-DW109)))</f>
        <v>291.79999999999967</v>
      </c>
      <c r="DP110" s="18">
        <f>DO110*VLOOKUP('Données projet'!$B$14,Paramètres!$A$1:$I$89,3,0)*VLOOKUP('Données projet'!$B$14,Paramètres!$A$1:$I$89,5,0)</f>
        <v>314.09351999999961</v>
      </c>
      <c r="DQ110" s="14">
        <f t="shared" si="97"/>
        <v>74.123066275924458</v>
      </c>
      <c r="DR110" s="22">
        <f t="shared" si="70"/>
        <v>676.14388776390103</v>
      </c>
      <c r="DS110" s="60">
        <f t="shared" si="71"/>
        <v>955.38449465677468</v>
      </c>
      <c r="DT110" s="60">
        <f ca="1">AVERAGE(OFFSET($DS$3,0,0,'Données projet'!$E$14+1,1))-AVERAGE(OFFSET($H$3,0,0,'Données projet'!$E$14+1,1))</f>
        <v>542.90832990875208</v>
      </c>
      <c r="DU110" s="60">
        <f t="shared" si="98"/>
        <v>304.94365539329362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5.6843418860808015E-14</v>
      </c>
      <c r="EK110" s="18">
        <f>EJ110*VLOOKUP('Données projet'!$B$15,Paramètres!$A$1:$I$89,3,0)*VLOOKUP('Données projet'!$B$15,Paramètres!$A$1:$I$89,5,0)</f>
        <v>4.5224624045658861E-14</v>
      </c>
      <c r="EL110" s="14">
        <f t="shared" si="99"/>
        <v>7.4514601661523691E-13</v>
      </c>
      <c r="EM110" s="22">
        <f t="shared" si="73"/>
        <v>1.3765621991510601E-12</v>
      </c>
      <c r="EN110" s="60">
        <f t="shared" si="74"/>
        <v>279.24060689287501</v>
      </c>
      <c r="EO110" s="60">
        <f ca="1">AVERAGE(OFFSET($EN$3,0,0,'Données projet'!$E$15+1,1))-AVERAGE(OFFSET($H$3,0,0,'Données projet'!$E$15+1,1))</f>
        <v>273.72403794510291</v>
      </c>
      <c r="EP110" s="60">
        <f t="shared" si="100"/>
        <v>292.00185554564109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5.6843418860808015E-14</v>
      </c>
      <c r="FF110" s="18">
        <f>FE110*VLOOKUP('Données projet'!$B$16,Paramètres!$A$1:$I$89,3,0)*VLOOKUP('Données projet'!$B$16,Paramètres!$A$1:$I$89,5,0)</f>
        <v>4.4337866711430253E-14</v>
      </c>
      <c r="FG110" s="14">
        <f t="shared" si="101"/>
        <v>7.3222115536967035E-13</v>
      </c>
      <c r="FH110" s="22">
        <f t="shared" si="76"/>
        <v>1.3525069634579169E-12</v>
      </c>
      <c r="FI110" s="60">
        <f t="shared" si="77"/>
        <v>279.24060689287501</v>
      </c>
      <c r="FJ110" s="60">
        <f ca="1">AVERAGE(OFFSET($FI$3,0,0,'Données projet'!$E$16+1,1))-AVERAGE(OFFSET($H$3,0,0,'Données projet'!$E$16+1,1))</f>
        <v>309.21625451786218</v>
      </c>
      <c r="FK110" s="60">
        <f t="shared" si="102"/>
        <v>302.59481222418219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>
        <f>FZ110*VLOOKUP('Données projet'!$B$17,Paramètres!$A$1:$I$89,3,0)*VLOOKUP('Données projet'!$B$17,Paramètres!$A$1:$I$89,5,0)</f>
        <v>0</v>
      </c>
      <c r="GB110" s="14" t="e">
        <f t="shared" si="103"/>
        <v>#NUM!</v>
      </c>
      <c r="GC110" s="22" t="e">
        <f t="shared" si="79"/>
        <v>#NUM!</v>
      </c>
      <c r="GD110" s="60" t="e">
        <f t="shared" si="80"/>
        <v>#NUM!</v>
      </c>
      <c r="GE110" s="60">
        <f ca="1">AVERAGE(OFFSET($GD$3,0,0,'Données projet'!$E$17+1,1))-AVERAGE(OFFSET($H$3,0,0,'Données projet'!$E$17+1,1))</f>
        <v>216.36762889365235</v>
      </c>
      <c r="GF110" s="60">
        <f t="shared" si="104"/>
        <v>333.29599352215496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2.9383136533749519</v>
      </c>
      <c r="GM110" s="23">
        <f>EXP(-LN(2)/25)*GM109+(1-EXP(-LN(2)/25))/(LN(2)/25)*Calculateur!GH110*Calculateur!GJ110*VLOOKUP('Données projet'!$B$17,Paramètres!$A$1:$I$89,3,0)*0.475*44/12</f>
        <v>1.152938414641667</v>
      </c>
      <c r="GN110" s="23">
        <f>EXP(-LN(2)/2)*GN109+(1-EXP(-LN(2)/2))/(LN(2)/2)*GH110*GK110*VLOOKUP('Données projet'!$B$17,Paramètres!$A$1:$I$89,3,0)*0.475*44/12</f>
        <v>7.5229132765409496E-12</v>
      </c>
      <c r="GO110" s="23">
        <f t="shared" si="81"/>
        <v>4.0912520680241418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4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286.48463999999967</v>
      </c>
      <c r="P111" s="14">
        <f t="shared" si="87"/>
        <v>68.335568330677432</v>
      </c>
      <c r="Q111" s="22">
        <f t="shared" si="107"/>
        <v>617.97852950926267</v>
      </c>
      <c r="R111" s="60">
        <f t="shared" si="55"/>
        <v>897.46361369926194</v>
      </c>
      <c r="S111" s="60">
        <f ca="1">AVERAGE(OFFSET($R$3,0,0,'Données projet'!$E$9+1,1))-AVERAGE(OFFSET($H$3,0,0,'Données projet'!$E$9+1,1))</f>
        <v>496.33873798282525</v>
      </c>
      <c r="T111" s="60">
        <f t="shared" si="88"/>
        <v>280.25465074992246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5.4230769230769242</v>
      </c>
      <c r="AI111" s="14">
        <f>IF('Données projet'!$A$62&gt;35,AI110+AH111-AQ110,IF(A111&lt;'Données projet'!$A$62,$AF$205^A111,IF(A111='Données projet'!$A$62,'Données projet'!$B$62,AI110+AH111-AQ110)))</f>
        <v>250.66923076923112</v>
      </c>
      <c r="AJ111" s="14">
        <f>AI111*VLOOKUP('Données projet'!$B$10,Paramètres!$A$1:$I$89,3,0)*VLOOKUP('Données projet'!$B$10,Paramètres!$A$1:$I$89,5,0)</f>
        <v>117.31320000000015</v>
      </c>
      <c r="AK111" s="14">
        <f t="shared" si="89"/>
        <v>31.04752384183195</v>
      </c>
      <c r="AL111" s="22">
        <f t="shared" si="58"/>
        <v>258.39492735785757</v>
      </c>
      <c r="AM111" s="60">
        <f t="shared" si="59"/>
        <v>537.88001154785684</v>
      </c>
      <c r="AN111" s="60">
        <f ca="1">AVERAGE(OFFSET($AM$3,0,0,'Données projet'!$E$10+1,1))-AVERAGE(OFFSET($H$3,0,0,'Données projet'!$E$10+1,1))</f>
        <v>277.7918215389401</v>
      </c>
      <c r="AO111" s="60">
        <f t="shared" si="90"/>
        <v>164.65640238394164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3.141025641025641</v>
      </c>
      <c r="BD111" s="13">
        <f>IF('Données projet'!$A$88&gt;35,BD110+BC111-BL110,IF(A111&lt;'Données projet'!$A$88,$BA$205^A111,IF(A111='Données projet'!$A$88,'Données projet'!$B$88,BD110+BC111-BL110)))</f>
        <v>239.87179487179469</v>
      </c>
      <c r="BE111" s="14">
        <f>BD111*VLOOKUP('Données projet'!$B$11,Paramètres!$A$1:$I$89,3,0)*VLOOKUP('Données projet'!$B$11,Paramètres!$A$1:$I$89,5,0)</f>
        <v>228.26199999999983</v>
      </c>
      <c r="BF111" s="14">
        <f t="shared" si="91"/>
        <v>55.906719558816192</v>
      </c>
      <c r="BG111" s="22">
        <f t="shared" si="61"/>
        <v>494.92718656493781</v>
      </c>
      <c r="BH111" s="60">
        <f t="shared" si="62"/>
        <v>774.41227075493714</v>
      </c>
      <c r="BI111" s="60">
        <f ca="1">AVERAGE(OFFSET($BH$3,0,0,'Données projet'!$E$11+1,1))-AVERAGE(OFFSET($H$3,0,0,'Données projet'!$E$11+1,1))</f>
        <v>366.21371543563254</v>
      </c>
      <c r="BJ111" s="60">
        <f t="shared" si="92"/>
        <v>237.43356317334084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3.2051282051282044</v>
      </c>
      <c r="BY111" s="13">
        <f>IF('Données projet'!$A$114&gt;35,BY110+BX111-CG110,IF(A111&lt;'Données projet'!$A$114,$BV$205^A111,IF(A111='Données projet'!$A$114,'Données projet'!$B$114,BY110+BX111-CG110)))</f>
        <v>314.74358974358938</v>
      </c>
      <c r="BZ111" s="14">
        <f>BY111*VLOOKUP('Données projet'!$B$12,Paramètres!$A$1:$I$89,3,0)*VLOOKUP('Données projet'!$B$12,Paramètres!$A$1:$I$89,5,0)</f>
        <v>328.96999999999969</v>
      </c>
      <c r="CA111" s="14">
        <f t="shared" si="93"/>
        <v>77.216723056433693</v>
      </c>
      <c r="CB111" s="22">
        <f t="shared" si="64"/>
        <v>707.44187598995484</v>
      </c>
      <c r="CC111" s="60">
        <f t="shared" si="65"/>
        <v>986.92696017995422</v>
      </c>
      <c r="CD111" s="60">
        <f ca="1">AVERAGE(OFFSET($CC$3,0,0,'Données projet'!$E$12+1,1))-AVERAGE(OFFSET($H$3,0,0,'Données projet'!$E$12+1,1))</f>
        <v>530.79860063513229</v>
      </c>
      <c r="CE111" s="60">
        <f t="shared" si="94"/>
        <v>302.50876440460434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268.00175999999971</v>
      </c>
      <c r="CV111" s="14">
        <f t="shared" si="95"/>
        <v>64.425009159185521</v>
      </c>
      <c r="CW111" s="22">
        <f t="shared" si="67"/>
        <v>578.97662295224757</v>
      </c>
      <c r="CX111" s="60">
        <f t="shared" si="68"/>
        <v>858.46170714224695</v>
      </c>
      <c r="CY111" s="60">
        <f ca="1">AVERAGE(OFFSET($CX$3,0,0,'Données projet'!$E$13+1,1))-AVERAGE(OFFSET($H$3,0,0,'Données projet'!$E$13+1,1))</f>
        <v>469.67944008675863</v>
      </c>
      <c r="CZ111" s="60">
        <f t="shared" si="96"/>
        <v>266.11908070867173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4.4000000000000004</v>
      </c>
      <c r="DO111" s="13">
        <f>IF('Données projet'!$A$166&gt;35,DO110+DN111-DW110,IF(A111&lt;'Données projet'!$A$166,$DL$205^A111,IF(A111='Données projet'!$A$166,'Données projet'!$B$166,DO110+DN111-DW110)))</f>
        <v>296.19999999999965</v>
      </c>
      <c r="DP111" s="18">
        <f>DO111*VLOOKUP('Données projet'!$B$14,Paramètres!$A$1:$I$89,3,0)*VLOOKUP('Données projet'!$B$14,Paramètres!$A$1:$I$89,5,0)</f>
        <v>318.8296799999996</v>
      </c>
      <c r="DQ111" s="14">
        <f t="shared" si="97"/>
        <v>75.109793924882112</v>
      </c>
      <c r="DR111" s="22">
        <f t="shared" si="70"/>
        <v>686.11125041916887</v>
      </c>
      <c r="DS111" s="60">
        <f t="shared" si="71"/>
        <v>965.59633460916825</v>
      </c>
      <c r="DT111" s="60">
        <f ca="1">AVERAGE(OFFSET($DS$3,0,0,'Données projet'!$E$14+1,1))-AVERAGE(OFFSET($H$3,0,0,'Données projet'!$E$14+1,1))</f>
        <v>542.90832990875208</v>
      </c>
      <c r="DU111" s="60">
        <f t="shared" si="98"/>
        <v>304.94365539329362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5.6843418860808015E-14</v>
      </c>
      <c r="EK111" s="18">
        <f>EJ111*VLOOKUP('Données projet'!$B$15,Paramètres!$A$1:$I$89,3,0)*VLOOKUP('Données projet'!$B$15,Paramètres!$A$1:$I$89,5,0)</f>
        <v>4.5224624045658861E-14</v>
      </c>
      <c r="EL111" s="14">
        <f t="shared" si="99"/>
        <v>7.4514601661523691E-13</v>
      </c>
      <c r="EM111" s="22">
        <f t="shared" si="73"/>
        <v>1.3765621991510601E-12</v>
      </c>
      <c r="EN111" s="60">
        <f t="shared" si="74"/>
        <v>279.48508419000069</v>
      </c>
      <c r="EO111" s="60">
        <f ca="1">AVERAGE(OFFSET($EN$3,0,0,'Données projet'!$E$15+1,1))-AVERAGE(OFFSET($H$3,0,0,'Données projet'!$E$15+1,1))</f>
        <v>273.72403794510291</v>
      </c>
      <c r="EP111" s="60">
        <f t="shared" si="100"/>
        <v>292.00185554564109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5.6843418860808015E-14</v>
      </c>
      <c r="FF111" s="18">
        <f>FE111*VLOOKUP('Données projet'!$B$16,Paramètres!$A$1:$I$89,3,0)*VLOOKUP('Données projet'!$B$16,Paramètres!$A$1:$I$89,5,0)</f>
        <v>4.4337866711430253E-14</v>
      </c>
      <c r="FG111" s="14">
        <f t="shared" si="101"/>
        <v>7.3222115536967035E-13</v>
      </c>
      <c r="FH111" s="22">
        <f t="shared" si="76"/>
        <v>1.3525069634579169E-12</v>
      </c>
      <c r="FI111" s="60">
        <f t="shared" si="77"/>
        <v>279.48508419000069</v>
      </c>
      <c r="FJ111" s="60">
        <f ca="1">AVERAGE(OFFSET($FI$3,0,0,'Données projet'!$E$16+1,1))-AVERAGE(OFFSET($H$3,0,0,'Données projet'!$E$16+1,1))</f>
        <v>309.21625451786218</v>
      </c>
      <c r="FK111" s="60">
        <f t="shared" si="102"/>
        <v>302.59481222418219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>
        <f>FZ111*VLOOKUP('Données projet'!$B$17,Paramètres!$A$1:$I$89,3,0)*VLOOKUP('Données projet'!$B$17,Paramètres!$A$1:$I$89,5,0)</f>
        <v>0</v>
      </c>
      <c r="GB111" s="14" t="e">
        <f t="shared" si="103"/>
        <v>#NUM!</v>
      </c>
      <c r="GC111" s="22" t="e">
        <f t="shared" si="79"/>
        <v>#NUM!</v>
      </c>
      <c r="GD111" s="60" t="e">
        <f t="shared" si="80"/>
        <v>#NUM!</v>
      </c>
      <c r="GE111" s="60">
        <f ca="1">AVERAGE(OFFSET($GD$3,0,0,'Données projet'!$E$17+1,1))-AVERAGE(OFFSET($H$3,0,0,'Données projet'!$E$17+1,1))</f>
        <v>216.36762889365235</v>
      </c>
      <c r="GF111" s="60">
        <f t="shared" si="104"/>
        <v>333.29599352215496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2.8806951148266333</v>
      </c>
      <c r="GM111" s="23">
        <f>EXP(-LN(2)/25)*GM110+(1-EXP(-LN(2)/25))/(LN(2)/25)*Calculateur!GH111*Calculateur!GJ111*VLOOKUP('Données projet'!$B$17,Paramètres!$A$1:$I$89,3,0)*0.475*44/12</f>
        <v>1.1214112530628946</v>
      </c>
      <c r="GN111" s="23">
        <f>EXP(-LN(2)/2)*GN110+(1-EXP(-LN(2)/2))/(LN(2)/2)*GH111*GK111*VLOOKUP('Données projet'!$B$17,Paramètres!$A$1:$I$89,3,0)*0.475*44/12</f>
        <v>5.3195029921204146E-12</v>
      </c>
      <c r="GO111" s="23">
        <f t="shared" si="81"/>
        <v>4.0021063678948474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4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290.74031999999966</v>
      </c>
      <c r="P112" s="14">
        <f t="shared" si="87"/>
        <v>69.231751058085507</v>
      </c>
      <c r="Q112" s="22">
        <f t="shared" si="107"/>
        <v>626.95135709283159</v>
      </c>
      <c r="R112" s="60">
        <f t="shared" si="55"/>
        <v>906.67667744542086</v>
      </c>
      <c r="S112" s="60">
        <f ca="1">AVERAGE(OFFSET($R$3,0,0,'Données projet'!$E$9+1,1))-AVERAGE(OFFSET($H$3,0,0,'Données projet'!$E$9+1,1))</f>
        <v>496.33873798282525</v>
      </c>
      <c r="T112" s="60">
        <f t="shared" si="88"/>
        <v>280.25465074992246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>
        <f>VLOOKUP(A112,'Données projet'!$A$61:$I$81,2,0)</f>
        <v>256.09230769230771</v>
      </c>
      <c r="AG112" s="13">
        <f>VLOOKUP(A112,'Données projet'!$A$61:$I$81,9,0)</f>
        <v>5.4230769230769242</v>
      </c>
      <c r="AH112" s="13">
        <f t="array" ref="AH112">INDEX(AG:AG,MIN(IF(ISNUMBER(AG112:AG308),ROW(AG112:AG308),"")))</f>
        <v>5.4230769230769242</v>
      </c>
      <c r="AI112" s="14">
        <f>IF('Données projet'!$A$62&gt;35,AI111+AH112-AQ111,IF(A112&lt;'Données projet'!$A$62,$AF$205^A112,IF(A112='Données projet'!$A$62,'Données projet'!$B$62,AI111+AH112-AQ111)))</f>
        <v>256.09230769230805</v>
      </c>
      <c r="AJ112" s="14">
        <f>AI112*VLOOKUP('Données projet'!$B$10,Paramètres!$A$1:$I$89,3,0)*VLOOKUP('Données projet'!$B$10,Paramètres!$A$1:$I$89,5,0)</f>
        <v>119.85120000000016</v>
      </c>
      <c r="AK112" s="14">
        <f t="shared" si="89"/>
        <v>31.640291631938243</v>
      </c>
      <c r="AL112" s="22">
        <f t="shared" si="58"/>
        <v>263.84768125895937</v>
      </c>
      <c r="AM112" s="60">
        <f t="shared" si="59"/>
        <v>543.57300161154865</v>
      </c>
      <c r="AN112" s="60">
        <f ca="1">AVERAGE(OFFSET($AM$3,0,0,'Données projet'!$E$10+1,1))-AVERAGE(OFFSET($H$3,0,0,'Données projet'!$E$10+1,1))</f>
        <v>277.7918215389401</v>
      </c>
      <c r="AO112" s="60">
        <f t="shared" si="90"/>
        <v>164.65640238394164</v>
      </c>
      <c r="AP112" s="16">
        <f>IF(ISNA(VLOOKUP(A112,'Données projet'!$A$61:$I$81,3,0)),0,VLOOKUP(A112,'Données projet'!$A$61:$I$81,3,0))</f>
        <v>6</v>
      </c>
      <c r="AQ112" s="16">
        <f>IF(ISNA(VLOOKUP(A112,'Données projet'!$A$61:$I$81,4,0)),0,VLOOKUP(A112,'Données projet'!$A$61:$I$81,4,0))</f>
        <v>256.09230769230771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3.141025641025641</v>
      </c>
      <c r="BD112" s="13">
        <f>IF('Données projet'!$A$88&gt;35,BD111+BC112-BL111,IF(A112&lt;'Données projet'!$A$88,$BA$205^A112,IF(A112='Données projet'!$A$88,'Données projet'!$B$88,BD111+BC112-BL111)))</f>
        <v>243.01282051282033</v>
      </c>
      <c r="BE112" s="14">
        <f>BD112*VLOOKUP('Données projet'!$B$11,Paramètres!$A$1:$I$89,3,0)*VLOOKUP('Données projet'!$B$11,Paramètres!$A$1:$I$89,5,0)</f>
        <v>231.25099999999983</v>
      </c>
      <c r="BF112" s="14">
        <f t="shared" si="91"/>
        <v>56.553091525012086</v>
      </c>
      <c r="BG112" s="22">
        <f t="shared" si="61"/>
        <v>501.2587927393958</v>
      </c>
      <c r="BH112" s="60">
        <f t="shared" si="62"/>
        <v>780.98411309198514</v>
      </c>
      <c r="BI112" s="60">
        <f ca="1">AVERAGE(OFFSET($BH$3,0,0,'Données projet'!$E$11+1,1))-AVERAGE(OFFSET($H$3,0,0,'Données projet'!$E$11+1,1))</f>
        <v>366.21371543563254</v>
      </c>
      <c r="BJ112" s="60">
        <f t="shared" si="92"/>
        <v>237.43356317334084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3.2051282051282044</v>
      </c>
      <c r="BY112" s="13">
        <f>IF('Données projet'!$A$114&gt;35,BY111+BX112-CG111,IF(A112&lt;'Données projet'!$A$114,$BV$205^A112,IF(A112='Données projet'!$A$114,'Données projet'!$B$114,BY111+BX112-CG111)))</f>
        <v>317.94871794871756</v>
      </c>
      <c r="BZ112" s="14">
        <f>BY112*VLOOKUP('Données projet'!$B$12,Paramètres!$A$1:$I$89,3,0)*VLOOKUP('Données projet'!$B$12,Paramètres!$A$1:$I$89,5,0)</f>
        <v>332.3199999999996</v>
      </c>
      <c r="CA112" s="14">
        <f t="shared" si="93"/>
        <v>77.911106070111614</v>
      </c>
      <c r="CB112" s="22">
        <f t="shared" si="64"/>
        <v>714.48584307211024</v>
      </c>
      <c r="CC112" s="60">
        <f t="shared" si="65"/>
        <v>994.21116342469952</v>
      </c>
      <c r="CD112" s="60">
        <f ca="1">AVERAGE(OFFSET($CC$3,0,0,'Données projet'!$E$12+1,1))-AVERAGE(OFFSET($H$3,0,0,'Données projet'!$E$12+1,1))</f>
        <v>530.79860063513229</v>
      </c>
      <c r="CE112" s="60">
        <f t="shared" si="94"/>
        <v>302.50876440460434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271.98287999999962</v>
      </c>
      <c r="CV112" s="14">
        <f t="shared" si="95"/>
        <v>65.269907092018684</v>
      </c>
      <c r="CW112" s="22">
        <f t="shared" si="67"/>
        <v>587.38193751859842</v>
      </c>
      <c r="CX112" s="60">
        <f t="shared" si="68"/>
        <v>867.1072578711877</v>
      </c>
      <c r="CY112" s="60">
        <f ca="1">AVERAGE(OFFSET($CX$3,0,0,'Données projet'!$E$13+1,1))-AVERAGE(OFFSET($H$3,0,0,'Données projet'!$E$13+1,1))</f>
        <v>469.67944008675863</v>
      </c>
      <c r="CZ112" s="60">
        <f t="shared" si="96"/>
        <v>266.11908070867173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4.4000000000000004</v>
      </c>
      <c r="DO112" s="13">
        <f>IF('Données projet'!$A$166&gt;35,DO111+DN112-DW111,IF(A112&lt;'Données projet'!$A$166,$DL$205^A112,IF(A112='Données projet'!$A$166,'Données projet'!$B$166,DO111+DN112-DW111)))</f>
        <v>300.59999999999962</v>
      </c>
      <c r="DP112" s="18">
        <f>DO112*VLOOKUP('Données projet'!$B$14,Paramètres!$A$1:$I$89,3,0)*VLOOKUP('Données projet'!$B$14,Paramètres!$A$1:$I$89,5,0)</f>
        <v>323.56583999999958</v>
      </c>
      <c r="DQ112" s="14">
        <f t="shared" si="97"/>
        <v>76.094816829044248</v>
      </c>
      <c r="DR112" s="22">
        <f t="shared" si="70"/>
        <v>696.07564397725127</v>
      </c>
      <c r="DS112" s="60">
        <f t="shared" si="71"/>
        <v>975.80096432984055</v>
      </c>
      <c r="DT112" s="60">
        <f ca="1">AVERAGE(OFFSET($DS$3,0,0,'Données projet'!$E$14+1,1))-AVERAGE(OFFSET($H$3,0,0,'Données projet'!$E$14+1,1))</f>
        <v>542.90832990875208</v>
      </c>
      <c r="DU112" s="60">
        <f t="shared" si="98"/>
        <v>304.94365539329362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5.6843418860808015E-14</v>
      </c>
      <c r="EK112" s="18">
        <f>EJ112*VLOOKUP('Données projet'!$B$15,Paramètres!$A$1:$I$89,3,0)*VLOOKUP('Données projet'!$B$15,Paramètres!$A$1:$I$89,5,0)</f>
        <v>4.5224624045658861E-14</v>
      </c>
      <c r="EL112" s="14">
        <f t="shared" si="99"/>
        <v>7.4514601661523691E-13</v>
      </c>
      <c r="EM112" s="22">
        <f t="shared" si="73"/>
        <v>1.3765621991510601E-12</v>
      </c>
      <c r="EN112" s="60">
        <f t="shared" si="74"/>
        <v>279.72532035259064</v>
      </c>
      <c r="EO112" s="60">
        <f ca="1">AVERAGE(OFFSET($EN$3,0,0,'Données projet'!$E$15+1,1))-AVERAGE(OFFSET($H$3,0,0,'Données projet'!$E$15+1,1))</f>
        <v>273.72403794510291</v>
      </c>
      <c r="EP112" s="60">
        <f t="shared" si="100"/>
        <v>292.00185554564109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5.6843418860808015E-14</v>
      </c>
      <c r="FF112" s="18">
        <f>FE112*VLOOKUP('Données projet'!$B$16,Paramètres!$A$1:$I$89,3,0)*VLOOKUP('Données projet'!$B$16,Paramètres!$A$1:$I$89,5,0)</f>
        <v>4.4337866711430253E-14</v>
      </c>
      <c r="FG112" s="14">
        <f t="shared" si="101"/>
        <v>7.3222115536967035E-13</v>
      </c>
      <c r="FH112" s="22">
        <f t="shared" si="76"/>
        <v>1.3525069634579169E-12</v>
      </c>
      <c r="FI112" s="60">
        <f t="shared" si="77"/>
        <v>279.72532035259064</v>
      </c>
      <c r="FJ112" s="60">
        <f ca="1">AVERAGE(OFFSET($FI$3,0,0,'Données projet'!$E$16+1,1))-AVERAGE(OFFSET($H$3,0,0,'Données projet'!$E$16+1,1))</f>
        <v>309.21625451786218</v>
      </c>
      <c r="FK112" s="60">
        <f t="shared" si="102"/>
        <v>302.59481222418219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>
        <f>FZ112*VLOOKUP('Données projet'!$B$17,Paramètres!$A$1:$I$89,3,0)*VLOOKUP('Données projet'!$B$17,Paramètres!$A$1:$I$89,5,0)</f>
        <v>0</v>
      </c>
      <c r="GB112" s="14" t="e">
        <f t="shared" si="103"/>
        <v>#NUM!</v>
      </c>
      <c r="GC112" s="22" t="e">
        <f t="shared" si="79"/>
        <v>#NUM!</v>
      </c>
      <c r="GD112" s="60" t="e">
        <f t="shared" si="80"/>
        <v>#NUM!</v>
      </c>
      <c r="GE112" s="60">
        <f ca="1">AVERAGE(OFFSET($GD$3,0,0,'Données projet'!$E$17+1,1))-AVERAGE(OFFSET($H$3,0,0,'Données projet'!$E$17+1,1))</f>
        <v>216.36762889365235</v>
      </c>
      <c r="GF112" s="60">
        <f t="shared" si="104"/>
        <v>333.29599352215496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2.8242064406754088</v>
      </c>
      <c r="GM112" s="23">
        <f>EXP(-LN(2)/25)*GM111+(1-EXP(-LN(2)/25))/(LN(2)/25)*Calculateur!GH112*Calculateur!GJ112*VLOOKUP('Données projet'!$B$17,Paramètres!$A$1:$I$89,3,0)*0.475*44/12</f>
        <v>1.0907462033754349</v>
      </c>
      <c r="GN112" s="23">
        <f>EXP(-LN(2)/2)*GN111+(1-EXP(-LN(2)/2))/(LN(2)/2)*GH112*GK112*VLOOKUP('Données projet'!$B$17,Paramètres!$A$1:$I$89,3,0)*0.475*44/12</f>
        <v>3.7614566382704748E-12</v>
      </c>
      <c r="GO112" s="23">
        <f t="shared" si="81"/>
        <v>3.9149526440546052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4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294.99599999999958</v>
      </c>
      <c r="P113" s="14">
        <f t="shared" si="87"/>
        <v>70.126408118585317</v>
      </c>
      <c r="Q113" s="22">
        <f t="shared" si="107"/>
        <v>635.92152747320199</v>
      </c>
      <c r="R113" s="60">
        <f t="shared" si="55"/>
        <v>915.88291642804779</v>
      </c>
      <c r="S113" s="60">
        <f ca="1">AVERAGE(OFFSET($R$3,0,0,'Données projet'!$E$9+1,1))-AVERAGE(OFFSET($H$3,0,0,'Données projet'!$E$9+1,1))</f>
        <v>496.33873798282525</v>
      </c>
      <c r="T113" s="60">
        <f t="shared" si="88"/>
        <v>280.25465074992246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3.4106051316484809E-13</v>
      </c>
      <c r="AJ113" s="14">
        <f>AI113*VLOOKUP('Données projet'!$B$10,Paramètres!$A$1:$I$89,3,0)*VLOOKUP('Données projet'!$B$10,Paramètres!$A$1:$I$89,5,0)</f>
        <v>1.5961632016114892E-13</v>
      </c>
      <c r="AK113" s="14">
        <f t="shared" si="89"/>
        <v>2.2708641912150958E-12</v>
      </c>
      <c r="AL113" s="22">
        <f t="shared" si="58"/>
        <v>4.2330868906469593E-12</v>
      </c>
      <c r="AM113" s="60">
        <f t="shared" si="59"/>
        <v>279.96138895485007</v>
      </c>
      <c r="AN113" s="60">
        <f ca="1">AVERAGE(OFFSET($AM$3,0,0,'Données projet'!$E$10+1,1))-AVERAGE(OFFSET($H$3,0,0,'Données projet'!$E$10+1,1))</f>
        <v>277.7918215389401</v>
      </c>
      <c r="AO113" s="60">
        <f t="shared" si="90"/>
        <v>164.65640238394164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246.15384615384613</v>
      </c>
      <c r="BB113" s="13">
        <f>VLOOKUP(A113,'Données projet'!$A$87:$I$107,9,0)</f>
        <v>3.141025641025641</v>
      </c>
      <c r="BC113" s="13">
        <f t="array" ref="BC113">INDEX(BB:BB,MIN(IF(ISNUMBER(BB113:BB309),ROW(BB113:BB309),"")))</f>
        <v>3.141025641025641</v>
      </c>
      <c r="BD113" s="13">
        <f>IF('Données projet'!$A$88&gt;35,BD112+BC113-BL112,IF(A113&lt;'Données projet'!$A$88,$BA$205^A113,IF(A113='Données projet'!$A$88,'Données projet'!$B$88,BD112+BC113-BL112)))</f>
        <v>246.15384615384596</v>
      </c>
      <c r="BE113" s="14">
        <f>BD113*VLOOKUP('Données projet'!$B$11,Paramètres!$A$1:$I$89,3,0)*VLOOKUP('Données projet'!$B$11,Paramètres!$A$1:$I$89,5,0)</f>
        <v>234.23999999999984</v>
      </c>
      <c r="BF113" s="14">
        <f t="shared" si="91"/>
        <v>57.19849172024869</v>
      </c>
      <c r="BG113" s="22">
        <f t="shared" si="61"/>
        <v>507.58870641276621</v>
      </c>
      <c r="BH113" s="60">
        <f t="shared" si="62"/>
        <v>787.55009536761213</v>
      </c>
      <c r="BI113" s="60">
        <f ca="1">AVERAGE(OFFSET($BH$3,0,0,'Données projet'!$E$11+1,1))-AVERAGE(OFFSET($H$3,0,0,'Données projet'!$E$11+1,1))</f>
        <v>366.21371543563254</v>
      </c>
      <c r="BJ113" s="60">
        <f t="shared" si="92"/>
        <v>237.43356317334084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33.333333333333336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321.15384615384613</v>
      </c>
      <c r="BW113" s="13">
        <f>VLOOKUP(A113,'Données projet'!$A$113:$I$133,9,0)</f>
        <v>3.2051282051282044</v>
      </c>
      <c r="BX113" s="13">
        <f t="array" ref="BX113">INDEX(BW:BW,MIN(IF(ISNUMBER(BW113:BW309),ROW(BW113:BW309),"")))</f>
        <v>3.2051282051282044</v>
      </c>
      <c r="BY113" s="13">
        <f>IF('Données projet'!$A$114&gt;35,BY112+BX113-CG112,IF(A113&lt;'Données projet'!$A$114,$BV$205^A113,IF(A113='Données projet'!$A$114,'Données projet'!$B$114,BY112+BX113-CG112)))</f>
        <v>321.15384615384573</v>
      </c>
      <c r="BZ113" s="14">
        <f>BY113*VLOOKUP('Données projet'!$B$12,Paramètres!$A$1:$I$89,3,0)*VLOOKUP('Données projet'!$B$12,Paramètres!$A$1:$I$89,5,0)</f>
        <v>335.66999999999956</v>
      </c>
      <c r="CA113" s="14">
        <f t="shared" si="93"/>
        <v>78.604674766974242</v>
      </c>
      <c r="CB113" s="22">
        <f t="shared" si="64"/>
        <v>721.52839188581265</v>
      </c>
      <c r="CC113" s="60">
        <f t="shared" si="65"/>
        <v>1001.4897808406586</v>
      </c>
      <c r="CD113" s="60">
        <f ca="1">AVERAGE(OFFSET($CC$3,0,0,'Données projet'!$E$12+1,1))-AVERAGE(OFFSET($H$3,0,0,'Données projet'!$E$12+1,1))</f>
        <v>530.79860063513229</v>
      </c>
      <c r="CE113" s="60">
        <f t="shared" si="94"/>
        <v>302.50876440460434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19.23076923076923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275.9639999999996</v>
      </c>
      <c r="CV113" s="14">
        <f t="shared" si="95"/>
        <v>66.113366665488797</v>
      </c>
      <c r="CW113" s="22">
        <f t="shared" si="67"/>
        <v>595.7847469423923</v>
      </c>
      <c r="CX113" s="60">
        <f t="shared" si="68"/>
        <v>875.74613589723822</v>
      </c>
      <c r="CY113" s="60">
        <f ca="1">AVERAGE(OFFSET($CX$3,0,0,'Données projet'!$E$13+1,1))-AVERAGE(OFFSET($H$3,0,0,'Données projet'!$E$13+1,1))</f>
        <v>469.67944008675863</v>
      </c>
      <c r="CZ113" s="60">
        <f t="shared" si="96"/>
        <v>266.11908070867173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305</v>
      </c>
      <c r="DM113" s="13">
        <f>VLOOKUP(A113,'Données projet'!$A$165:$I$185,9,0)</f>
        <v>4.4000000000000004</v>
      </c>
      <c r="DN113" s="13">
        <f t="array" ref="DN113">INDEX(DM:DM,MIN(IF(ISNUMBER(DM113:DM309),ROW(DM113:DM309),"")))</f>
        <v>4.4000000000000004</v>
      </c>
      <c r="DO113" s="13">
        <f>IF('Données projet'!$A$166&gt;35,DO112+DN113-DW112,IF(A113&lt;'Données projet'!$A$166,$DL$205^A113,IF(A113='Données projet'!$A$166,'Données projet'!$B$166,DO112+DN113-DW112)))</f>
        <v>304.9999999999996</v>
      </c>
      <c r="DP113" s="18">
        <f>DO113*VLOOKUP('Données projet'!$B$14,Paramètres!$A$1:$I$89,3,0)*VLOOKUP('Données projet'!$B$14,Paramètres!$A$1:$I$89,5,0)</f>
        <v>328.30199999999957</v>
      </c>
      <c r="DQ113" s="14">
        <f t="shared" si="97"/>
        <v>77.078162824242781</v>
      </c>
      <c r="DR113" s="22">
        <f t="shared" si="70"/>
        <v>706.03711691888873</v>
      </c>
      <c r="DS113" s="60">
        <f t="shared" si="71"/>
        <v>985.99850587373453</v>
      </c>
      <c r="DT113" s="60">
        <f ca="1">AVERAGE(OFFSET($DS$3,0,0,'Données projet'!$E$14+1,1))-AVERAGE(OFFSET($H$3,0,0,'Données projet'!$E$14+1,1))</f>
        <v>542.90832990875208</v>
      </c>
      <c r="DU113" s="60">
        <f t="shared" si="98"/>
        <v>304.94365539329362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5.6843418860808015E-14</v>
      </c>
      <c r="EK113" s="18">
        <f>EJ113*VLOOKUP('Données projet'!$B$15,Paramètres!$A$1:$I$89,3,0)*VLOOKUP('Données projet'!$B$15,Paramètres!$A$1:$I$89,5,0)</f>
        <v>4.5224624045658861E-14</v>
      </c>
      <c r="EL113" s="14">
        <f t="shared" si="99"/>
        <v>7.4514601661523691E-13</v>
      </c>
      <c r="EM113" s="22">
        <f t="shared" si="73"/>
        <v>1.3765621991510601E-12</v>
      </c>
      <c r="EN113" s="60">
        <f t="shared" si="74"/>
        <v>279.96138895484722</v>
      </c>
      <c r="EO113" s="60">
        <f ca="1">AVERAGE(OFFSET($EN$3,0,0,'Données projet'!$E$15+1,1))-AVERAGE(OFFSET($H$3,0,0,'Données projet'!$E$15+1,1))</f>
        <v>273.72403794510291</v>
      </c>
      <c r="EP113" s="60">
        <f t="shared" si="100"/>
        <v>292.00185554564109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5.6843418860808015E-14</v>
      </c>
      <c r="FF113" s="18">
        <f>FE113*VLOOKUP('Données projet'!$B$16,Paramètres!$A$1:$I$89,3,0)*VLOOKUP('Données projet'!$B$16,Paramètres!$A$1:$I$89,5,0)</f>
        <v>4.4337866711430253E-14</v>
      </c>
      <c r="FG113" s="14">
        <f t="shared" si="101"/>
        <v>7.3222115536967035E-13</v>
      </c>
      <c r="FH113" s="22">
        <f t="shared" si="76"/>
        <v>1.3525069634579169E-12</v>
      </c>
      <c r="FI113" s="60">
        <f t="shared" si="77"/>
        <v>279.96138895484722</v>
      </c>
      <c r="FJ113" s="60">
        <f ca="1">AVERAGE(OFFSET($FI$3,0,0,'Données projet'!$E$16+1,1))-AVERAGE(OFFSET($H$3,0,0,'Données projet'!$E$16+1,1))</f>
        <v>309.21625451786218</v>
      </c>
      <c r="FK113" s="60">
        <f t="shared" si="102"/>
        <v>302.59481222418219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>
        <f>FZ113*VLOOKUP('Données projet'!$B$17,Paramètres!$A$1:$I$89,3,0)*VLOOKUP('Données projet'!$B$17,Paramètres!$A$1:$I$89,5,0)</f>
        <v>0</v>
      </c>
      <c r="GB113" s="14" t="e">
        <f t="shared" si="103"/>
        <v>#NUM!</v>
      </c>
      <c r="GC113" s="22" t="e">
        <f t="shared" si="79"/>
        <v>#NUM!</v>
      </c>
      <c r="GD113" s="60" t="e">
        <f t="shared" si="80"/>
        <v>#NUM!</v>
      </c>
      <c r="GE113" s="60">
        <f ca="1">AVERAGE(OFFSET($GD$3,0,0,'Données projet'!$E$17+1,1))-AVERAGE(OFFSET($H$3,0,0,'Données projet'!$E$17+1,1))</f>
        <v>216.36762889365235</v>
      </c>
      <c r="GF113" s="60">
        <f t="shared" si="104"/>
        <v>333.29599352215496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2.7688254749696006</v>
      </c>
      <c r="GM113" s="23">
        <f>EXP(-LN(2)/25)*GM112+(1-EXP(-LN(2)/25))/(LN(2)/25)*Calculateur!GH113*Calculateur!GJ113*VLOOKUP('Données projet'!$B$17,Paramètres!$A$1:$I$89,3,0)*0.475*44/12</f>
        <v>1.0609196910842837</v>
      </c>
      <c r="GN113" s="23">
        <f>EXP(-LN(2)/2)*GN112+(1-EXP(-LN(2)/2))/(LN(2)/2)*GH113*GK113*VLOOKUP('Données projet'!$B$17,Paramètres!$A$1:$I$89,3,0)*0.475*44/12</f>
        <v>2.6597514960602073E-12</v>
      </c>
      <c r="GO113" s="23">
        <f t="shared" si="81"/>
        <v>3.829745166056544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4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260.85383999999959</v>
      </c>
      <c r="P114" s="14">
        <f t="shared" si="87"/>
        <v>62.904347395903649</v>
      </c>
      <c r="Q114" s="22">
        <f t="shared" si="107"/>
        <v>563.87884304786473</v>
      </c>
      <c r="R114" s="60">
        <f t="shared" si="55"/>
        <v>844.07220534248836</v>
      </c>
      <c r="S114" s="60">
        <f ca="1">AVERAGE(OFFSET($R$3,0,0,'Données projet'!$E$9+1,1))-AVERAGE(OFFSET($H$3,0,0,'Données projet'!$E$9+1,1))</f>
        <v>496.33873798282525</v>
      </c>
      <c r="T114" s="60">
        <f t="shared" si="88"/>
        <v>280.25465074992246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3.4106051316484809E-13</v>
      </c>
      <c r="AJ114" s="14">
        <f>AI114*VLOOKUP('Données projet'!$B$10,Paramètres!$A$1:$I$89,3,0)*VLOOKUP('Données projet'!$B$10,Paramètres!$A$1:$I$89,5,0)</f>
        <v>1.5961632016114892E-13</v>
      </c>
      <c r="AK114" s="14">
        <f t="shared" si="89"/>
        <v>2.2708641912150958E-12</v>
      </c>
      <c r="AL114" s="22">
        <f t="shared" si="58"/>
        <v>4.2330868906469593E-12</v>
      </c>
      <c r="AM114" s="60">
        <f t="shared" si="59"/>
        <v>280.19336229462778</v>
      </c>
      <c r="AN114" s="60">
        <f ca="1">AVERAGE(OFFSET($AM$3,0,0,'Données projet'!$E$10+1,1))-AVERAGE(OFFSET($H$3,0,0,'Données projet'!$E$10+1,1))</f>
        <v>277.7918215389401</v>
      </c>
      <c r="AO114" s="60">
        <f t="shared" si="90"/>
        <v>164.65640238394164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2.8205128205128234</v>
      </c>
      <c r="BD114" s="13">
        <f>IF('Données projet'!$A$88&gt;35,BD113+BC114-BL113,IF(A114&lt;'Données projet'!$A$88,$BA$205^A114,IF(A114='Données projet'!$A$88,'Données projet'!$B$88,BD113+BC114-BL113)))</f>
        <v>215.64102564102544</v>
      </c>
      <c r="BE114" s="14">
        <f>BD114*VLOOKUP('Données projet'!$B$11,Paramètres!$A$1:$I$89,3,0)*VLOOKUP('Données projet'!$B$11,Paramètres!$A$1:$I$89,5,0)</f>
        <v>205.20399999999984</v>
      </c>
      <c r="BF114" s="14">
        <f t="shared" si="91"/>
        <v>50.886134008708559</v>
      </c>
      <c r="BG114" s="22">
        <f t="shared" si="61"/>
        <v>446.02365006516703</v>
      </c>
      <c r="BH114" s="60">
        <f t="shared" si="62"/>
        <v>726.2170123597906</v>
      </c>
      <c r="BI114" s="60">
        <f ca="1">AVERAGE(OFFSET($BH$3,0,0,'Données projet'!$E$11+1,1))-AVERAGE(OFFSET($H$3,0,0,'Données projet'!$E$11+1,1))</f>
        <v>366.21371543563254</v>
      </c>
      <c r="BJ114" s="60">
        <f t="shared" si="92"/>
        <v>237.43356317334084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2.8846153846153868</v>
      </c>
      <c r="BY114" s="13">
        <f>IF('Données projet'!$A$114&gt;35,BY113+BX114-CG113,IF(A114&lt;'Données projet'!$A$114,$BV$205^A114,IF(A114='Données projet'!$A$114,'Données projet'!$B$114,BY113+BX114-CG113)))</f>
        <v>304.80769230769187</v>
      </c>
      <c r="BZ114" s="14">
        <f>BY114*VLOOKUP('Données projet'!$B$12,Paramètres!$A$1:$I$89,3,0)*VLOOKUP('Données projet'!$B$12,Paramètres!$A$1:$I$89,5,0)</f>
        <v>318.58499999999958</v>
      </c>
      <c r="CA114" s="14">
        <f t="shared" si="93"/>
        <v>75.058859499755215</v>
      </c>
      <c r="CB114" s="22">
        <f t="shared" si="64"/>
        <v>685.59638862873953</v>
      </c>
      <c r="CC114" s="60">
        <f t="shared" si="65"/>
        <v>965.78975092336304</v>
      </c>
      <c r="CD114" s="60">
        <f ca="1">AVERAGE(OFFSET($CC$3,0,0,'Données projet'!$E$12+1,1))-AVERAGE(OFFSET($H$3,0,0,'Données projet'!$E$12+1,1))</f>
        <v>530.79860063513229</v>
      </c>
      <c r="CE114" s="60">
        <f t="shared" si="94"/>
        <v>302.50876440460434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244.02455999999964</v>
      </c>
      <c r="CV114" s="14">
        <f t="shared" si="95"/>
        <v>59.304594314969229</v>
      </c>
      <c r="CW114" s="22">
        <f t="shared" si="67"/>
        <v>528.29827709857079</v>
      </c>
      <c r="CX114" s="60">
        <f t="shared" si="68"/>
        <v>808.49163939319442</v>
      </c>
      <c r="CY114" s="60">
        <f ca="1">AVERAGE(OFFSET($CX$3,0,0,'Données projet'!$E$13+1,1))-AVERAGE(OFFSET($H$3,0,0,'Données projet'!$E$13+1,1))</f>
        <v>469.67944008675863</v>
      </c>
      <c r="CZ114" s="60">
        <f t="shared" si="96"/>
        <v>266.11908070867173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3.7</v>
      </c>
      <c r="DO114" s="13">
        <f>IF('Données projet'!$A$166&gt;35,DO113+DN114-DW113,IF(A114&lt;'Données projet'!$A$166,$DL$205^A114,IF(A114='Données projet'!$A$166,'Données projet'!$B$166,DO113+DN114-DW113)))</f>
        <v>269.69999999999959</v>
      </c>
      <c r="DP114" s="18">
        <f>DO114*VLOOKUP('Données projet'!$B$14,Paramètres!$A$1:$I$89,3,0)*VLOOKUP('Données projet'!$B$14,Paramètres!$A$1:$I$89,5,0)</f>
        <v>290.30507999999958</v>
      </c>
      <c r="DQ114" s="14">
        <f t="shared" si="97"/>
        <v>69.140166465323375</v>
      </c>
      <c r="DR114" s="22">
        <f t="shared" si="70"/>
        <v>626.03380426043748</v>
      </c>
      <c r="DS114" s="60">
        <f t="shared" si="71"/>
        <v>906.2271665550611</v>
      </c>
      <c r="DT114" s="60">
        <f ca="1">AVERAGE(OFFSET($DS$3,0,0,'Données projet'!$E$14+1,1))-AVERAGE(OFFSET($H$3,0,0,'Données projet'!$E$14+1,1))</f>
        <v>542.90832990875208</v>
      </c>
      <c r="DU114" s="60">
        <f t="shared" si="98"/>
        <v>304.94365539329362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5.6843418860808015E-14</v>
      </c>
      <c r="EK114" s="18">
        <f>EJ114*VLOOKUP('Données projet'!$B$15,Paramètres!$A$1:$I$89,3,0)*VLOOKUP('Données projet'!$B$15,Paramètres!$A$1:$I$89,5,0)</f>
        <v>4.5224624045658861E-14</v>
      </c>
      <c r="EL114" s="14">
        <f t="shared" si="99"/>
        <v>7.4514601661523691E-13</v>
      </c>
      <c r="EM114" s="22">
        <f t="shared" si="73"/>
        <v>1.3765621991510601E-12</v>
      </c>
      <c r="EN114" s="60">
        <f t="shared" si="74"/>
        <v>280.19336229462493</v>
      </c>
      <c r="EO114" s="60">
        <f ca="1">AVERAGE(OFFSET($EN$3,0,0,'Données projet'!$E$15+1,1))-AVERAGE(OFFSET($H$3,0,0,'Données projet'!$E$15+1,1))</f>
        <v>273.72403794510291</v>
      </c>
      <c r="EP114" s="60">
        <f t="shared" si="100"/>
        <v>292.00185554564109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5.6843418860808015E-14</v>
      </c>
      <c r="FF114" s="18">
        <f>FE114*VLOOKUP('Données projet'!$B$16,Paramètres!$A$1:$I$89,3,0)*VLOOKUP('Données projet'!$B$16,Paramètres!$A$1:$I$89,5,0)</f>
        <v>4.4337866711430253E-14</v>
      </c>
      <c r="FG114" s="14">
        <f t="shared" si="101"/>
        <v>7.3222115536967035E-13</v>
      </c>
      <c r="FH114" s="22">
        <f t="shared" si="76"/>
        <v>1.3525069634579169E-12</v>
      </c>
      <c r="FI114" s="60">
        <f t="shared" si="77"/>
        <v>280.19336229462493</v>
      </c>
      <c r="FJ114" s="60">
        <f ca="1">AVERAGE(OFFSET($FI$3,0,0,'Données projet'!$E$16+1,1))-AVERAGE(OFFSET($H$3,0,0,'Données projet'!$E$16+1,1))</f>
        <v>309.21625451786218</v>
      </c>
      <c r="FK114" s="60">
        <f t="shared" si="102"/>
        <v>302.59481222418219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>
        <f>FZ114*VLOOKUP('Données projet'!$B$17,Paramètres!$A$1:$I$89,3,0)*VLOOKUP('Données projet'!$B$17,Paramètres!$A$1:$I$89,5,0)</f>
        <v>0</v>
      </c>
      <c r="GB114" s="14" t="e">
        <f t="shared" si="103"/>
        <v>#NUM!</v>
      </c>
      <c r="GC114" s="22" t="e">
        <f t="shared" si="79"/>
        <v>#NUM!</v>
      </c>
      <c r="GD114" s="60" t="e">
        <f t="shared" si="80"/>
        <v>#NUM!</v>
      </c>
      <c r="GE114" s="60">
        <f ca="1">AVERAGE(OFFSET($GD$3,0,0,'Données projet'!$E$17+1,1))-AVERAGE(OFFSET($H$3,0,0,'Données projet'!$E$17+1,1))</f>
        <v>216.36762889365235</v>
      </c>
      <c r="GF114" s="60">
        <f t="shared" si="104"/>
        <v>333.29599352215496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2.7145304962222299</v>
      </c>
      <c r="GM114" s="23">
        <f>EXP(-LN(2)/25)*GM113+(1-EXP(-LN(2)/25))/(LN(2)/25)*Calculateur!GH114*Calculateur!GJ114*VLOOKUP('Données projet'!$B$17,Paramètres!$A$1:$I$89,3,0)*0.475*44/12</f>
        <v>1.0319087863402423</v>
      </c>
      <c r="GN114" s="23">
        <f>EXP(-LN(2)/2)*GN113+(1-EXP(-LN(2)/2))/(LN(2)/2)*GH114*GK114*VLOOKUP('Données projet'!$B$17,Paramètres!$A$1:$I$89,3,0)*0.475*44/12</f>
        <v>1.8807283191352374E-12</v>
      </c>
      <c r="GO114" s="23">
        <f t="shared" si="81"/>
        <v>3.7464392825643529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4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264.4324799999996</v>
      </c>
      <c r="P115" s="14">
        <f t="shared" si="87"/>
        <v>63.666272015882292</v>
      </c>
      <c r="Q115" s="22">
        <f t="shared" si="107"/>
        <v>571.43865976099426</v>
      </c>
      <c r="R115" s="60">
        <f t="shared" si="55"/>
        <v>851.85997117656507</v>
      </c>
      <c r="S115" s="60">
        <f ca="1">AVERAGE(OFFSET($R$3,0,0,'Données projet'!$E$9+1,1))-AVERAGE(OFFSET($H$3,0,0,'Données projet'!$E$9+1,1))</f>
        <v>496.33873798282525</v>
      </c>
      <c r="T115" s="60">
        <f t="shared" si="88"/>
        <v>280.25465074992246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3.4106051316484809E-13</v>
      </c>
      <c r="AJ115" s="14">
        <f>AI115*VLOOKUP('Données projet'!$B$10,Paramètres!$A$1:$I$89,3,0)*VLOOKUP('Données projet'!$B$10,Paramètres!$A$1:$I$89,5,0)</f>
        <v>1.5961632016114892E-13</v>
      </c>
      <c r="AK115" s="14">
        <f t="shared" si="89"/>
        <v>2.2708641912150958E-12</v>
      </c>
      <c r="AL115" s="22">
        <f t="shared" si="58"/>
        <v>4.2330868906469593E-12</v>
      </c>
      <c r="AM115" s="60">
        <f t="shared" si="59"/>
        <v>280.42131141557508</v>
      </c>
      <c r="AN115" s="60">
        <f ca="1">AVERAGE(OFFSET($AM$3,0,0,'Données projet'!$E$10+1,1))-AVERAGE(OFFSET($H$3,0,0,'Données projet'!$E$10+1,1))</f>
        <v>277.7918215389401</v>
      </c>
      <c r="AO115" s="60">
        <f t="shared" si="90"/>
        <v>164.65640238394164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2.8205128205128234</v>
      </c>
      <c r="BD115" s="13">
        <f>IF('Données projet'!$A$88&gt;35,BD114+BC115-BL114,IF(A115&lt;'Données projet'!$A$88,$BA$205^A115,IF(A115='Données projet'!$A$88,'Données projet'!$B$88,BD114+BC115-BL114)))</f>
        <v>218.46153846153825</v>
      </c>
      <c r="BE115" s="14">
        <f>BD115*VLOOKUP('Données projet'!$B$11,Paramètres!$A$1:$I$89,3,0)*VLOOKUP('Données projet'!$B$11,Paramètres!$A$1:$I$89,5,0)</f>
        <v>207.88799999999978</v>
      </c>
      <c r="BF115" s="14">
        <f t="shared" si="91"/>
        <v>51.473789402175719</v>
      </c>
      <c r="BG115" s="22">
        <f t="shared" si="61"/>
        <v>451.72178320878896</v>
      </c>
      <c r="BH115" s="60">
        <f t="shared" si="62"/>
        <v>732.14309462435983</v>
      </c>
      <c r="BI115" s="60">
        <f ca="1">AVERAGE(OFFSET($BH$3,0,0,'Données projet'!$E$11+1,1))-AVERAGE(OFFSET($H$3,0,0,'Données projet'!$E$11+1,1))</f>
        <v>366.21371543563254</v>
      </c>
      <c r="BJ115" s="60">
        <f t="shared" si="92"/>
        <v>237.43356317334084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2.8846153846153868</v>
      </c>
      <c r="BY115" s="13">
        <f>IF('Données projet'!$A$114&gt;35,BY114+BX115-CG114,IF(A115&lt;'Données projet'!$A$114,$BV$205^A115,IF(A115='Données projet'!$A$114,'Données projet'!$B$114,BY114+BX115-CG114)))</f>
        <v>307.69230769230728</v>
      </c>
      <c r="BZ115" s="14">
        <f>BY115*VLOOKUP('Données projet'!$B$12,Paramètres!$A$1:$I$89,3,0)*VLOOKUP('Données projet'!$B$12,Paramètres!$A$1:$I$89,5,0)</f>
        <v>321.59999999999962</v>
      </c>
      <c r="CA115" s="14">
        <f t="shared" si="93"/>
        <v>75.686168081957248</v>
      </c>
      <c r="CB115" s="22">
        <f t="shared" si="64"/>
        <v>691.94007607607489</v>
      </c>
      <c r="CC115" s="60">
        <f t="shared" si="65"/>
        <v>972.3613874916457</v>
      </c>
      <c r="CD115" s="60">
        <f ca="1">AVERAGE(OFFSET($CC$3,0,0,'Données projet'!$E$12+1,1))-AVERAGE(OFFSET($H$3,0,0,'Données projet'!$E$12+1,1))</f>
        <v>530.79860063513229</v>
      </c>
      <c r="CE115" s="60">
        <f t="shared" si="94"/>
        <v>302.50876440460434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247.3723199999996</v>
      </c>
      <c r="CV115" s="14">
        <f t="shared" si="95"/>
        <v>60.022917171130942</v>
      </c>
      <c r="CW115" s="22">
        <f t="shared" si="67"/>
        <v>535.38003807305233</v>
      </c>
      <c r="CX115" s="60">
        <f t="shared" si="68"/>
        <v>815.80134948862315</v>
      </c>
      <c r="CY115" s="60">
        <f ca="1">AVERAGE(OFFSET($CX$3,0,0,'Données projet'!$E$13+1,1))-AVERAGE(OFFSET($H$3,0,0,'Données projet'!$E$13+1,1))</f>
        <v>469.67944008675863</v>
      </c>
      <c r="CZ115" s="60">
        <f t="shared" si="96"/>
        <v>266.11908070867173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3.7</v>
      </c>
      <c r="DO115" s="13">
        <f>IF('Données projet'!$A$166&gt;35,DO114+DN115-DW114,IF(A115&lt;'Données projet'!$A$166,$DL$205^A115,IF(A115='Données projet'!$A$166,'Données projet'!$B$166,DO114+DN115-DW114)))</f>
        <v>273.39999999999958</v>
      </c>
      <c r="DP115" s="18">
        <f>DO115*VLOOKUP('Données projet'!$B$14,Paramètres!$A$1:$I$89,3,0)*VLOOKUP('Données projet'!$B$14,Paramètres!$A$1:$I$89,5,0)</f>
        <v>294.28775999999954</v>
      </c>
      <c r="DQ115" s="14">
        <f t="shared" si="97"/>
        <v>69.977622018717668</v>
      </c>
      <c r="DR115" s="22">
        <f t="shared" si="70"/>
        <v>634.42887368259915</v>
      </c>
      <c r="DS115" s="60">
        <f t="shared" si="71"/>
        <v>914.85018509816996</v>
      </c>
      <c r="DT115" s="60">
        <f ca="1">AVERAGE(OFFSET($DS$3,0,0,'Données projet'!$E$14+1,1))-AVERAGE(OFFSET($H$3,0,0,'Données projet'!$E$14+1,1))</f>
        <v>542.90832990875208</v>
      </c>
      <c r="DU115" s="60">
        <f t="shared" si="98"/>
        <v>304.94365539329362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5.6843418860808015E-14</v>
      </c>
      <c r="EK115" s="18">
        <f>EJ115*VLOOKUP('Données projet'!$B$15,Paramètres!$A$1:$I$89,3,0)*VLOOKUP('Données projet'!$B$15,Paramètres!$A$1:$I$89,5,0)</f>
        <v>4.5224624045658861E-14</v>
      </c>
      <c r="EL115" s="14">
        <f t="shared" si="99"/>
        <v>7.4514601661523691E-13</v>
      </c>
      <c r="EM115" s="22">
        <f t="shared" si="73"/>
        <v>1.3765621991510601E-12</v>
      </c>
      <c r="EN115" s="60">
        <f t="shared" si="74"/>
        <v>280.42131141557223</v>
      </c>
      <c r="EO115" s="60">
        <f ca="1">AVERAGE(OFFSET($EN$3,0,0,'Données projet'!$E$15+1,1))-AVERAGE(OFFSET($H$3,0,0,'Données projet'!$E$15+1,1))</f>
        <v>273.72403794510291</v>
      </c>
      <c r="EP115" s="60">
        <f t="shared" si="100"/>
        <v>292.00185554564109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5.6843418860808015E-14</v>
      </c>
      <c r="FF115" s="18">
        <f>FE115*VLOOKUP('Données projet'!$B$16,Paramètres!$A$1:$I$89,3,0)*VLOOKUP('Données projet'!$B$16,Paramètres!$A$1:$I$89,5,0)</f>
        <v>4.4337866711430253E-14</v>
      </c>
      <c r="FG115" s="14">
        <f t="shared" si="101"/>
        <v>7.3222115536967035E-13</v>
      </c>
      <c r="FH115" s="22">
        <f t="shared" si="76"/>
        <v>1.3525069634579169E-12</v>
      </c>
      <c r="FI115" s="60">
        <f t="shared" si="77"/>
        <v>280.42131141557223</v>
      </c>
      <c r="FJ115" s="60">
        <f ca="1">AVERAGE(OFFSET($FI$3,0,0,'Données projet'!$E$16+1,1))-AVERAGE(OFFSET($H$3,0,0,'Données projet'!$E$16+1,1))</f>
        <v>309.21625451786218</v>
      </c>
      <c r="FK115" s="60">
        <f t="shared" si="102"/>
        <v>302.59481222418219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>
        <f>FZ115*VLOOKUP('Données projet'!$B$17,Paramètres!$A$1:$I$89,3,0)*VLOOKUP('Données projet'!$B$17,Paramètres!$A$1:$I$89,5,0)</f>
        <v>0</v>
      </c>
      <c r="GB115" s="14" t="e">
        <f t="shared" si="103"/>
        <v>#NUM!</v>
      </c>
      <c r="GC115" s="22" t="e">
        <f t="shared" si="79"/>
        <v>#NUM!</v>
      </c>
      <c r="GD115" s="60" t="e">
        <f t="shared" si="80"/>
        <v>#NUM!</v>
      </c>
      <c r="GE115" s="60">
        <f ca="1">AVERAGE(OFFSET($GD$3,0,0,'Données projet'!$E$17+1,1))-AVERAGE(OFFSET($H$3,0,0,'Données projet'!$E$17+1,1))</f>
        <v>216.36762889365235</v>
      </c>
      <c r="GF115" s="60">
        <f t="shared" si="104"/>
        <v>333.29599352215496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2.6613002088914279</v>
      </c>
      <c r="GM115" s="23">
        <f>EXP(-LN(2)/25)*GM114+(1-EXP(-LN(2)/25))/(LN(2)/25)*Calculateur!GH115*Calculateur!GJ115*VLOOKUP('Données projet'!$B$17,Paramètres!$A$1:$I$89,3,0)*0.475*44/12</f>
        <v>1.0036911863120437</v>
      </c>
      <c r="GN115" s="23">
        <f>EXP(-LN(2)/2)*GN114+(1-EXP(-LN(2)/2))/(LN(2)/2)*GH115*GK115*VLOOKUP('Données projet'!$B$17,Paramètres!$A$1:$I$89,3,0)*0.475*44/12</f>
        <v>1.3298757480301037E-12</v>
      </c>
      <c r="GO115" s="23">
        <f t="shared" si="81"/>
        <v>3.6649913952048014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4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268.01111999999961</v>
      </c>
      <c r="P116" s="14">
        <f t="shared" si="87"/>
        <v>64.426997301716796</v>
      </c>
      <c r="Q116" s="22">
        <f t="shared" si="107"/>
        <v>578.99638763382268</v>
      </c>
      <c r="R116" s="60">
        <f t="shared" si="55"/>
        <v>859.64169376271025</v>
      </c>
      <c r="S116" s="60">
        <f ca="1">AVERAGE(OFFSET($R$3,0,0,'Données projet'!$E$9+1,1))-AVERAGE(OFFSET($H$3,0,0,'Données projet'!$E$9+1,1))</f>
        <v>496.33873798282525</v>
      </c>
      <c r="T116" s="60">
        <f t="shared" si="88"/>
        <v>280.25465074992246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3.4106051316484809E-13</v>
      </c>
      <c r="AJ116" s="14">
        <f>AI116*VLOOKUP('Données projet'!$B$10,Paramètres!$A$1:$I$89,3,0)*VLOOKUP('Données projet'!$B$10,Paramètres!$A$1:$I$89,5,0)</f>
        <v>1.5961632016114892E-13</v>
      </c>
      <c r="AK116" s="14">
        <f t="shared" si="89"/>
        <v>2.2708641912150958E-12</v>
      </c>
      <c r="AL116" s="22">
        <f t="shared" si="58"/>
        <v>4.2330868906469593E-12</v>
      </c>
      <c r="AM116" s="60">
        <f t="shared" si="59"/>
        <v>280.64530612889183</v>
      </c>
      <c r="AN116" s="60">
        <f ca="1">AVERAGE(OFFSET($AM$3,0,0,'Données projet'!$E$10+1,1))-AVERAGE(OFFSET($H$3,0,0,'Données projet'!$E$10+1,1))</f>
        <v>277.7918215389401</v>
      </c>
      <c r="AO116" s="60">
        <f t="shared" si="90"/>
        <v>164.65640238394164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2.8205128205128234</v>
      </c>
      <c r="BD116" s="13">
        <f>IF('Données projet'!$A$88&gt;35,BD115+BC116-BL115,IF(A116&lt;'Données projet'!$A$88,$BA$205^A116,IF(A116='Données projet'!$A$88,'Données projet'!$B$88,BD115+BC116-BL115)))</f>
        <v>221.28205128205107</v>
      </c>
      <c r="BE116" s="14">
        <f>BD116*VLOOKUP('Données projet'!$B$11,Paramètres!$A$1:$I$89,3,0)*VLOOKUP('Données projet'!$B$11,Paramètres!$A$1:$I$89,5,0)</f>
        <v>210.5719999999998</v>
      </c>
      <c r="BF116" s="14">
        <f t="shared" si="91"/>
        <v>52.060562294525134</v>
      </c>
      <c r="BG116" s="22">
        <f t="shared" si="61"/>
        <v>457.41837932963085</v>
      </c>
      <c r="BH116" s="60">
        <f t="shared" si="62"/>
        <v>738.06368545851842</v>
      </c>
      <c r="BI116" s="60">
        <f ca="1">AVERAGE(OFFSET($BH$3,0,0,'Données projet'!$E$11+1,1))-AVERAGE(OFFSET($H$3,0,0,'Données projet'!$E$11+1,1))</f>
        <v>366.21371543563254</v>
      </c>
      <c r="BJ116" s="60">
        <f t="shared" si="92"/>
        <v>237.43356317334084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2.8846153846153868</v>
      </c>
      <c r="BY116" s="13">
        <f>IF('Données projet'!$A$114&gt;35,BY115+BX116-CG115,IF(A116&lt;'Données projet'!$A$114,$BV$205^A116,IF(A116='Données projet'!$A$114,'Données projet'!$B$114,BY115+BX116-CG115)))</f>
        <v>310.57692307692264</v>
      </c>
      <c r="BZ116" s="14">
        <f>BY116*VLOOKUP('Données projet'!$B$12,Paramètres!$A$1:$I$89,3,0)*VLOOKUP('Données projet'!$B$12,Paramètres!$A$1:$I$89,5,0)</f>
        <v>324.61499999999955</v>
      </c>
      <c r="CA116" s="14">
        <f t="shared" si="93"/>
        <v>76.312792476440805</v>
      </c>
      <c r="CB116" s="22">
        <f t="shared" si="64"/>
        <v>698.28257189646683</v>
      </c>
      <c r="CC116" s="60">
        <f t="shared" si="65"/>
        <v>978.9278780253544</v>
      </c>
      <c r="CD116" s="60">
        <f ca="1">AVERAGE(OFFSET($CC$3,0,0,'Données projet'!$E$12+1,1))-AVERAGE(OFFSET($H$3,0,0,'Données projet'!$E$12+1,1))</f>
        <v>530.79860063513229</v>
      </c>
      <c r="CE116" s="60">
        <f t="shared" si="94"/>
        <v>302.50876440460434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250.7200799999996</v>
      </c>
      <c r="CV116" s="14">
        <f t="shared" si="95"/>
        <v>60.740109326032709</v>
      </c>
      <c r="CW116" s="22">
        <f t="shared" si="67"/>
        <v>542.45982974283959</v>
      </c>
      <c r="CX116" s="60">
        <f t="shared" si="68"/>
        <v>823.10513587172727</v>
      </c>
      <c r="CY116" s="60">
        <f ca="1">AVERAGE(OFFSET($CX$3,0,0,'Données projet'!$E$13+1,1))-AVERAGE(OFFSET($H$3,0,0,'Données projet'!$E$13+1,1))</f>
        <v>469.67944008675863</v>
      </c>
      <c r="CZ116" s="60">
        <f t="shared" si="96"/>
        <v>266.11908070867173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3.7</v>
      </c>
      <c r="DO116" s="13">
        <f>IF('Données projet'!$A$166&gt;35,DO115+DN116-DW115,IF(A116&lt;'Données projet'!$A$166,$DL$205^A116,IF(A116='Données projet'!$A$166,'Données projet'!$B$166,DO115+DN116-DW115)))</f>
        <v>277.09999999999957</v>
      </c>
      <c r="DP116" s="18">
        <f>DO116*VLOOKUP('Données projet'!$B$14,Paramètres!$A$1:$I$89,3,0)*VLOOKUP('Données projet'!$B$14,Paramètres!$A$1:$I$89,5,0)</f>
        <v>298.27043999999955</v>
      </c>
      <c r="DQ116" s="14">
        <f t="shared" si="97"/>
        <v>70.813759345855914</v>
      </c>
      <c r="DR116" s="22">
        <f t="shared" si="70"/>
        <v>642.82164719403158</v>
      </c>
      <c r="DS116" s="60">
        <f t="shared" si="71"/>
        <v>923.46695332291915</v>
      </c>
      <c r="DT116" s="60">
        <f ca="1">AVERAGE(OFFSET($DS$3,0,0,'Données projet'!$E$14+1,1))-AVERAGE(OFFSET($H$3,0,0,'Données projet'!$E$14+1,1))</f>
        <v>542.90832990875208</v>
      </c>
      <c r="DU116" s="60">
        <f t="shared" si="98"/>
        <v>304.94365539329362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5.6843418860808015E-14</v>
      </c>
      <c r="EK116" s="18">
        <f>EJ116*VLOOKUP('Données projet'!$B$15,Paramètres!$A$1:$I$89,3,0)*VLOOKUP('Données projet'!$B$15,Paramètres!$A$1:$I$89,5,0)</f>
        <v>4.5224624045658861E-14</v>
      </c>
      <c r="EL116" s="14">
        <f t="shared" si="99"/>
        <v>7.4514601661523691E-13</v>
      </c>
      <c r="EM116" s="22">
        <f t="shared" si="73"/>
        <v>1.3765621991510601E-12</v>
      </c>
      <c r="EN116" s="60">
        <f t="shared" si="74"/>
        <v>280.64530612888899</v>
      </c>
      <c r="EO116" s="60">
        <f ca="1">AVERAGE(OFFSET($EN$3,0,0,'Données projet'!$E$15+1,1))-AVERAGE(OFFSET($H$3,0,0,'Données projet'!$E$15+1,1))</f>
        <v>273.72403794510291</v>
      </c>
      <c r="EP116" s="60">
        <f t="shared" si="100"/>
        <v>292.00185554564109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5.6843418860808015E-14</v>
      </c>
      <c r="FF116" s="18">
        <f>FE116*VLOOKUP('Données projet'!$B$16,Paramètres!$A$1:$I$89,3,0)*VLOOKUP('Données projet'!$B$16,Paramètres!$A$1:$I$89,5,0)</f>
        <v>4.4337866711430253E-14</v>
      </c>
      <c r="FG116" s="14">
        <f t="shared" si="101"/>
        <v>7.3222115536967035E-13</v>
      </c>
      <c r="FH116" s="22">
        <f t="shared" si="76"/>
        <v>1.3525069634579169E-12</v>
      </c>
      <c r="FI116" s="60">
        <f t="shared" si="77"/>
        <v>280.64530612888899</v>
      </c>
      <c r="FJ116" s="60">
        <f ca="1">AVERAGE(OFFSET($FI$3,0,0,'Données projet'!$E$16+1,1))-AVERAGE(OFFSET($H$3,0,0,'Données projet'!$E$16+1,1))</f>
        <v>309.21625451786218</v>
      </c>
      <c r="FK116" s="60">
        <f t="shared" si="102"/>
        <v>302.59481222418219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>
        <f>FZ116*VLOOKUP('Données projet'!$B$17,Paramètres!$A$1:$I$89,3,0)*VLOOKUP('Données projet'!$B$17,Paramètres!$A$1:$I$89,5,0)</f>
        <v>0</v>
      </c>
      <c r="GB116" s="14" t="e">
        <f t="shared" si="103"/>
        <v>#NUM!</v>
      </c>
      <c r="GC116" s="22" t="e">
        <f t="shared" si="79"/>
        <v>#NUM!</v>
      </c>
      <c r="GD116" s="60" t="e">
        <f t="shared" si="80"/>
        <v>#NUM!</v>
      </c>
      <c r="GE116" s="60">
        <f ca="1">AVERAGE(OFFSET($GD$3,0,0,'Données projet'!$E$17+1,1))-AVERAGE(OFFSET($H$3,0,0,'Données projet'!$E$17+1,1))</f>
        <v>216.36762889365235</v>
      </c>
      <c r="GF116" s="60">
        <f t="shared" si="104"/>
        <v>333.29599352215496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2.6091137350279134</v>
      </c>
      <c r="GM116" s="23">
        <f>EXP(-LN(2)/25)*GM115+(1-EXP(-LN(2)/25))/(LN(2)/25)*Calculateur!GH116*Calculateur!GJ116*VLOOKUP('Données projet'!$B$17,Paramètres!$A$1:$I$89,3,0)*0.475*44/12</f>
        <v>0.97624519804051535</v>
      </c>
      <c r="GN116" s="23">
        <f>EXP(-LN(2)/2)*GN115+(1-EXP(-LN(2)/2))/(LN(2)/2)*GH116*GK116*VLOOKUP('Données projet'!$B$17,Paramètres!$A$1:$I$89,3,0)*0.475*44/12</f>
        <v>9.403641595676187E-13</v>
      </c>
      <c r="GO116" s="23">
        <f t="shared" si="81"/>
        <v>3.5853589330693696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4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271.58975999999956</v>
      </c>
      <c r="P117" s="14">
        <f t="shared" si="87"/>
        <v>65.186541118848012</v>
      </c>
      <c r="Q117" s="22">
        <f t="shared" si="107"/>
        <v>586.55205778199286</v>
      </c>
      <c r="R117" s="60">
        <f t="shared" si="55"/>
        <v>867.41747281669836</v>
      </c>
      <c r="S117" s="60">
        <f ca="1">AVERAGE(OFFSET($R$3,0,0,'Données projet'!$E$9+1,1))-AVERAGE(OFFSET($H$3,0,0,'Données projet'!$E$9+1,1))</f>
        <v>496.33873798282525</v>
      </c>
      <c r="T117" s="60">
        <f t="shared" si="88"/>
        <v>280.25465074992246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3.4106051316484809E-13</v>
      </c>
      <c r="AJ117" s="14">
        <f>AI117*VLOOKUP('Données projet'!$B$10,Paramètres!$A$1:$I$89,3,0)*VLOOKUP('Données projet'!$B$10,Paramètres!$A$1:$I$89,5,0)</f>
        <v>1.5961632016114892E-13</v>
      </c>
      <c r="AK117" s="14">
        <f t="shared" si="89"/>
        <v>2.2708641912150958E-12</v>
      </c>
      <c r="AL117" s="22">
        <f t="shared" si="58"/>
        <v>4.2330868906469593E-12</v>
      </c>
      <c r="AM117" s="60">
        <f t="shared" si="59"/>
        <v>280.86541503470966</v>
      </c>
      <c r="AN117" s="60">
        <f ca="1">AVERAGE(OFFSET($AM$3,0,0,'Données projet'!$E$10+1,1))-AVERAGE(OFFSET($H$3,0,0,'Données projet'!$E$10+1,1))</f>
        <v>277.7918215389401</v>
      </c>
      <c r="AO117" s="60">
        <f t="shared" si="90"/>
        <v>164.65640238394164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2.8205128205128234</v>
      </c>
      <c r="BD117" s="13">
        <f>IF('Données projet'!$A$88&gt;35,BD116+BC117-BL116,IF(A117&lt;'Données projet'!$A$88,$BA$205^A117,IF(A117='Données projet'!$A$88,'Données projet'!$B$88,BD116+BC117-BL116)))</f>
        <v>224.10256410256389</v>
      </c>
      <c r="BE117" s="14">
        <f>BD117*VLOOKUP('Données projet'!$B$11,Paramètres!$A$1:$I$89,3,0)*VLOOKUP('Données projet'!$B$11,Paramètres!$A$1:$I$89,5,0)</f>
        <v>213.2559999999998</v>
      </c>
      <c r="BF117" s="14">
        <f t="shared" si="91"/>
        <v>52.646465235028018</v>
      </c>
      <c r="BG117" s="22">
        <f t="shared" si="61"/>
        <v>463.11346028434014</v>
      </c>
      <c r="BH117" s="60">
        <f t="shared" si="62"/>
        <v>743.97887531904553</v>
      </c>
      <c r="BI117" s="60">
        <f ca="1">AVERAGE(OFFSET($BH$3,0,0,'Données projet'!$E$11+1,1))-AVERAGE(OFFSET($H$3,0,0,'Données projet'!$E$11+1,1))</f>
        <v>366.21371543563254</v>
      </c>
      <c r="BJ117" s="60">
        <f t="shared" si="92"/>
        <v>237.43356317334084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2.8846153846153868</v>
      </c>
      <c r="BY117" s="13">
        <f>IF('Données projet'!$A$114&gt;35,BY116+BX117-CG116,IF(A117&lt;'Données projet'!$A$114,$BV$205^A117,IF(A117='Données projet'!$A$114,'Données projet'!$B$114,BY116+BX117-CG116)))</f>
        <v>313.461538461538</v>
      </c>
      <c r="BZ117" s="14">
        <f>BY117*VLOOKUP('Données projet'!$B$12,Paramètres!$A$1:$I$89,3,0)*VLOOKUP('Données projet'!$B$12,Paramètres!$A$1:$I$89,5,0)</f>
        <v>327.62999999999954</v>
      </c>
      <c r="CA117" s="14">
        <f t="shared" si="93"/>
        <v>76.938739773947404</v>
      </c>
      <c r="CB117" s="22">
        <f t="shared" si="64"/>
        <v>704.62388843962435</v>
      </c>
      <c r="CC117" s="60">
        <f t="shared" si="65"/>
        <v>985.48930347432974</v>
      </c>
      <c r="CD117" s="60">
        <f ca="1">AVERAGE(OFFSET($CC$3,0,0,'Données projet'!$E$12+1,1))-AVERAGE(OFFSET($H$3,0,0,'Données projet'!$E$12+1,1))</f>
        <v>530.79860063513229</v>
      </c>
      <c r="CE117" s="60">
        <f t="shared" si="94"/>
        <v>302.50876440460434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254.06783999999956</v>
      </c>
      <c r="CV117" s="14">
        <f t="shared" si="95"/>
        <v>61.456187622750669</v>
      </c>
      <c r="CW117" s="22">
        <f t="shared" si="67"/>
        <v>549.53768144295657</v>
      </c>
      <c r="CX117" s="60">
        <f t="shared" si="68"/>
        <v>830.40309647766207</v>
      </c>
      <c r="CY117" s="60">
        <f ca="1">AVERAGE(OFFSET($CX$3,0,0,'Données projet'!$E$13+1,1))-AVERAGE(OFFSET($H$3,0,0,'Données projet'!$E$13+1,1))</f>
        <v>469.67944008675863</v>
      </c>
      <c r="CZ117" s="60">
        <f t="shared" si="96"/>
        <v>266.11908070867173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3.7</v>
      </c>
      <c r="DO117" s="13">
        <f>IF('Données projet'!$A$166&gt;35,DO116+DN117-DW116,IF(A117&lt;'Données projet'!$A$166,$DL$205^A117,IF(A117='Données projet'!$A$166,'Données projet'!$B$166,DO116+DN117-DW116)))</f>
        <v>280.79999999999956</v>
      </c>
      <c r="DP117" s="18">
        <f>DO117*VLOOKUP('Données projet'!$B$14,Paramètres!$A$1:$I$89,3,0)*VLOOKUP('Données projet'!$B$14,Paramètres!$A$1:$I$89,5,0)</f>
        <v>302.25311999999951</v>
      </c>
      <c r="DQ117" s="14">
        <f t="shared" si="97"/>
        <v>71.648598083211283</v>
      </c>
      <c r="DR117" s="22">
        <f t="shared" si="70"/>
        <v>651.21215899492529</v>
      </c>
      <c r="DS117" s="60">
        <f t="shared" si="71"/>
        <v>932.0775740296308</v>
      </c>
      <c r="DT117" s="60">
        <f ca="1">AVERAGE(OFFSET($DS$3,0,0,'Données projet'!$E$14+1,1))-AVERAGE(OFFSET($H$3,0,0,'Données projet'!$E$14+1,1))</f>
        <v>542.90832990875208</v>
      </c>
      <c r="DU117" s="60">
        <f t="shared" si="98"/>
        <v>304.94365539329362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5.6843418860808015E-14</v>
      </c>
      <c r="EK117" s="18">
        <f>EJ117*VLOOKUP('Données projet'!$B$15,Paramètres!$A$1:$I$89,3,0)*VLOOKUP('Données projet'!$B$15,Paramètres!$A$1:$I$89,5,0)</f>
        <v>4.5224624045658861E-14</v>
      </c>
      <c r="EL117" s="14">
        <f t="shared" si="99"/>
        <v>7.4514601661523691E-13</v>
      </c>
      <c r="EM117" s="22">
        <f t="shared" si="73"/>
        <v>1.3765621991510601E-12</v>
      </c>
      <c r="EN117" s="60">
        <f t="shared" si="74"/>
        <v>280.86541503470681</v>
      </c>
      <c r="EO117" s="60">
        <f ca="1">AVERAGE(OFFSET($EN$3,0,0,'Données projet'!$E$15+1,1))-AVERAGE(OFFSET($H$3,0,0,'Données projet'!$E$15+1,1))</f>
        <v>273.72403794510291</v>
      </c>
      <c r="EP117" s="60">
        <f t="shared" si="100"/>
        <v>292.00185554564109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5.6843418860808015E-14</v>
      </c>
      <c r="FF117" s="18">
        <f>FE117*VLOOKUP('Données projet'!$B$16,Paramètres!$A$1:$I$89,3,0)*VLOOKUP('Données projet'!$B$16,Paramètres!$A$1:$I$89,5,0)</f>
        <v>4.4337866711430253E-14</v>
      </c>
      <c r="FG117" s="14">
        <f t="shared" si="101"/>
        <v>7.3222115536967035E-13</v>
      </c>
      <c r="FH117" s="22">
        <f t="shared" si="76"/>
        <v>1.3525069634579169E-12</v>
      </c>
      <c r="FI117" s="60">
        <f t="shared" si="77"/>
        <v>280.86541503470681</v>
      </c>
      <c r="FJ117" s="60">
        <f ca="1">AVERAGE(OFFSET($FI$3,0,0,'Données projet'!$E$16+1,1))-AVERAGE(OFFSET($H$3,0,0,'Données projet'!$E$16+1,1))</f>
        <v>309.21625451786218</v>
      </c>
      <c r="FK117" s="60">
        <f t="shared" si="102"/>
        <v>302.59481222418219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>
        <f>FZ117*VLOOKUP('Données projet'!$B$17,Paramètres!$A$1:$I$89,3,0)*VLOOKUP('Données projet'!$B$17,Paramètres!$A$1:$I$89,5,0)</f>
        <v>0</v>
      </c>
      <c r="GB117" s="14" t="e">
        <f t="shared" si="103"/>
        <v>#NUM!</v>
      </c>
      <c r="GC117" s="22" t="e">
        <f t="shared" si="79"/>
        <v>#NUM!</v>
      </c>
      <c r="GD117" s="60" t="e">
        <f t="shared" si="80"/>
        <v>#NUM!</v>
      </c>
      <c r="GE117" s="60">
        <f ca="1">AVERAGE(OFFSET($GD$3,0,0,'Données projet'!$E$17+1,1))-AVERAGE(OFFSET($H$3,0,0,'Données projet'!$E$17+1,1))</f>
        <v>216.36762889365235</v>
      </c>
      <c r="GF117" s="60">
        <f t="shared" si="104"/>
        <v>333.29599352215496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2.5579506060862567</v>
      </c>
      <c r="GM117" s="23">
        <f>EXP(-LN(2)/25)*GM116+(1-EXP(-LN(2)/25))/(LN(2)/25)*Calculateur!GH117*Calculateur!GJ117*VLOOKUP('Données projet'!$B$17,Paramètres!$A$1:$I$89,3,0)*0.475*44/12</f>
        <v>0.94954972176159369</v>
      </c>
      <c r="GN117" s="23">
        <f>EXP(-LN(2)/2)*GN116+(1-EXP(-LN(2)/2))/(LN(2)/2)*GH117*GK117*VLOOKUP('Données projet'!$B$17,Paramètres!$A$1:$I$89,3,0)*0.475*44/12</f>
        <v>6.6493787401505183E-13</v>
      </c>
      <c r="GO117" s="23">
        <f t="shared" si="81"/>
        <v>3.5075003278485153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4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275.16839999999956</v>
      </c>
      <c r="P118" s="14">
        <f t="shared" si="87"/>
        <v>65.944920834841554</v>
      </c>
      <c r="Q118" s="22">
        <f t="shared" si="107"/>
        <v>594.10570045401494</v>
      </c>
      <c r="R118" s="60">
        <f t="shared" si="55"/>
        <v>875.18740599711214</v>
      </c>
      <c r="S118" s="60">
        <f ca="1">AVERAGE(OFFSET($R$3,0,0,'Données projet'!$E$9+1,1))-AVERAGE(OFFSET($H$3,0,0,'Données projet'!$E$9+1,1))</f>
        <v>496.33873798282525</v>
      </c>
      <c r="T118" s="60">
        <f t="shared" si="88"/>
        <v>280.25465074992246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3.4106051316484809E-13</v>
      </c>
      <c r="AJ118" s="14">
        <f>AI118*VLOOKUP('Données projet'!$B$10,Paramètres!$A$1:$I$89,3,0)*VLOOKUP('Données projet'!$B$10,Paramètres!$A$1:$I$89,5,0)</f>
        <v>1.5961632016114892E-13</v>
      </c>
      <c r="AK118" s="14">
        <f t="shared" si="89"/>
        <v>2.2708641912150958E-12</v>
      </c>
      <c r="AL118" s="22">
        <f t="shared" si="58"/>
        <v>4.2330868906469593E-12</v>
      </c>
      <c r="AM118" s="60">
        <f t="shared" si="59"/>
        <v>281.08170554310146</v>
      </c>
      <c r="AN118" s="60">
        <f ca="1">AVERAGE(OFFSET($AM$3,0,0,'Données projet'!$E$10+1,1))-AVERAGE(OFFSET($H$3,0,0,'Données projet'!$E$10+1,1))</f>
        <v>277.7918215389401</v>
      </c>
      <c r="AO118" s="60">
        <f t="shared" si="90"/>
        <v>164.65640238394164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2.8205128205128234</v>
      </c>
      <c r="BD118" s="13">
        <f>IF('Données projet'!$A$88&gt;35,BD117+BC118-BL117,IF(A118&lt;'Données projet'!$A$88,$BA$205^A118,IF(A118='Données projet'!$A$88,'Données projet'!$B$88,BD117+BC118-BL117)))</f>
        <v>226.92307692307671</v>
      </c>
      <c r="BE118" s="14">
        <f>BD118*VLOOKUP('Données projet'!$B$11,Paramètres!$A$1:$I$89,3,0)*VLOOKUP('Données projet'!$B$11,Paramètres!$A$1:$I$89,5,0)</f>
        <v>215.9399999999998</v>
      </c>
      <c r="BF118" s="14">
        <f t="shared" si="91"/>
        <v>53.231510438903811</v>
      </c>
      <c r="BG118" s="22">
        <f t="shared" si="61"/>
        <v>468.80704734775713</v>
      </c>
      <c r="BH118" s="60">
        <f t="shared" si="62"/>
        <v>749.88875289085445</v>
      </c>
      <c r="BI118" s="60">
        <f ca="1">AVERAGE(OFFSET($BH$3,0,0,'Données projet'!$E$11+1,1))-AVERAGE(OFFSET($H$3,0,0,'Données projet'!$E$11+1,1))</f>
        <v>366.21371543563254</v>
      </c>
      <c r="BJ118" s="60">
        <f t="shared" si="92"/>
        <v>237.43356317334084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2.8846153846153868</v>
      </c>
      <c r="BY118" s="13">
        <f>IF('Données projet'!$A$114&gt;35,BY117+BX118-CG117,IF(A118&lt;'Données projet'!$A$114,$BV$205^A118,IF(A118='Données projet'!$A$114,'Données projet'!$B$114,BY117+BX118-CG117)))</f>
        <v>316.34615384615336</v>
      </c>
      <c r="BZ118" s="14">
        <f>BY118*VLOOKUP('Données projet'!$B$12,Paramètres!$A$1:$I$89,3,0)*VLOOKUP('Données projet'!$B$12,Paramètres!$A$1:$I$89,5,0)</f>
        <v>330.64499999999953</v>
      </c>
      <c r="CA118" s="14">
        <f t="shared" si="93"/>
        <v>77.564016927186358</v>
      </c>
      <c r="CB118" s="22">
        <f t="shared" si="64"/>
        <v>710.96403781484867</v>
      </c>
      <c r="CC118" s="60">
        <f t="shared" si="65"/>
        <v>992.04574335794587</v>
      </c>
      <c r="CD118" s="60">
        <f ca="1">AVERAGE(OFFSET($CC$3,0,0,'Données projet'!$E$12+1,1))-AVERAGE(OFFSET($H$3,0,0,'Données projet'!$E$12+1,1))</f>
        <v>530.79860063513229</v>
      </c>
      <c r="CE118" s="60">
        <f t="shared" si="94"/>
        <v>302.50876440460434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257.41559999999959</v>
      </c>
      <c r="CV118" s="14">
        <f t="shared" si="95"/>
        <v>62.171168434977062</v>
      </c>
      <c r="CW118" s="22">
        <f t="shared" si="67"/>
        <v>556.61362169091774</v>
      </c>
      <c r="CX118" s="60">
        <f t="shared" si="68"/>
        <v>837.69532723401494</v>
      </c>
      <c r="CY118" s="60">
        <f ca="1">AVERAGE(OFFSET($CX$3,0,0,'Données projet'!$E$13+1,1))-AVERAGE(OFFSET($H$3,0,0,'Données projet'!$E$13+1,1))</f>
        <v>469.67944008675863</v>
      </c>
      <c r="CZ118" s="60">
        <f t="shared" si="96"/>
        <v>266.11908070867173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3.7</v>
      </c>
      <c r="DO118" s="13">
        <f>IF('Données projet'!$A$166&gt;35,DO117+DN118-DW117,IF(A118&lt;'Données projet'!$A$166,$DL$205^A118,IF(A118='Données projet'!$A$166,'Données projet'!$B$166,DO117+DN118-DW117)))</f>
        <v>284.49999999999955</v>
      </c>
      <c r="DP118" s="18">
        <f>DO118*VLOOKUP('Données projet'!$B$14,Paramètres!$A$1:$I$89,3,0)*VLOOKUP('Données projet'!$B$14,Paramètres!$A$1:$I$89,5,0)</f>
        <v>306.23579999999947</v>
      </c>
      <c r="DQ118" s="14">
        <f t="shared" si="97"/>
        <v>72.482157320026886</v>
      </c>
      <c r="DR118" s="22">
        <f t="shared" si="70"/>
        <v>659.6004423323792</v>
      </c>
      <c r="DS118" s="60">
        <f t="shared" si="71"/>
        <v>940.6821478754764</v>
      </c>
      <c r="DT118" s="60">
        <f ca="1">AVERAGE(OFFSET($DS$3,0,0,'Données projet'!$E$14+1,1))-AVERAGE(OFFSET($H$3,0,0,'Données projet'!$E$14+1,1))</f>
        <v>542.90832990875208</v>
      </c>
      <c r="DU118" s="60">
        <f t="shared" si="98"/>
        <v>304.94365539329362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5.6843418860808015E-14</v>
      </c>
      <c r="EK118" s="18">
        <f>EJ118*VLOOKUP('Données projet'!$B$15,Paramètres!$A$1:$I$89,3,0)*VLOOKUP('Données projet'!$B$15,Paramètres!$A$1:$I$89,5,0)</f>
        <v>4.5224624045658861E-14</v>
      </c>
      <c r="EL118" s="14">
        <f t="shared" si="99"/>
        <v>7.4514601661523691E-13</v>
      </c>
      <c r="EM118" s="22">
        <f t="shared" si="73"/>
        <v>1.3765621991510601E-12</v>
      </c>
      <c r="EN118" s="60">
        <f t="shared" si="74"/>
        <v>281.08170554309862</v>
      </c>
      <c r="EO118" s="60">
        <f ca="1">AVERAGE(OFFSET($EN$3,0,0,'Données projet'!$E$15+1,1))-AVERAGE(OFFSET($H$3,0,0,'Données projet'!$E$15+1,1))</f>
        <v>273.72403794510291</v>
      </c>
      <c r="EP118" s="60">
        <f t="shared" si="100"/>
        <v>292.00185554564109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5.6843418860808015E-14</v>
      </c>
      <c r="FF118" s="18">
        <f>FE118*VLOOKUP('Données projet'!$B$16,Paramètres!$A$1:$I$89,3,0)*VLOOKUP('Données projet'!$B$16,Paramètres!$A$1:$I$89,5,0)</f>
        <v>4.4337866711430253E-14</v>
      </c>
      <c r="FG118" s="14">
        <f t="shared" si="101"/>
        <v>7.3222115536967035E-13</v>
      </c>
      <c r="FH118" s="22">
        <f t="shared" si="76"/>
        <v>1.3525069634579169E-12</v>
      </c>
      <c r="FI118" s="60">
        <f t="shared" si="77"/>
        <v>281.08170554309862</v>
      </c>
      <c r="FJ118" s="60">
        <f ca="1">AVERAGE(OFFSET($FI$3,0,0,'Données projet'!$E$16+1,1))-AVERAGE(OFFSET($H$3,0,0,'Données projet'!$E$16+1,1))</f>
        <v>309.21625451786218</v>
      </c>
      <c r="FK118" s="60">
        <f t="shared" si="102"/>
        <v>302.59481222418219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>
        <f>FZ118*VLOOKUP('Données projet'!$B$17,Paramètres!$A$1:$I$89,3,0)*VLOOKUP('Données projet'!$B$17,Paramètres!$A$1:$I$89,5,0)</f>
        <v>0</v>
      </c>
      <c r="GB118" s="14" t="e">
        <f t="shared" si="103"/>
        <v>#NUM!</v>
      </c>
      <c r="GC118" s="22" t="e">
        <f t="shared" si="79"/>
        <v>#NUM!</v>
      </c>
      <c r="GD118" s="60" t="e">
        <f t="shared" si="80"/>
        <v>#NUM!</v>
      </c>
      <c r="GE118" s="60">
        <f ca="1">AVERAGE(OFFSET($GD$3,0,0,'Données projet'!$E$17+1,1))-AVERAGE(OFFSET($H$3,0,0,'Données projet'!$E$17+1,1))</f>
        <v>216.36762889365235</v>
      </c>
      <c r="GF118" s="60">
        <f t="shared" si="104"/>
        <v>333.29599352215496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2.5077907548967184</v>
      </c>
      <c r="GM118" s="23">
        <f>EXP(-LN(2)/25)*GM117+(1-EXP(-LN(2)/25))/(LN(2)/25)*Calculateur!GH118*Calculateur!GJ118*VLOOKUP('Données projet'!$B$17,Paramètres!$A$1:$I$89,3,0)*0.475*44/12</f>
        <v>0.92358423468537332</v>
      </c>
      <c r="GN118" s="23">
        <f>EXP(-LN(2)/2)*GN117+(1-EXP(-LN(2)/2))/(LN(2)/2)*GH118*GK118*VLOOKUP('Données projet'!$B$17,Paramètres!$A$1:$I$89,3,0)*0.475*44/12</f>
        <v>4.7018207978380935E-13</v>
      </c>
      <c r="GO118" s="23">
        <f t="shared" si="81"/>
        <v>3.431374989582562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4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278.74703999999957</v>
      </c>
      <c r="P119" s="14">
        <f t="shared" si="87"/>
        <v>66.702153339553135</v>
      </c>
      <c r="Q119" s="22">
        <f t="shared" si="107"/>
        <v>601.65734506638762</v>
      </c>
      <c r="R119" s="60">
        <f t="shared" si="55"/>
        <v>882.95158896110911</v>
      </c>
      <c r="S119" s="60">
        <f ca="1">AVERAGE(OFFSET($R$3,0,0,'Données projet'!$E$9+1,1))-AVERAGE(OFFSET($H$3,0,0,'Données projet'!$E$9+1,1))</f>
        <v>496.33873798282525</v>
      </c>
      <c r="T119" s="60">
        <f t="shared" si="88"/>
        <v>280.25465074992246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3.4106051316484809E-13</v>
      </c>
      <c r="AJ119" s="14">
        <f>AI119*VLOOKUP('Données projet'!$B$10,Paramètres!$A$1:$I$89,3,0)*VLOOKUP('Données projet'!$B$10,Paramètres!$A$1:$I$89,5,0)</f>
        <v>1.5961632016114892E-13</v>
      </c>
      <c r="AK119" s="14">
        <f t="shared" si="89"/>
        <v>2.2708641912150958E-12</v>
      </c>
      <c r="AL119" s="22">
        <f t="shared" si="58"/>
        <v>4.2330868906469593E-12</v>
      </c>
      <c r="AM119" s="60">
        <f t="shared" si="59"/>
        <v>281.2942438947257</v>
      </c>
      <c r="AN119" s="60">
        <f ca="1">AVERAGE(OFFSET($AM$3,0,0,'Données projet'!$E$10+1,1))-AVERAGE(OFFSET($H$3,0,0,'Données projet'!$E$10+1,1))</f>
        <v>277.7918215389401</v>
      </c>
      <c r="AO119" s="60">
        <f t="shared" si="90"/>
        <v>164.65640238394164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2.8205128205128234</v>
      </c>
      <c r="BD119" s="13">
        <f>IF('Données projet'!$A$88&gt;35,BD118+BC119-BL118,IF(A119&lt;'Données projet'!$A$88,$BA$205^A119,IF(A119='Données projet'!$A$88,'Données projet'!$B$88,BD118+BC119-BL118)))</f>
        <v>229.74358974358952</v>
      </c>
      <c r="BE119" s="14">
        <f>BD119*VLOOKUP('Données projet'!$B$11,Paramètres!$A$1:$I$89,3,0)*VLOOKUP('Données projet'!$B$11,Paramètres!$A$1:$I$89,5,0)</f>
        <v>218.6239999999998</v>
      </c>
      <c r="BF119" s="14">
        <f t="shared" si="91"/>
        <v>53.815709800251994</v>
      </c>
      <c r="BG119" s="22">
        <f t="shared" si="61"/>
        <v>474.49916123543841</v>
      </c>
      <c r="BH119" s="60">
        <f t="shared" si="62"/>
        <v>755.79340513015995</v>
      </c>
      <c r="BI119" s="60">
        <f ca="1">AVERAGE(OFFSET($BH$3,0,0,'Données projet'!$E$11+1,1))-AVERAGE(OFFSET($H$3,0,0,'Données projet'!$E$11+1,1))</f>
        <v>366.21371543563254</v>
      </c>
      <c r="BJ119" s="60">
        <f t="shared" si="92"/>
        <v>237.43356317334084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2.8846153846153868</v>
      </c>
      <c r="BY119" s="13">
        <f>IF('Données projet'!$A$114&gt;35,BY118+BX119-CG118,IF(A119&lt;'Données projet'!$A$114,$BV$205^A119,IF(A119='Données projet'!$A$114,'Données projet'!$B$114,BY118+BX119-CG118)))</f>
        <v>319.23076923076871</v>
      </c>
      <c r="BZ119" s="14">
        <f>BY119*VLOOKUP('Données projet'!$B$12,Paramètres!$A$1:$I$89,3,0)*VLOOKUP('Données projet'!$B$12,Paramètres!$A$1:$I$89,5,0)</f>
        <v>333.65999999999946</v>
      </c>
      <c r="CA119" s="14">
        <f t="shared" si="93"/>
        <v>78.188630754756275</v>
      </c>
      <c r="CB119" s="22">
        <f t="shared" si="64"/>
        <v>717.30303189786616</v>
      </c>
      <c r="CC119" s="60">
        <f t="shared" si="65"/>
        <v>998.59727579258765</v>
      </c>
      <c r="CD119" s="60">
        <f ca="1">AVERAGE(OFFSET($CC$3,0,0,'Données projet'!$E$12+1,1))-AVERAGE(OFFSET($H$3,0,0,'Données projet'!$E$12+1,1))</f>
        <v>530.79860063513229</v>
      </c>
      <c r="CE119" s="60">
        <f t="shared" si="94"/>
        <v>302.50876440460434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260.76335999999958</v>
      </c>
      <c r="CV119" s="14">
        <f t="shared" si="95"/>
        <v>62.885067686031896</v>
      </c>
      <c r="CW119" s="22">
        <f t="shared" si="67"/>
        <v>563.68767821983818</v>
      </c>
      <c r="CX119" s="60">
        <f t="shared" si="68"/>
        <v>844.98192211455967</v>
      </c>
      <c r="CY119" s="60">
        <f ca="1">AVERAGE(OFFSET($CX$3,0,0,'Données projet'!$E$13+1,1))-AVERAGE(OFFSET($H$3,0,0,'Données projet'!$E$13+1,1))</f>
        <v>469.67944008675863</v>
      </c>
      <c r="CZ119" s="60">
        <f t="shared" si="96"/>
        <v>266.11908070867173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3.7</v>
      </c>
      <c r="DO119" s="13">
        <f>IF('Données projet'!$A$166&gt;35,DO118+DN119-DW118,IF(A119&lt;'Données projet'!$A$166,$DL$205^A119,IF(A119='Données projet'!$A$166,'Données projet'!$B$166,DO118+DN119-DW118)))</f>
        <v>288.19999999999953</v>
      </c>
      <c r="DP119" s="18">
        <f>DO119*VLOOKUP('Données projet'!$B$14,Paramètres!$A$1:$I$89,3,0)*VLOOKUP('Données projet'!$B$14,Paramètres!$A$1:$I$89,5,0)</f>
        <v>310.21847999999949</v>
      </c>
      <c r="DQ119" s="14">
        <f t="shared" si="97"/>
        <v>73.314455620479848</v>
      </c>
      <c r="DR119" s="22">
        <f t="shared" si="70"/>
        <v>667.98652953900148</v>
      </c>
      <c r="DS119" s="60">
        <f t="shared" si="71"/>
        <v>949.28077343372297</v>
      </c>
      <c r="DT119" s="60">
        <f ca="1">AVERAGE(OFFSET($DS$3,0,0,'Données projet'!$E$14+1,1))-AVERAGE(OFFSET($H$3,0,0,'Données projet'!$E$14+1,1))</f>
        <v>542.90832990875208</v>
      </c>
      <c r="DU119" s="60">
        <f t="shared" si="98"/>
        <v>304.94365539329362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5.6843418860808015E-14</v>
      </c>
      <c r="EK119" s="18">
        <f>EJ119*VLOOKUP('Données projet'!$B$15,Paramètres!$A$1:$I$89,3,0)*VLOOKUP('Données projet'!$B$15,Paramètres!$A$1:$I$89,5,0)</f>
        <v>4.5224624045658861E-14</v>
      </c>
      <c r="EL119" s="14">
        <f t="shared" si="99"/>
        <v>7.4514601661523691E-13</v>
      </c>
      <c r="EM119" s="22">
        <f t="shared" si="73"/>
        <v>1.3765621991510601E-12</v>
      </c>
      <c r="EN119" s="60">
        <f t="shared" si="74"/>
        <v>281.29424389472285</v>
      </c>
      <c r="EO119" s="60">
        <f ca="1">AVERAGE(OFFSET($EN$3,0,0,'Données projet'!$E$15+1,1))-AVERAGE(OFFSET($H$3,0,0,'Données projet'!$E$15+1,1))</f>
        <v>273.72403794510291</v>
      </c>
      <c r="EP119" s="60">
        <f t="shared" si="100"/>
        <v>292.00185554564109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5.6843418860808015E-14</v>
      </c>
      <c r="FF119" s="18">
        <f>FE119*VLOOKUP('Données projet'!$B$16,Paramètres!$A$1:$I$89,3,0)*VLOOKUP('Données projet'!$B$16,Paramètres!$A$1:$I$89,5,0)</f>
        <v>4.4337866711430253E-14</v>
      </c>
      <c r="FG119" s="14">
        <f t="shared" si="101"/>
        <v>7.3222115536967035E-13</v>
      </c>
      <c r="FH119" s="22">
        <f t="shared" si="76"/>
        <v>1.3525069634579169E-12</v>
      </c>
      <c r="FI119" s="60">
        <f t="shared" si="77"/>
        <v>281.29424389472285</v>
      </c>
      <c r="FJ119" s="60">
        <f ca="1">AVERAGE(OFFSET($FI$3,0,0,'Données projet'!$E$16+1,1))-AVERAGE(OFFSET($H$3,0,0,'Données projet'!$E$16+1,1))</f>
        <v>309.21625451786218</v>
      </c>
      <c r="FK119" s="60">
        <f t="shared" si="102"/>
        <v>302.59481222418219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>
        <f>FZ119*VLOOKUP('Données projet'!$B$17,Paramètres!$A$1:$I$89,3,0)*VLOOKUP('Données projet'!$B$17,Paramètres!$A$1:$I$89,5,0)</f>
        <v>0</v>
      </c>
      <c r="GB119" s="14" t="e">
        <f t="shared" si="103"/>
        <v>#NUM!</v>
      </c>
      <c r="GC119" s="22" t="e">
        <f t="shared" si="79"/>
        <v>#NUM!</v>
      </c>
      <c r="GD119" s="60" t="e">
        <f t="shared" si="80"/>
        <v>#NUM!</v>
      </c>
      <c r="GE119" s="60">
        <f ca="1">AVERAGE(OFFSET($GD$3,0,0,'Données projet'!$E$17+1,1))-AVERAGE(OFFSET($H$3,0,0,'Données projet'!$E$17+1,1))</f>
        <v>216.36762889365235</v>
      </c>
      <c r="GF119" s="60">
        <f t="shared" si="104"/>
        <v>333.29599352215496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2.4586145077945187</v>
      </c>
      <c r="GM119" s="23">
        <f>EXP(-LN(2)/25)*GM118+(1-EXP(-LN(2)/25))/(LN(2)/25)*Calculateur!GH119*Calculateur!GJ119*VLOOKUP('Données projet'!$B$17,Paramètres!$A$1:$I$89,3,0)*0.475*44/12</f>
        <v>0.89832877521871779</v>
      </c>
      <c r="GN119" s="23">
        <f>EXP(-LN(2)/2)*GN118+(1-EXP(-LN(2)/2))/(LN(2)/2)*GH119*GK119*VLOOKUP('Données projet'!$B$17,Paramètres!$A$1:$I$89,3,0)*0.475*44/12</f>
        <v>3.3246893700752591E-13</v>
      </c>
      <c r="GO119" s="23">
        <f t="shared" si="81"/>
        <v>3.3569432830135693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4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282.32567999999952</v>
      </c>
      <c r="P120" s="14">
        <f t="shared" si="87"/>
        <v>67.458255064229917</v>
      </c>
      <c r="Q120" s="22">
        <f t="shared" si="107"/>
        <v>609.20702023686624</v>
      </c>
      <c r="R120" s="60">
        <f t="shared" si="55"/>
        <v>890.71011541797589</v>
      </c>
      <c r="S120" s="60">
        <f ca="1">AVERAGE(OFFSET($R$3,0,0,'Données projet'!$E$9+1,1))-AVERAGE(OFFSET($H$3,0,0,'Données projet'!$E$9+1,1))</f>
        <v>496.33873798282525</v>
      </c>
      <c r="T120" s="60">
        <f t="shared" si="88"/>
        <v>280.25465074992246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3.4106051316484809E-13</v>
      </c>
      <c r="AJ120" s="14">
        <f>AI120*VLOOKUP('Données projet'!$B$10,Paramètres!$A$1:$I$89,3,0)*VLOOKUP('Données projet'!$B$10,Paramètres!$A$1:$I$89,5,0)</f>
        <v>1.5961632016114892E-13</v>
      </c>
      <c r="AK120" s="14">
        <f t="shared" si="89"/>
        <v>2.2708641912150958E-12</v>
      </c>
      <c r="AL120" s="22">
        <f t="shared" si="58"/>
        <v>4.2330868906469593E-12</v>
      </c>
      <c r="AM120" s="60">
        <f t="shared" si="59"/>
        <v>281.50309518111385</v>
      </c>
      <c r="AN120" s="60">
        <f ca="1">AVERAGE(OFFSET($AM$3,0,0,'Données projet'!$E$10+1,1))-AVERAGE(OFFSET($H$3,0,0,'Données projet'!$E$10+1,1))</f>
        <v>277.7918215389401</v>
      </c>
      <c r="AO120" s="60">
        <f t="shared" si="90"/>
        <v>164.65640238394164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2.8205128205128234</v>
      </c>
      <c r="BD120" s="13">
        <f>IF('Données projet'!$A$88&gt;35,BD119+BC120-BL119,IF(A120&lt;'Données projet'!$A$88,$BA$205^A120,IF(A120='Données projet'!$A$88,'Données projet'!$B$88,BD119+BC120-BL119)))</f>
        <v>232.56410256410234</v>
      </c>
      <c r="BE120" s="14">
        <f>BD120*VLOOKUP('Données projet'!$B$11,Paramètres!$A$1:$I$89,3,0)*VLOOKUP('Données projet'!$B$11,Paramètres!$A$1:$I$89,5,0)</f>
        <v>221.30799999999982</v>
      </c>
      <c r="BF120" s="14">
        <f t="shared" si="91"/>
        <v>54.399074904329915</v>
      </c>
      <c r="BG120" s="22">
        <f t="shared" si="61"/>
        <v>480.18982212504085</v>
      </c>
      <c r="BH120" s="60">
        <f t="shared" si="62"/>
        <v>761.69291730615055</v>
      </c>
      <c r="BI120" s="60">
        <f ca="1">AVERAGE(OFFSET($BH$3,0,0,'Données projet'!$E$11+1,1))-AVERAGE(OFFSET($H$3,0,0,'Données projet'!$E$11+1,1))</f>
        <v>366.21371543563254</v>
      </c>
      <c r="BJ120" s="60">
        <f t="shared" si="92"/>
        <v>237.43356317334084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2.8846153846153868</v>
      </c>
      <c r="BY120" s="13">
        <f>IF('Données projet'!$A$114&gt;35,BY119+BX120-CG119,IF(A120&lt;'Données projet'!$A$114,$BV$205^A120,IF(A120='Données projet'!$A$114,'Données projet'!$B$114,BY119+BX120-CG119)))</f>
        <v>322.11538461538407</v>
      </c>
      <c r="BZ120" s="14">
        <f>BY120*VLOOKUP('Données projet'!$B$12,Paramètres!$A$1:$I$89,3,0)*VLOOKUP('Données projet'!$B$12,Paramètres!$A$1:$I$89,5,0)</f>
        <v>336.67499999999944</v>
      </c>
      <c r="CA120" s="14">
        <f t="shared" si="93"/>
        <v>78.8125879449194</v>
      </c>
      <c r="CB120" s="22">
        <f t="shared" si="64"/>
        <v>723.64088233740028</v>
      </c>
      <c r="CC120" s="60">
        <f t="shared" si="65"/>
        <v>1005.1439775185099</v>
      </c>
      <c r="CD120" s="60">
        <f ca="1">AVERAGE(OFFSET($CC$3,0,0,'Données projet'!$E$12+1,1))-AVERAGE(OFFSET($H$3,0,0,'Données projet'!$E$12+1,1))</f>
        <v>530.79860063513229</v>
      </c>
      <c r="CE120" s="60">
        <f t="shared" si="94"/>
        <v>302.50876440460434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264.11111999999957</v>
      </c>
      <c r="CV120" s="14">
        <f t="shared" si="95"/>
        <v>63.597900866870546</v>
      </c>
      <c r="CW120" s="22">
        <f t="shared" si="67"/>
        <v>570.75987800979885</v>
      </c>
      <c r="CX120" s="60">
        <f t="shared" si="68"/>
        <v>852.2629731909085</v>
      </c>
      <c r="CY120" s="60">
        <f ca="1">AVERAGE(OFFSET($CX$3,0,0,'Données projet'!$E$13+1,1))-AVERAGE(OFFSET($H$3,0,0,'Données projet'!$E$13+1,1))</f>
        <v>469.67944008675863</v>
      </c>
      <c r="CZ120" s="60">
        <f t="shared" si="96"/>
        <v>266.11908070867173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3.7</v>
      </c>
      <c r="DO120" s="13">
        <f>IF('Données projet'!$A$166&gt;35,DO119+DN120-DW119,IF(A120&lt;'Données projet'!$A$166,$DL$205^A120,IF(A120='Données projet'!$A$166,'Données projet'!$B$166,DO119+DN120-DW119)))</f>
        <v>291.89999999999952</v>
      </c>
      <c r="DP120" s="18">
        <f>DO120*VLOOKUP('Données projet'!$B$14,Paramètres!$A$1:$I$89,3,0)*VLOOKUP('Données projet'!$B$14,Paramètres!$A$1:$I$89,5,0)</f>
        <v>314.2011599999995</v>
      </c>
      <c r="DQ120" s="14">
        <f t="shared" si="97"/>
        <v>74.145511044675771</v>
      </c>
      <c r="DR120" s="22">
        <f t="shared" si="70"/>
        <v>676.37045206947607</v>
      </c>
      <c r="DS120" s="60">
        <f t="shared" si="71"/>
        <v>957.87354725058572</v>
      </c>
      <c r="DT120" s="60">
        <f ca="1">AVERAGE(OFFSET($DS$3,0,0,'Données projet'!$E$14+1,1))-AVERAGE(OFFSET($H$3,0,0,'Données projet'!$E$14+1,1))</f>
        <v>542.90832990875208</v>
      </c>
      <c r="DU120" s="60">
        <f t="shared" si="98"/>
        <v>304.94365539329362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5.6843418860808015E-14</v>
      </c>
      <c r="EK120" s="18">
        <f>EJ120*VLOOKUP('Données projet'!$B$15,Paramètres!$A$1:$I$89,3,0)*VLOOKUP('Données projet'!$B$15,Paramètres!$A$1:$I$89,5,0)</f>
        <v>4.5224624045658861E-14</v>
      </c>
      <c r="EL120" s="14">
        <f t="shared" si="99"/>
        <v>7.4514601661523691E-13</v>
      </c>
      <c r="EM120" s="22">
        <f t="shared" si="73"/>
        <v>1.3765621991510601E-12</v>
      </c>
      <c r="EN120" s="60">
        <f t="shared" si="74"/>
        <v>281.50309518111101</v>
      </c>
      <c r="EO120" s="60">
        <f ca="1">AVERAGE(OFFSET($EN$3,0,0,'Données projet'!$E$15+1,1))-AVERAGE(OFFSET($H$3,0,0,'Données projet'!$E$15+1,1))</f>
        <v>273.72403794510291</v>
      </c>
      <c r="EP120" s="60">
        <f t="shared" si="100"/>
        <v>292.00185554564109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5.6843418860808015E-14</v>
      </c>
      <c r="FF120" s="18">
        <f>FE120*VLOOKUP('Données projet'!$B$16,Paramètres!$A$1:$I$89,3,0)*VLOOKUP('Données projet'!$B$16,Paramètres!$A$1:$I$89,5,0)</f>
        <v>4.4337866711430253E-14</v>
      </c>
      <c r="FG120" s="14">
        <f t="shared" si="101"/>
        <v>7.3222115536967035E-13</v>
      </c>
      <c r="FH120" s="22">
        <f t="shared" si="76"/>
        <v>1.3525069634579169E-12</v>
      </c>
      <c r="FI120" s="60">
        <f t="shared" si="77"/>
        <v>281.50309518111101</v>
      </c>
      <c r="FJ120" s="60">
        <f ca="1">AVERAGE(OFFSET($FI$3,0,0,'Données projet'!$E$16+1,1))-AVERAGE(OFFSET($H$3,0,0,'Données projet'!$E$16+1,1))</f>
        <v>309.21625451786218</v>
      </c>
      <c r="FK120" s="60">
        <f t="shared" si="102"/>
        <v>302.59481222418219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>
        <f>FZ120*VLOOKUP('Données projet'!$B$17,Paramètres!$A$1:$I$89,3,0)*VLOOKUP('Données projet'!$B$17,Paramètres!$A$1:$I$89,5,0)</f>
        <v>0</v>
      </c>
      <c r="GB120" s="14" t="e">
        <f t="shared" si="103"/>
        <v>#NUM!</v>
      </c>
      <c r="GC120" s="22" t="e">
        <f t="shared" si="79"/>
        <v>#NUM!</v>
      </c>
      <c r="GD120" s="60" t="e">
        <f t="shared" si="80"/>
        <v>#NUM!</v>
      </c>
      <c r="GE120" s="60">
        <f ca="1">AVERAGE(OFFSET($GD$3,0,0,'Données projet'!$E$17+1,1))-AVERAGE(OFFSET($H$3,0,0,'Données projet'!$E$17+1,1))</f>
        <v>216.36762889365235</v>
      </c>
      <c r="GF120" s="60">
        <f t="shared" si="104"/>
        <v>333.29599352215496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2.4104025769034441</v>
      </c>
      <c r="GM120" s="23">
        <f>EXP(-LN(2)/25)*GM119+(1-EXP(-LN(2)/25))/(LN(2)/25)*Calculateur!GH120*Calculateur!GJ120*VLOOKUP('Données projet'!$B$17,Paramètres!$A$1:$I$89,3,0)*0.475*44/12</f>
        <v>0.87376392761930477</v>
      </c>
      <c r="GN120" s="23">
        <f>EXP(-LN(2)/2)*GN119+(1-EXP(-LN(2)/2))/(LN(2)/2)*GH120*GK120*VLOOKUP('Données projet'!$B$17,Paramètres!$A$1:$I$89,3,0)*0.475*44/12</f>
        <v>2.3509103989190468E-13</v>
      </c>
      <c r="GO120" s="23">
        <f t="shared" si="81"/>
        <v>3.2841665045229838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4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285.90431999999953</v>
      </c>
      <c r="P121" s="14">
        <f t="shared" si="87"/>
        <v>68.213241999614453</v>
      </c>
      <c r="Q121" s="22">
        <f t="shared" si="107"/>
        <v>616.75475381599438</v>
      </c>
      <c r="R121" s="60">
        <f t="shared" si="55"/>
        <v>898.46307718059484</v>
      </c>
      <c r="S121" s="60">
        <f ca="1">AVERAGE(OFFSET($R$3,0,0,'Données projet'!$E$9+1,1))-AVERAGE(OFFSET($H$3,0,0,'Données projet'!$E$9+1,1))</f>
        <v>496.33873798282525</v>
      </c>
      <c r="T121" s="60">
        <f t="shared" si="88"/>
        <v>280.25465074992246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3.4106051316484809E-13</v>
      </c>
      <c r="AJ121" s="14">
        <f>AI121*VLOOKUP('Données projet'!$B$10,Paramètres!$A$1:$I$89,3,0)*VLOOKUP('Données projet'!$B$10,Paramètres!$A$1:$I$89,5,0)</f>
        <v>1.5961632016114892E-13</v>
      </c>
      <c r="AK121" s="14">
        <f t="shared" si="89"/>
        <v>2.2708641912150958E-12</v>
      </c>
      <c r="AL121" s="22">
        <f t="shared" si="58"/>
        <v>4.2330868906469593E-12</v>
      </c>
      <c r="AM121" s="60">
        <f t="shared" si="59"/>
        <v>281.70832336460461</v>
      </c>
      <c r="AN121" s="60">
        <f ca="1">AVERAGE(OFFSET($AM$3,0,0,'Données projet'!$E$10+1,1))-AVERAGE(OFFSET($H$3,0,0,'Données projet'!$E$10+1,1))</f>
        <v>277.7918215389401</v>
      </c>
      <c r="AO121" s="60">
        <f t="shared" si="90"/>
        <v>164.65640238394164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2.8205128205128234</v>
      </c>
      <c r="BD121" s="13">
        <f>IF('Données projet'!$A$88&gt;35,BD120+BC121-BL120,IF(A121&lt;'Données projet'!$A$88,$BA$205^A121,IF(A121='Données projet'!$A$88,'Données projet'!$B$88,BD120+BC121-BL120)))</f>
        <v>235.38461538461516</v>
      </c>
      <c r="BE121" s="14">
        <f>BD121*VLOOKUP('Données projet'!$B$11,Paramètres!$A$1:$I$89,3,0)*VLOOKUP('Données projet'!$B$11,Paramètres!$A$1:$I$89,5,0)</f>
        <v>223.99199999999976</v>
      </c>
      <c r="BF121" s="14">
        <f t="shared" si="91"/>
        <v>54.981617039218946</v>
      </c>
      <c r="BG121" s="22">
        <f t="shared" si="61"/>
        <v>485.87904967663923</v>
      </c>
      <c r="BH121" s="60">
        <f t="shared" si="62"/>
        <v>767.58737304123963</v>
      </c>
      <c r="BI121" s="60">
        <f ca="1">AVERAGE(OFFSET($BH$3,0,0,'Données projet'!$E$11+1,1))-AVERAGE(OFFSET($H$3,0,0,'Données projet'!$E$11+1,1))</f>
        <v>366.21371543563254</v>
      </c>
      <c r="BJ121" s="60">
        <f t="shared" si="92"/>
        <v>237.43356317334084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2.8846153846153868</v>
      </c>
      <c r="BY121" s="13">
        <f>IF('Données projet'!$A$114&gt;35,BY120+BX121-CG120,IF(A121&lt;'Données projet'!$A$114,$BV$205^A121,IF(A121='Données projet'!$A$114,'Données projet'!$B$114,BY120+BX121-CG120)))</f>
        <v>324.99999999999943</v>
      </c>
      <c r="BZ121" s="14">
        <f>BY121*VLOOKUP('Données projet'!$B$12,Paramètres!$A$1:$I$89,3,0)*VLOOKUP('Données projet'!$B$12,Paramètres!$A$1:$I$89,5,0)</f>
        <v>339.68999999999943</v>
      </c>
      <c r="CA121" s="14">
        <f t="shared" si="93"/>
        <v>79.435895059237467</v>
      </c>
      <c r="CB121" s="22">
        <f t="shared" si="64"/>
        <v>729.97760056150412</v>
      </c>
      <c r="CC121" s="60">
        <f t="shared" si="65"/>
        <v>1011.6859239261046</v>
      </c>
      <c r="CD121" s="60">
        <f ca="1">AVERAGE(OFFSET($CC$3,0,0,'Données projet'!$E$12+1,1))-AVERAGE(OFFSET($H$3,0,0,'Données projet'!$E$12+1,1))</f>
        <v>530.79860063513229</v>
      </c>
      <c r="CE121" s="60">
        <f t="shared" si="94"/>
        <v>302.50876440460434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267.45887999999951</v>
      </c>
      <c r="CV121" s="14">
        <f t="shared" si="95"/>
        <v>64.309683053152327</v>
      </c>
      <c r="CW121" s="22">
        <f t="shared" si="67"/>
        <v>577.8302473175728</v>
      </c>
      <c r="CX121" s="60">
        <f t="shared" si="68"/>
        <v>859.53857068217326</v>
      </c>
      <c r="CY121" s="60">
        <f ca="1">AVERAGE(OFFSET($CX$3,0,0,'Données projet'!$E$13+1,1))-AVERAGE(OFFSET($H$3,0,0,'Données projet'!$E$13+1,1))</f>
        <v>469.67944008675863</v>
      </c>
      <c r="CZ121" s="60">
        <f t="shared" si="96"/>
        <v>266.11908070867173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3.7</v>
      </c>
      <c r="DO121" s="13">
        <f>IF('Données projet'!$A$166&gt;35,DO120+DN121-DW120,IF(A121&lt;'Données projet'!$A$166,$DL$205^A121,IF(A121='Données projet'!$A$166,'Données projet'!$B$166,DO120+DN121-DW120)))</f>
        <v>295.59999999999951</v>
      </c>
      <c r="DP121" s="18">
        <f>DO121*VLOOKUP('Données projet'!$B$14,Paramètres!$A$1:$I$89,3,0)*VLOOKUP('Données projet'!$B$14,Paramètres!$A$1:$I$89,5,0)</f>
        <v>318.18383999999946</v>
      </c>
      <c r="DQ121" s="14">
        <f t="shared" si="97"/>
        <v>74.975341168547786</v>
      </c>
      <c r="DR121" s="22">
        <f t="shared" si="70"/>
        <v>684.75224053521981</v>
      </c>
      <c r="DS121" s="60">
        <f t="shared" si="71"/>
        <v>966.46056389982027</v>
      </c>
      <c r="DT121" s="60">
        <f ca="1">AVERAGE(OFFSET($DS$3,0,0,'Données projet'!$E$14+1,1))-AVERAGE(OFFSET($H$3,0,0,'Données projet'!$E$14+1,1))</f>
        <v>542.90832990875208</v>
      </c>
      <c r="DU121" s="60">
        <f t="shared" si="98"/>
        <v>304.94365539329362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5.6843418860808015E-14</v>
      </c>
      <c r="EK121" s="18">
        <f>EJ121*VLOOKUP('Données projet'!$B$15,Paramètres!$A$1:$I$89,3,0)*VLOOKUP('Données projet'!$B$15,Paramètres!$A$1:$I$89,5,0)</f>
        <v>4.5224624045658861E-14</v>
      </c>
      <c r="EL121" s="14">
        <f t="shared" si="99"/>
        <v>7.4514601661523691E-13</v>
      </c>
      <c r="EM121" s="22">
        <f t="shared" si="73"/>
        <v>1.3765621991510601E-12</v>
      </c>
      <c r="EN121" s="60">
        <f t="shared" si="74"/>
        <v>281.70832336460177</v>
      </c>
      <c r="EO121" s="60">
        <f ca="1">AVERAGE(OFFSET($EN$3,0,0,'Données projet'!$E$15+1,1))-AVERAGE(OFFSET($H$3,0,0,'Données projet'!$E$15+1,1))</f>
        <v>273.72403794510291</v>
      </c>
      <c r="EP121" s="60">
        <f t="shared" si="100"/>
        <v>292.00185554564109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5.6843418860808015E-14</v>
      </c>
      <c r="FF121" s="18">
        <f>FE121*VLOOKUP('Données projet'!$B$16,Paramètres!$A$1:$I$89,3,0)*VLOOKUP('Données projet'!$B$16,Paramètres!$A$1:$I$89,5,0)</f>
        <v>4.4337866711430253E-14</v>
      </c>
      <c r="FG121" s="14">
        <f t="shared" si="101"/>
        <v>7.3222115536967035E-13</v>
      </c>
      <c r="FH121" s="22">
        <f t="shared" si="76"/>
        <v>1.3525069634579169E-12</v>
      </c>
      <c r="FI121" s="60">
        <f t="shared" si="77"/>
        <v>281.70832336460177</v>
      </c>
      <c r="FJ121" s="60">
        <f ca="1">AVERAGE(OFFSET($FI$3,0,0,'Données projet'!$E$16+1,1))-AVERAGE(OFFSET($H$3,0,0,'Données projet'!$E$16+1,1))</f>
        <v>309.21625451786218</v>
      </c>
      <c r="FK121" s="60">
        <f t="shared" si="102"/>
        <v>302.59481222418219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>
        <f>FZ121*VLOOKUP('Données projet'!$B$17,Paramètres!$A$1:$I$89,3,0)*VLOOKUP('Données projet'!$B$17,Paramètres!$A$1:$I$89,5,0)</f>
        <v>0</v>
      </c>
      <c r="GB121" s="14" t="e">
        <f t="shared" si="103"/>
        <v>#NUM!</v>
      </c>
      <c r="GC121" s="22" t="e">
        <f t="shared" si="79"/>
        <v>#NUM!</v>
      </c>
      <c r="GD121" s="60" t="e">
        <f t="shared" si="80"/>
        <v>#NUM!</v>
      </c>
      <c r="GE121" s="60">
        <f ca="1">AVERAGE(OFFSET($GD$3,0,0,'Données projet'!$E$17+1,1))-AVERAGE(OFFSET($H$3,0,0,'Données projet'!$E$17+1,1))</f>
        <v>216.36762889365235</v>
      </c>
      <c r="GF121" s="60">
        <f t="shared" si="104"/>
        <v>333.29599352215496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2.3631360525707694</v>
      </c>
      <c r="GM121" s="23">
        <f>EXP(-LN(2)/25)*GM120+(1-EXP(-LN(2)/25))/(LN(2)/25)*Calculateur!GH121*Calculateur!GJ121*VLOOKUP('Données projet'!$B$17,Paramètres!$A$1:$I$89,3,0)*0.475*44/12</f>
        <v>0.84987080706930695</v>
      </c>
      <c r="GN121" s="23">
        <f>EXP(-LN(2)/2)*GN120+(1-EXP(-LN(2)/2))/(LN(2)/2)*GH121*GK121*VLOOKUP('Données projet'!$B$17,Paramètres!$A$1:$I$89,3,0)*0.475*44/12</f>
        <v>1.6623446850376296E-13</v>
      </c>
      <c r="GO121" s="23">
        <f t="shared" si="81"/>
        <v>3.2130068596402426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4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289.48295999999954</v>
      </c>
      <c r="P122" s="14">
        <f t="shared" si="87"/>
        <v>68.967129713117401</v>
      </c>
      <c r="Q122" s="22">
        <f t="shared" si="107"/>
        <v>624.300572917012</v>
      </c>
      <c r="R122" s="60">
        <f t="shared" si="55"/>
        <v>906.21056421494109</v>
      </c>
      <c r="S122" s="60">
        <f ca="1">AVERAGE(OFFSET($R$3,0,0,'Données projet'!$E$9+1,1))-AVERAGE(OFFSET($H$3,0,0,'Données projet'!$E$9+1,1))</f>
        <v>496.33873798282525</v>
      </c>
      <c r="T122" s="60">
        <f t="shared" si="88"/>
        <v>280.25465074992246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3.4106051316484809E-13</v>
      </c>
      <c r="AJ122" s="14">
        <f>AI122*VLOOKUP('Données projet'!$B$10,Paramètres!$A$1:$I$89,3,0)*VLOOKUP('Données projet'!$B$10,Paramètres!$A$1:$I$89,5,0)</f>
        <v>1.5961632016114892E-13</v>
      </c>
      <c r="AK122" s="14">
        <f t="shared" si="89"/>
        <v>2.2708641912150958E-12</v>
      </c>
      <c r="AL122" s="22">
        <f t="shared" si="58"/>
        <v>4.2330868906469593E-12</v>
      </c>
      <c r="AM122" s="60">
        <f t="shared" si="59"/>
        <v>281.90999129793335</v>
      </c>
      <c r="AN122" s="60">
        <f ca="1">AVERAGE(OFFSET($AM$3,0,0,'Données projet'!$E$10+1,1))-AVERAGE(OFFSET($H$3,0,0,'Données projet'!$E$10+1,1))</f>
        <v>277.7918215389401</v>
      </c>
      <c r="AO122" s="60">
        <f t="shared" si="90"/>
        <v>164.65640238394164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2.8205128205128234</v>
      </c>
      <c r="BD122" s="13">
        <f>IF('Données projet'!$A$88&gt;35,BD121+BC122-BL121,IF(A122&lt;'Données projet'!$A$88,$BA$205^A122,IF(A122='Données projet'!$A$88,'Données projet'!$B$88,BD121+BC122-BL121)))</f>
        <v>238.20512820512798</v>
      </c>
      <c r="BE122" s="14">
        <f>BD122*VLOOKUP('Données projet'!$B$11,Paramètres!$A$1:$I$89,3,0)*VLOOKUP('Données projet'!$B$11,Paramètres!$A$1:$I$89,5,0)</f>
        <v>226.67599999999979</v>
      </c>
      <c r="BF122" s="14">
        <f t="shared" si="91"/>
        <v>55.563347206914727</v>
      </c>
      <c r="BG122" s="22">
        <f t="shared" si="61"/>
        <v>491.56686305204283</v>
      </c>
      <c r="BH122" s="60">
        <f t="shared" si="62"/>
        <v>773.47685434997197</v>
      </c>
      <c r="BI122" s="60">
        <f ca="1">AVERAGE(OFFSET($BH$3,0,0,'Données projet'!$E$11+1,1))-AVERAGE(OFFSET($H$3,0,0,'Données projet'!$E$11+1,1))</f>
        <v>366.21371543563254</v>
      </c>
      <c r="BJ122" s="60">
        <f t="shared" si="92"/>
        <v>237.43356317334084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2.8846153846153868</v>
      </c>
      <c r="BY122" s="13">
        <f>IF('Données projet'!$A$114&gt;35,BY121+BX122-CG121,IF(A122&lt;'Données projet'!$A$114,$BV$205^A122,IF(A122='Données projet'!$A$114,'Données projet'!$B$114,BY121+BX122-CG121)))</f>
        <v>327.88461538461479</v>
      </c>
      <c r="BZ122" s="14">
        <f>BY122*VLOOKUP('Données projet'!$B$12,Paramètres!$A$1:$I$89,3,0)*VLOOKUP('Données projet'!$B$12,Paramètres!$A$1:$I$89,5,0)</f>
        <v>342.70499999999942</v>
      </c>
      <c r="CA122" s="14">
        <f t="shared" si="93"/>
        <v>80.058558536074614</v>
      </c>
      <c r="CB122" s="22">
        <f t="shared" si="64"/>
        <v>736.31319778366208</v>
      </c>
      <c r="CC122" s="60">
        <f t="shared" si="65"/>
        <v>1018.2231890815913</v>
      </c>
      <c r="CD122" s="60">
        <f ca="1">AVERAGE(OFFSET($CC$3,0,0,'Données projet'!$E$12+1,1))-AVERAGE(OFFSET($H$3,0,0,'Données projet'!$E$12+1,1))</f>
        <v>530.79860063513229</v>
      </c>
      <c r="CE122" s="60">
        <f t="shared" si="94"/>
        <v>302.50876440460434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270.80663999999956</v>
      </c>
      <c r="CV122" s="14">
        <f t="shared" si="95"/>
        <v>65.020428921429911</v>
      </c>
      <c r="CW122" s="22">
        <f t="shared" si="67"/>
        <v>584.89881170482306</v>
      </c>
      <c r="CX122" s="60">
        <f t="shared" si="68"/>
        <v>866.80880300275226</v>
      </c>
      <c r="CY122" s="60">
        <f ca="1">AVERAGE(OFFSET($CX$3,0,0,'Données projet'!$E$13+1,1))-AVERAGE(OFFSET($H$3,0,0,'Données projet'!$E$13+1,1))</f>
        <v>469.67944008675863</v>
      </c>
      <c r="CZ122" s="60">
        <f t="shared" si="96"/>
        <v>266.11908070867173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3.7</v>
      </c>
      <c r="DO122" s="13">
        <f>IF('Données projet'!$A$166&gt;35,DO121+DN122-DW121,IF(A122&lt;'Données projet'!$A$166,$DL$205^A122,IF(A122='Données projet'!$A$166,'Données projet'!$B$166,DO121+DN122-DW121)))</f>
        <v>299.2999999999995</v>
      </c>
      <c r="DP122" s="18">
        <f>DO122*VLOOKUP('Données projet'!$B$14,Paramètres!$A$1:$I$89,3,0)*VLOOKUP('Données projet'!$B$14,Paramètres!$A$1:$I$89,5,0)</f>
        <v>322.16651999999942</v>
      </c>
      <c r="DQ122" s="14">
        <f t="shared" si="97"/>
        <v>75.803963102731529</v>
      </c>
      <c r="DR122" s="22">
        <f t="shared" si="70"/>
        <v>693.13192473725633</v>
      </c>
      <c r="DS122" s="60">
        <f t="shared" si="71"/>
        <v>975.04191603518552</v>
      </c>
      <c r="DT122" s="60">
        <f ca="1">AVERAGE(OFFSET($DS$3,0,0,'Données projet'!$E$14+1,1))-AVERAGE(OFFSET($H$3,0,0,'Données projet'!$E$14+1,1))</f>
        <v>542.90832990875208</v>
      </c>
      <c r="DU122" s="60">
        <f t="shared" si="98"/>
        <v>304.94365539329362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5.6843418860808015E-14</v>
      </c>
      <c r="EK122" s="18">
        <f>EJ122*VLOOKUP('Données projet'!$B$15,Paramètres!$A$1:$I$89,3,0)*VLOOKUP('Données projet'!$B$15,Paramètres!$A$1:$I$89,5,0)</f>
        <v>4.5224624045658861E-14</v>
      </c>
      <c r="EL122" s="14">
        <f t="shared" si="99"/>
        <v>7.4514601661523691E-13</v>
      </c>
      <c r="EM122" s="22">
        <f t="shared" si="73"/>
        <v>1.3765621991510601E-12</v>
      </c>
      <c r="EN122" s="60">
        <f t="shared" si="74"/>
        <v>281.9099912979305</v>
      </c>
      <c r="EO122" s="60">
        <f ca="1">AVERAGE(OFFSET($EN$3,0,0,'Données projet'!$E$15+1,1))-AVERAGE(OFFSET($H$3,0,0,'Données projet'!$E$15+1,1))</f>
        <v>273.72403794510291</v>
      </c>
      <c r="EP122" s="60">
        <f t="shared" si="100"/>
        <v>292.00185554564109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5.6843418860808015E-14</v>
      </c>
      <c r="FF122" s="18">
        <f>FE122*VLOOKUP('Données projet'!$B$16,Paramètres!$A$1:$I$89,3,0)*VLOOKUP('Données projet'!$B$16,Paramètres!$A$1:$I$89,5,0)</f>
        <v>4.4337866711430253E-14</v>
      </c>
      <c r="FG122" s="14">
        <f t="shared" si="101"/>
        <v>7.3222115536967035E-13</v>
      </c>
      <c r="FH122" s="22">
        <f t="shared" si="76"/>
        <v>1.3525069634579169E-12</v>
      </c>
      <c r="FI122" s="60">
        <f t="shared" si="77"/>
        <v>281.9099912979305</v>
      </c>
      <c r="FJ122" s="60">
        <f ca="1">AVERAGE(OFFSET($FI$3,0,0,'Données projet'!$E$16+1,1))-AVERAGE(OFFSET($H$3,0,0,'Données projet'!$E$16+1,1))</f>
        <v>309.21625451786218</v>
      </c>
      <c r="FK122" s="60">
        <f t="shared" si="102"/>
        <v>302.59481222418219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>
        <f>FZ122*VLOOKUP('Données projet'!$B$17,Paramètres!$A$1:$I$89,3,0)*VLOOKUP('Données projet'!$B$17,Paramètres!$A$1:$I$89,5,0)</f>
        <v>0</v>
      </c>
      <c r="GB122" s="14" t="e">
        <f t="shared" si="103"/>
        <v>#NUM!</v>
      </c>
      <c r="GC122" s="22" t="e">
        <f t="shared" si="79"/>
        <v>#NUM!</v>
      </c>
      <c r="GD122" s="60" t="e">
        <f t="shared" si="80"/>
        <v>#NUM!</v>
      </c>
      <c r="GE122" s="60">
        <f ca="1">AVERAGE(OFFSET($GD$3,0,0,'Données projet'!$E$17+1,1))-AVERAGE(OFFSET($H$3,0,0,'Données projet'!$E$17+1,1))</f>
        <v>216.36762889365235</v>
      </c>
      <c r="GF122" s="60">
        <f t="shared" si="104"/>
        <v>333.29599352215496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2.3167963959505253</v>
      </c>
      <c r="GM122" s="23">
        <f>EXP(-LN(2)/25)*GM121+(1-EXP(-LN(2)/25))/(LN(2)/25)*Calculateur!GH122*Calculateur!GJ122*VLOOKUP('Données projet'!$B$17,Paramètres!$A$1:$I$89,3,0)*0.475*44/12</f>
        <v>0.8266310451572334</v>
      </c>
      <c r="GN122" s="23">
        <f>EXP(-LN(2)/2)*GN121+(1-EXP(-LN(2)/2))/(LN(2)/2)*GH122*GK122*VLOOKUP('Données projet'!$B$17,Paramètres!$A$1:$I$89,3,0)*0.475*44/12</f>
        <v>1.1754551994595234E-13</v>
      </c>
      <c r="GO122" s="23">
        <f t="shared" si="81"/>
        <v>3.1434274411078764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4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293.06159999999949</v>
      </c>
      <c r="P123" s="14">
        <f t="shared" si="87"/>
        <v>69.719933365116432</v>
      </c>
      <c r="Q123" s="22">
        <f t="shared" si="107"/>
        <v>631.84450394424357</v>
      </c>
      <c r="R123" s="60">
        <f t="shared" si="55"/>
        <v>913.95266468772024</v>
      </c>
      <c r="S123" s="60">
        <f ca="1">AVERAGE(OFFSET($R$3,0,0,'Données projet'!$E$9+1,1))-AVERAGE(OFFSET($H$3,0,0,'Données projet'!$E$9+1,1))</f>
        <v>496.33873798282525</v>
      </c>
      <c r="T123" s="60">
        <f t="shared" si="88"/>
        <v>280.25465074992246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3.4106051316484809E-13</v>
      </c>
      <c r="AJ123" s="14">
        <f>AI123*VLOOKUP('Données projet'!$B$10,Paramètres!$A$1:$I$89,3,0)*VLOOKUP('Données projet'!$B$10,Paramètres!$A$1:$I$89,5,0)</f>
        <v>1.5961632016114892E-13</v>
      </c>
      <c r="AK123" s="14">
        <f t="shared" si="89"/>
        <v>2.2708641912150958E-12</v>
      </c>
      <c r="AL123" s="22">
        <f t="shared" si="58"/>
        <v>4.2330868906469593E-12</v>
      </c>
      <c r="AM123" s="60">
        <f t="shared" si="59"/>
        <v>282.10816074348082</v>
      </c>
      <c r="AN123" s="60">
        <f ca="1">AVERAGE(OFFSET($AM$3,0,0,'Données projet'!$E$10+1,1))-AVERAGE(OFFSET($H$3,0,0,'Données projet'!$E$10+1,1))</f>
        <v>277.7918215389401</v>
      </c>
      <c r="AO123" s="60">
        <f t="shared" si="90"/>
        <v>164.65640238394164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241.02564102564102</v>
      </c>
      <c r="BB123" s="13">
        <f>VLOOKUP(A123,'Données projet'!$A$87:$I$107,9,0)</f>
        <v>2.8205128205128234</v>
      </c>
      <c r="BC123" s="13">
        <f t="array" ref="BC123">INDEX(BB:BB,MIN(IF(ISNUMBER(BB123:BB319),ROW(BB123:BB319),"")))</f>
        <v>2.8205128205128234</v>
      </c>
      <c r="BD123" s="13">
        <f>IF('Données projet'!$A$88&gt;35,BD122+BC123-BL122,IF(A123&lt;'Données projet'!$A$88,$BA$205^A123,IF(A123='Données projet'!$A$88,'Données projet'!$B$88,BD122+BC123-BL122)))</f>
        <v>241.02564102564079</v>
      </c>
      <c r="BE123" s="14">
        <f>BD123*VLOOKUP('Données projet'!$B$11,Paramètres!$A$1:$I$89,3,0)*VLOOKUP('Données projet'!$B$11,Paramètres!$A$1:$I$89,5,0)</f>
        <v>229.35999999999979</v>
      </c>
      <c r="BF123" s="14">
        <f t="shared" si="91"/>
        <v>56.144276133877703</v>
      </c>
      <c r="BG123" s="22">
        <f t="shared" si="61"/>
        <v>497.25328093316995</v>
      </c>
      <c r="BH123" s="60">
        <f t="shared" si="62"/>
        <v>779.36144167664656</v>
      </c>
      <c r="BI123" s="60">
        <f ca="1">AVERAGE(OFFSET($BH$3,0,0,'Données projet'!$E$11+1,1))-AVERAGE(OFFSET($H$3,0,0,'Données projet'!$E$11+1,1))</f>
        <v>366.21371543563254</v>
      </c>
      <c r="BJ123" s="60">
        <f t="shared" si="92"/>
        <v>237.43356317334084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241.02564102564102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330.76923076923077</v>
      </c>
      <c r="BW123" s="13">
        <f>VLOOKUP(A123,'Données projet'!$A$113:$I$133,9,0)</f>
        <v>2.8846153846153868</v>
      </c>
      <c r="BX123" s="13">
        <f t="array" ref="BX123">INDEX(BW:BW,MIN(IF(ISNUMBER(BW123:BW319),ROW(BW123:BW319),"")))</f>
        <v>2.8846153846153868</v>
      </c>
      <c r="BY123" s="13">
        <f>IF('Données projet'!$A$114&gt;35,BY122+BX123-CG122,IF(A123&lt;'Données projet'!$A$114,$BV$205^A123,IF(A123='Données projet'!$A$114,'Données projet'!$B$114,BY122+BX123-CG122)))</f>
        <v>330.76923076923015</v>
      </c>
      <c r="BZ123" s="14">
        <f>BY123*VLOOKUP('Données projet'!$B$12,Paramètres!$A$1:$I$89,3,0)*VLOOKUP('Données projet'!$B$12,Paramètres!$A$1:$I$89,5,0)</f>
        <v>345.7199999999994</v>
      </c>
      <c r="CA123" s="14">
        <f t="shared" si="93"/>
        <v>80.6805846939736</v>
      </c>
      <c r="CB123" s="22">
        <f t="shared" si="64"/>
        <v>742.64768500866955</v>
      </c>
      <c r="CC123" s="60">
        <f t="shared" si="65"/>
        <v>1024.7558457521461</v>
      </c>
      <c r="CD123" s="60">
        <f ca="1">AVERAGE(OFFSET($CC$3,0,0,'Données projet'!$E$12+1,1))-AVERAGE(OFFSET($H$3,0,0,'Données projet'!$E$12+1,1))</f>
        <v>530.79860063513229</v>
      </c>
      <c r="CE123" s="60">
        <f t="shared" si="94"/>
        <v>302.50876440460434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17.948717948717949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274.15439999999955</v>
      </c>
      <c r="CV123" s="14">
        <f t="shared" si="95"/>
        <v>65.730152764515779</v>
      </c>
      <c r="CW123" s="22">
        <f t="shared" si="67"/>
        <v>591.96559606486414</v>
      </c>
      <c r="CX123" s="60">
        <f t="shared" si="68"/>
        <v>874.0737568083407</v>
      </c>
      <c r="CY123" s="60">
        <f ca="1">AVERAGE(OFFSET($CX$3,0,0,'Données projet'!$E$13+1,1))-AVERAGE(OFFSET($H$3,0,0,'Données projet'!$E$13+1,1))</f>
        <v>469.67944008675863</v>
      </c>
      <c r="CZ123" s="60">
        <f t="shared" si="96"/>
        <v>266.11908070867173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303</v>
      </c>
      <c r="DM123" s="13">
        <f>VLOOKUP(A123,'Données projet'!$A$165:$I$185,9,0)</f>
        <v>3.7</v>
      </c>
      <c r="DN123" s="13">
        <f t="array" ref="DN123">INDEX(DM:DM,MIN(IF(ISNUMBER(DM123:DM319),ROW(DM123:DM319),"")))</f>
        <v>3.7</v>
      </c>
      <c r="DO123" s="13">
        <f>IF('Données projet'!$A$166&gt;35,DO122+DN123-DW122,IF(A123&lt;'Données projet'!$A$166,$DL$205^A123,IF(A123='Données projet'!$A$166,'Données projet'!$B$166,DO122+DN123-DW122)))</f>
        <v>302.99999999999949</v>
      </c>
      <c r="DP123" s="18">
        <f>DO123*VLOOKUP('Données projet'!$B$14,Paramètres!$A$1:$I$89,3,0)*VLOOKUP('Données projet'!$B$14,Paramètres!$A$1:$I$89,5,0)</f>
        <v>326.14919999999944</v>
      </c>
      <c r="DQ123" s="14">
        <f t="shared" si="97"/>
        <v>76.631393510479555</v>
      </c>
      <c r="DR123" s="22">
        <f t="shared" si="70"/>
        <v>701.50953369741762</v>
      </c>
      <c r="DS123" s="60">
        <f t="shared" si="71"/>
        <v>983.61769444089418</v>
      </c>
      <c r="DT123" s="60">
        <f ca="1">AVERAGE(OFFSET($DS$3,0,0,'Données projet'!$E$14+1,1))-AVERAGE(OFFSET($H$3,0,0,'Données projet'!$E$14+1,1))</f>
        <v>542.90832990875208</v>
      </c>
      <c r="DU123" s="60">
        <f t="shared" si="98"/>
        <v>304.94365539329362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35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5.6843418860808015E-14</v>
      </c>
      <c r="EK123" s="18">
        <f>EJ123*VLOOKUP('Données projet'!$B$15,Paramètres!$A$1:$I$89,3,0)*VLOOKUP('Données projet'!$B$15,Paramètres!$A$1:$I$89,5,0)</f>
        <v>4.5224624045658861E-14</v>
      </c>
      <c r="EL123" s="14">
        <f t="shared" si="99"/>
        <v>7.4514601661523691E-13</v>
      </c>
      <c r="EM123" s="22">
        <f t="shared" si="73"/>
        <v>1.3765621991510601E-12</v>
      </c>
      <c r="EN123" s="60">
        <f t="shared" si="74"/>
        <v>282.10816074347798</v>
      </c>
      <c r="EO123" s="60">
        <f ca="1">AVERAGE(OFFSET($EN$3,0,0,'Données projet'!$E$15+1,1))-AVERAGE(OFFSET($H$3,0,0,'Données projet'!$E$15+1,1))</f>
        <v>273.72403794510291</v>
      </c>
      <c r="EP123" s="60">
        <f t="shared" si="100"/>
        <v>292.00185554564109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5.6843418860808015E-14</v>
      </c>
      <c r="FF123" s="18">
        <f>FE123*VLOOKUP('Données projet'!$B$16,Paramètres!$A$1:$I$89,3,0)*VLOOKUP('Données projet'!$B$16,Paramètres!$A$1:$I$89,5,0)</f>
        <v>4.4337866711430253E-14</v>
      </c>
      <c r="FG123" s="14">
        <f t="shared" si="101"/>
        <v>7.3222115536967035E-13</v>
      </c>
      <c r="FH123" s="22">
        <f t="shared" si="76"/>
        <v>1.3525069634579169E-12</v>
      </c>
      <c r="FI123" s="60">
        <f t="shared" si="77"/>
        <v>282.10816074347798</v>
      </c>
      <c r="FJ123" s="60">
        <f ca="1">AVERAGE(OFFSET($FI$3,0,0,'Données projet'!$E$16+1,1))-AVERAGE(OFFSET($H$3,0,0,'Données projet'!$E$16+1,1))</f>
        <v>309.21625451786218</v>
      </c>
      <c r="FK123" s="60">
        <f t="shared" si="102"/>
        <v>302.59481222418219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>
        <f>FZ123*VLOOKUP('Données projet'!$B$17,Paramètres!$A$1:$I$89,3,0)*VLOOKUP('Données projet'!$B$17,Paramètres!$A$1:$I$89,5,0)</f>
        <v>0</v>
      </c>
      <c r="GB123" s="14" t="e">
        <f t="shared" si="103"/>
        <v>#NUM!</v>
      </c>
      <c r="GC123" s="22" t="e">
        <f t="shared" si="79"/>
        <v>#NUM!</v>
      </c>
      <c r="GD123" s="60" t="e">
        <f t="shared" si="80"/>
        <v>#NUM!</v>
      </c>
      <c r="GE123" s="60">
        <f ca="1">AVERAGE(OFFSET($GD$3,0,0,'Données projet'!$E$17+1,1))-AVERAGE(OFFSET($H$3,0,0,'Données projet'!$E$17+1,1))</f>
        <v>216.36762889365235</v>
      </c>
      <c r="GF123" s="60">
        <f t="shared" si="104"/>
        <v>333.29599352215496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2.2713654317322045</v>
      </c>
      <c r="GM123" s="23">
        <f>EXP(-LN(2)/25)*GM122+(1-EXP(-LN(2)/25))/(LN(2)/25)*Calculateur!GH123*Calculateur!GJ123*VLOOKUP('Données projet'!$B$17,Paramètres!$A$1:$I$89,3,0)*0.475*44/12</f>
        <v>0.80402677575677151</v>
      </c>
      <c r="GN123" s="23">
        <f>EXP(-LN(2)/2)*GN122+(1-EXP(-LN(2)/2))/(LN(2)/2)*GH123*GK123*VLOOKUP('Données projet'!$B$17,Paramètres!$A$1:$I$89,3,0)*0.475*44/12</f>
        <v>8.3117234251881479E-14</v>
      </c>
      <c r="GO123" s="23">
        <f t="shared" si="81"/>
        <v>3.0753922074890592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4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262.30463999999949</v>
      </c>
      <c r="P124" s="14">
        <f t="shared" si="87"/>
        <v>63.213381472055985</v>
      </c>
      <c r="Q124" s="22">
        <f t="shared" si="107"/>
        <v>566.94388739716328</v>
      </c>
      <c r="R124" s="60">
        <f t="shared" si="55"/>
        <v>849.24677978934767</v>
      </c>
      <c r="S124" s="60">
        <f ca="1">AVERAGE(OFFSET($R$3,0,0,'Données projet'!$E$9+1,1))-AVERAGE(OFFSET($H$3,0,0,'Données projet'!$E$9+1,1))</f>
        <v>496.33873798282525</v>
      </c>
      <c r="T124" s="60">
        <f t="shared" si="88"/>
        <v>280.25465074992246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3.4106051316484809E-13</v>
      </c>
      <c r="AJ124" s="14">
        <f>AI124*VLOOKUP('Données projet'!$B$10,Paramètres!$A$1:$I$89,3,0)*VLOOKUP('Données projet'!$B$10,Paramètres!$A$1:$I$89,5,0)</f>
        <v>1.5961632016114892E-13</v>
      </c>
      <c r="AK124" s="14">
        <f t="shared" si="89"/>
        <v>2.2708641912150958E-12</v>
      </c>
      <c r="AL124" s="22">
        <f t="shared" si="58"/>
        <v>4.2330868906469593E-12</v>
      </c>
      <c r="AM124" s="60">
        <f t="shared" si="59"/>
        <v>282.3028923921886</v>
      </c>
      <c r="AN124" s="60">
        <f ca="1">AVERAGE(OFFSET($AM$3,0,0,'Données projet'!$E$10+1,1))-AVERAGE(OFFSET($H$3,0,0,'Données projet'!$E$10+1,1))</f>
        <v>277.7918215389401</v>
      </c>
      <c r="AO124" s="60">
        <f t="shared" si="90"/>
        <v>164.65640238394164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-2.2737367544323206E-13</v>
      </c>
      <c r="BE124" s="14">
        <f>BD124*VLOOKUP('Données projet'!$B$11,Paramètres!$A$1:$I$89,3,0)*VLOOKUP('Données projet'!$B$11,Paramètres!$A$1:$I$89,5,0)</f>
        <v>-2.1636878955177963E-13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366.21371543563254</v>
      </c>
      <c r="BJ124" s="60">
        <f t="shared" si="92"/>
        <v>237.43356317334084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2.6282051282051269</v>
      </c>
      <c r="BY124" s="13">
        <f>IF('Données projet'!$A$114&gt;35,BY123+BX124-CG123,IF(A124&lt;'Données projet'!$A$114,$BV$205^A124,IF(A124='Données projet'!$A$114,'Données projet'!$B$114,BY123+BX124-CG123)))</f>
        <v>315.44871794871733</v>
      </c>
      <c r="BZ124" s="14">
        <f>BY124*VLOOKUP('Données projet'!$B$12,Paramètres!$A$1:$I$89,3,0)*VLOOKUP('Données projet'!$B$12,Paramètres!$A$1:$I$89,5,0)</f>
        <v>329.70699999999937</v>
      </c>
      <c r="CA124" s="14">
        <f t="shared" si="93"/>
        <v>77.369557656320978</v>
      </c>
      <c r="CB124" s="22">
        <f t="shared" si="64"/>
        <v>708.99167125142458</v>
      </c>
      <c r="CC124" s="60">
        <f t="shared" si="65"/>
        <v>991.29456364360897</v>
      </c>
      <c r="CD124" s="60">
        <f ca="1">AVERAGE(OFFSET($CC$3,0,0,'Données projet'!$E$12+1,1))-AVERAGE(OFFSET($H$3,0,0,'Données projet'!$E$12+1,1))</f>
        <v>530.79860063513229</v>
      </c>
      <c r="CE124" s="60">
        <f t="shared" si="94"/>
        <v>302.50876440460434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245.3817599999995</v>
      </c>
      <c r="CV124" s="14">
        <f t="shared" si="95"/>
        <v>59.595943661626663</v>
      </c>
      <c r="CW124" s="22">
        <f t="shared" si="67"/>
        <v>531.16950054399888</v>
      </c>
      <c r="CX124" s="60">
        <f t="shared" si="68"/>
        <v>813.47239293618327</v>
      </c>
      <c r="CY124" s="60">
        <f ca="1">AVERAGE(OFFSET($CX$3,0,0,'Données projet'!$E$13+1,1))-AVERAGE(OFFSET($H$3,0,0,'Données projet'!$E$13+1,1))</f>
        <v>469.67944008675863</v>
      </c>
      <c r="CZ124" s="60">
        <f t="shared" si="96"/>
        <v>266.11908070867173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3.2</v>
      </c>
      <c r="DO124" s="13">
        <f>IF('Données projet'!$A$166&gt;35,DO123+DN124-DW123,IF(A124&lt;'Données projet'!$A$166,$DL$205^A124,IF(A124='Données projet'!$A$166,'Données projet'!$B$166,DO123+DN124-DW123)))</f>
        <v>271.19999999999948</v>
      </c>
      <c r="DP124" s="18">
        <f>DO124*VLOOKUP('Données projet'!$B$14,Paramètres!$A$1:$I$89,3,0)*VLOOKUP('Données projet'!$B$14,Paramètres!$A$1:$I$89,5,0)</f>
        <v>291.9196799999994</v>
      </c>
      <c r="DQ124" s="14">
        <f t="shared" si="97"/>
        <v>69.47983563531173</v>
      </c>
      <c r="DR124" s="22">
        <f t="shared" si="70"/>
        <v>629.43748973150025</v>
      </c>
      <c r="DS124" s="60">
        <f t="shared" si="71"/>
        <v>911.74038212368464</v>
      </c>
      <c r="DT124" s="60">
        <f ca="1">AVERAGE(OFFSET($DS$3,0,0,'Données projet'!$E$14+1,1))-AVERAGE(OFFSET($H$3,0,0,'Données projet'!$E$14+1,1))</f>
        <v>542.90832990875208</v>
      </c>
      <c r="DU124" s="60">
        <f t="shared" si="98"/>
        <v>304.94365539329362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5.6843418860808015E-14</v>
      </c>
      <c r="EK124" s="18">
        <f>EJ124*VLOOKUP('Données projet'!$B$15,Paramètres!$A$1:$I$89,3,0)*VLOOKUP('Données projet'!$B$15,Paramètres!$A$1:$I$89,5,0)</f>
        <v>4.5224624045658861E-14</v>
      </c>
      <c r="EL124" s="14">
        <f t="shared" si="99"/>
        <v>7.4514601661523691E-13</v>
      </c>
      <c r="EM124" s="22">
        <f t="shared" si="73"/>
        <v>1.3765621991510601E-12</v>
      </c>
      <c r="EN124" s="60">
        <f t="shared" si="74"/>
        <v>282.30289239218575</v>
      </c>
      <c r="EO124" s="60">
        <f ca="1">AVERAGE(OFFSET($EN$3,0,0,'Données projet'!$E$15+1,1))-AVERAGE(OFFSET($H$3,0,0,'Données projet'!$E$15+1,1))</f>
        <v>273.72403794510291</v>
      </c>
      <c r="EP124" s="60">
        <f t="shared" si="100"/>
        <v>292.00185554564109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5.6843418860808015E-14</v>
      </c>
      <c r="FF124" s="18">
        <f>FE124*VLOOKUP('Données projet'!$B$16,Paramètres!$A$1:$I$89,3,0)*VLOOKUP('Données projet'!$B$16,Paramètres!$A$1:$I$89,5,0)</f>
        <v>4.4337866711430253E-14</v>
      </c>
      <c r="FG124" s="14">
        <f t="shared" si="101"/>
        <v>7.3222115536967035E-13</v>
      </c>
      <c r="FH124" s="22">
        <f t="shared" si="76"/>
        <v>1.3525069634579169E-12</v>
      </c>
      <c r="FI124" s="60">
        <f t="shared" si="77"/>
        <v>282.30289239218575</v>
      </c>
      <c r="FJ124" s="60">
        <f ca="1">AVERAGE(OFFSET($FI$3,0,0,'Données projet'!$E$16+1,1))-AVERAGE(OFFSET($H$3,0,0,'Données projet'!$E$16+1,1))</f>
        <v>309.21625451786218</v>
      </c>
      <c r="FK124" s="60">
        <f t="shared" si="102"/>
        <v>302.59481222418219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>
        <f>FZ124*VLOOKUP('Données projet'!$B$17,Paramètres!$A$1:$I$89,3,0)*VLOOKUP('Données projet'!$B$17,Paramètres!$A$1:$I$89,5,0)</f>
        <v>0</v>
      </c>
      <c r="GB124" s="14" t="e">
        <f t="shared" si="103"/>
        <v>#NUM!</v>
      </c>
      <c r="GC124" s="22" t="e">
        <f t="shared" si="79"/>
        <v>#NUM!</v>
      </c>
      <c r="GD124" s="60" t="e">
        <f t="shared" si="80"/>
        <v>#NUM!</v>
      </c>
      <c r="GE124" s="60">
        <f ca="1">AVERAGE(OFFSET($GD$3,0,0,'Données projet'!$E$17+1,1))-AVERAGE(OFFSET($H$3,0,0,'Données projet'!$E$17+1,1))</f>
        <v>216.36762889365235</v>
      </c>
      <c r="GF124" s="60">
        <f t="shared" si="104"/>
        <v>333.29599352215496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2.2268253410120527</v>
      </c>
      <c r="GM124" s="23">
        <f>EXP(-LN(2)/25)*GM123+(1-EXP(-LN(2)/25))/(LN(2)/25)*Calculateur!GH124*Calculateur!GJ124*VLOOKUP('Données projet'!$B$17,Paramètres!$A$1:$I$89,3,0)*0.475*44/12</f>
        <v>0.7820406212917721</v>
      </c>
      <c r="GN124" s="23">
        <f>EXP(-LN(2)/2)*GN123+(1-EXP(-LN(2)/2))/(LN(2)/2)*GH124*GK124*VLOOKUP('Données projet'!$B$17,Paramètres!$A$1:$I$89,3,0)*0.475*44/12</f>
        <v>5.8772759972976169E-14</v>
      </c>
      <c r="GO124" s="23">
        <f t="shared" si="81"/>
        <v>3.0088659623038834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4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265.39967999999948</v>
      </c>
      <c r="P125" s="14">
        <f t="shared" si="87"/>
        <v>63.87199095821434</v>
      </c>
      <c r="Q125" s="22">
        <f t="shared" si="107"/>
        <v>573.48149358555565</v>
      </c>
      <c r="R125" s="60">
        <f t="shared" si="55"/>
        <v>855.97573946769739</v>
      </c>
      <c r="S125" s="60">
        <f ca="1">AVERAGE(OFFSET($R$3,0,0,'Données projet'!$E$9+1,1))-AVERAGE(OFFSET($H$3,0,0,'Données projet'!$E$9+1,1))</f>
        <v>496.33873798282525</v>
      </c>
      <c r="T125" s="60">
        <f t="shared" si="88"/>
        <v>280.25465074992246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3.4106051316484809E-13</v>
      </c>
      <c r="AJ125" s="14">
        <f>AI125*VLOOKUP('Données projet'!$B$10,Paramètres!$A$1:$I$89,3,0)*VLOOKUP('Données projet'!$B$10,Paramètres!$A$1:$I$89,5,0)</f>
        <v>1.5961632016114892E-13</v>
      </c>
      <c r="AK125" s="14">
        <f t="shared" si="89"/>
        <v>2.2708641912150958E-12</v>
      </c>
      <c r="AL125" s="22">
        <f t="shared" si="58"/>
        <v>4.2330868906469593E-12</v>
      </c>
      <c r="AM125" s="60">
        <f t="shared" si="59"/>
        <v>282.494245882146</v>
      </c>
      <c r="AN125" s="60">
        <f ca="1">AVERAGE(OFFSET($AM$3,0,0,'Données projet'!$E$10+1,1))-AVERAGE(OFFSET($H$3,0,0,'Données projet'!$E$10+1,1))</f>
        <v>277.7918215389401</v>
      </c>
      <c r="AO125" s="60">
        <f t="shared" si="90"/>
        <v>164.65640238394164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-2.2737367544323206E-13</v>
      </c>
      <c r="BE125" s="14">
        <f>BD125*VLOOKUP('Données projet'!$B$11,Paramètres!$A$1:$I$89,3,0)*VLOOKUP('Données projet'!$B$11,Paramètres!$A$1:$I$89,5,0)</f>
        <v>-2.1636878955177963E-13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366.21371543563254</v>
      </c>
      <c r="BJ125" s="60">
        <f t="shared" si="92"/>
        <v>237.43356317334084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2.6282051282051269</v>
      </c>
      <c r="BY125" s="13">
        <f>IF('Données projet'!$A$114&gt;35,BY124+BX125-CG124,IF(A125&lt;'Données projet'!$A$114,$BV$205^A125,IF(A125='Données projet'!$A$114,'Données projet'!$B$114,BY124+BX125-CG124)))</f>
        <v>318.07692307692247</v>
      </c>
      <c r="BZ125" s="14">
        <f>BY125*VLOOKUP('Données projet'!$B$12,Paramètres!$A$1:$I$89,3,0)*VLOOKUP('Données projet'!$B$12,Paramètres!$A$1:$I$89,5,0)</f>
        <v>332.45399999999938</v>
      </c>
      <c r="CA125" s="14">
        <f t="shared" si="93"/>
        <v>77.938864391883257</v>
      </c>
      <c r="CB125" s="22">
        <f t="shared" si="64"/>
        <v>714.76757214919553</v>
      </c>
      <c r="CC125" s="60">
        <f t="shared" si="65"/>
        <v>997.26181803133727</v>
      </c>
      <c r="CD125" s="60">
        <f ca="1">AVERAGE(OFFSET($CC$3,0,0,'Données projet'!$E$12+1,1))-AVERAGE(OFFSET($H$3,0,0,'Données projet'!$E$12+1,1))</f>
        <v>530.79860063513229</v>
      </c>
      <c r="CE125" s="60">
        <f t="shared" si="94"/>
        <v>302.50876440460434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248.27711999999951</v>
      </c>
      <c r="CV125" s="14">
        <f t="shared" si="95"/>
        <v>60.216863677580257</v>
      </c>
      <c r="CW125" s="22">
        <f t="shared" si="67"/>
        <v>537.29368823845141</v>
      </c>
      <c r="CX125" s="60">
        <f t="shared" si="68"/>
        <v>819.78793412059326</v>
      </c>
      <c r="CY125" s="60">
        <f ca="1">AVERAGE(OFFSET($CX$3,0,0,'Données projet'!$E$13+1,1))-AVERAGE(OFFSET($H$3,0,0,'Données projet'!$E$13+1,1))</f>
        <v>469.67944008675863</v>
      </c>
      <c r="CZ125" s="60">
        <f t="shared" si="96"/>
        <v>266.11908070867173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3.2</v>
      </c>
      <c r="DO125" s="13">
        <f>IF('Données projet'!$A$166&gt;35,DO124+DN125-DW124,IF(A125&lt;'Données projet'!$A$166,$DL$205^A125,IF(A125='Données projet'!$A$166,'Données projet'!$B$166,DO124+DN125-DW124)))</f>
        <v>274.39999999999947</v>
      </c>
      <c r="DP125" s="18">
        <f>DO125*VLOOKUP('Données projet'!$B$14,Paramètres!$A$1:$I$89,3,0)*VLOOKUP('Données projet'!$B$14,Paramètres!$A$1:$I$89,5,0)</f>
        <v>295.3641599999994</v>
      </c>
      <c r="DQ125" s="14">
        <f t="shared" si="97"/>
        <v>70.203734243178047</v>
      </c>
      <c r="DR125" s="22">
        <f t="shared" si="70"/>
        <v>636.6974158068673</v>
      </c>
      <c r="DS125" s="60">
        <f t="shared" si="71"/>
        <v>919.19166168900915</v>
      </c>
      <c r="DT125" s="60">
        <f ca="1">AVERAGE(OFFSET($DS$3,0,0,'Données projet'!$E$14+1,1))-AVERAGE(OFFSET($H$3,0,0,'Données projet'!$E$14+1,1))</f>
        <v>542.90832990875208</v>
      </c>
      <c r="DU125" s="60">
        <f t="shared" si="98"/>
        <v>304.94365539329362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5.6843418860808015E-14</v>
      </c>
      <c r="EK125" s="18">
        <f>EJ125*VLOOKUP('Données projet'!$B$15,Paramètres!$A$1:$I$89,3,0)*VLOOKUP('Données projet'!$B$15,Paramètres!$A$1:$I$89,5,0)</f>
        <v>4.5224624045658861E-14</v>
      </c>
      <c r="EL125" s="14">
        <f t="shared" si="99"/>
        <v>7.4514601661523691E-13</v>
      </c>
      <c r="EM125" s="22">
        <f t="shared" si="73"/>
        <v>1.3765621991510601E-12</v>
      </c>
      <c r="EN125" s="60">
        <f t="shared" si="74"/>
        <v>282.49424588214316</v>
      </c>
      <c r="EO125" s="60">
        <f ca="1">AVERAGE(OFFSET($EN$3,0,0,'Données projet'!$E$15+1,1))-AVERAGE(OFFSET($H$3,0,0,'Données projet'!$E$15+1,1))</f>
        <v>273.72403794510291</v>
      </c>
      <c r="EP125" s="60">
        <f t="shared" si="100"/>
        <v>292.00185554564109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5.6843418860808015E-14</v>
      </c>
      <c r="FF125" s="18">
        <f>FE125*VLOOKUP('Données projet'!$B$16,Paramètres!$A$1:$I$89,3,0)*VLOOKUP('Données projet'!$B$16,Paramètres!$A$1:$I$89,5,0)</f>
        <v>4.4337866711430253E-14</v>
      </c>
      <c r="FG125" s="14">
        <f t="shared" si="101"/>
        <v>7.3222115536967035E-13</v>
      </c>
      <c r="FH125" s="22">
        <f t="shared" si="76"/>
        <v>1.3525069634579169E-12</v>
      </c>
      <c r="FI125" s="60">
        <f t="shared" si="77"/>
        <v>282.49424588214316</v>
      </c>
      <c r="FJ125" s="60">
        <f ca="1">AVERAGE(OFFSET($FI$3,0,0,'Données projet'!$E$16+1,1))-AVERAGE(OFFSET($H$3,0,0,'Données projet'!$E$16+1,1))</f>
        <v>309.21625451786218</v>
      </c>
      <c r="FK125" s="60">
        <f t="shared" si="102"/>
        <v>302.59481222418219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>
        <f>FZ125*VLOOKUP('Données projet'!$B$17,Paramètres!$A$1:$I$89,3,0)*VLOOKUP('Données projet'!$B$17,Paramètres!$A$1:$I$89,5,0)</f>
        <v>0</v>
      </c>
      <c r="GB125" s="14" t="e">
        <f t="shared" si="103"/>
        <v>#NUM!</v>
      </c>
      <c r="GC125" s="22" t="e">
        <f t="shared" si="79"/>
        <v>#NUM!</v>
      </c>
      <c r="GD125" s="60" t="e">
        <f t="shared" si="80"/>
        <v>#NUM!</v>
      </c>
      <c r="GE125" s="60">
        <f ca="1">AVERAGE(OFFSET($GD$3,0,0,'Données projet'!$E$17+1,1))-AVERAGE(OFFSET($H$3,0,0,'Données projet'!$E$17+1,1))</f>
        <v>216.36762889365235</v>
      </c>
      <c r="GF125" s="60">
        <f t="shared" si="104"/>
        <v>333.29599352215496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2.1831586543041501</v>
      </c>
      <c r="GM125" s="23">
        <f>EXP(-LN(2)/25)*GM124+(1-EXP(-LN(2)/25))/(LN(2)/25)*Calculateur!GH125*Calculateur!GJ125*VLOOKUP('Données projet'!$B$17,Paramètres!$A$1:$I$89,3,0)*0.475*44/12</f>
        <v>0.76065567937681966</v>
      </c>
      <c r="GN125" s="23">
        <f>EXP(-LN(2)/2)*GN124+(1-EXP(-LN(2)/2))/(LN(2)/2)*GH125*GK125*VLOOKUP('Données projet'!$B$17,Paramètres!$A$1:$I$89,3,0)*0.475*44/12</f>
        <v>4.1558617125940739E-14</v>
      </c>
      <c r="GO125" s="23">
        <f t="shared" si="81"/>
        <v>2.9438143336810114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4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268.49471999999946</v>
      </c>
      <c r="P126" s="14">
        <f t="shared" si="87"/>
        <v>64.529707010294615</v>
      </c>
      <c r="Q126" s="22">
        <f t="shared" si="107"/>
        <v>580.01754370959543</v>
      </c>
      <c r="R126" s="60">
        <f t="shared" si="55"/>
        <v>862.69982352644615</v>
      </c>
      <c r="S126" s="60">
        <f ca="1">AVERAGE(OFFSET($R$3,0,0,'Données projet'!$E$9+1,1))-AVERAGE(OFFSET($H$3,0,0,'Données projet'!$E$9+1,1))</f>
        <v>496.33873798282525</v>
      </c>
      <c r="T126" s="60">
        <f t="shared" si="88"/>
        <v>280.25465074992246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3.4106051316484809E-13</v>
      </c>
      <c r="AJ126" s="14">
        <f>AI126*VLOOKUP('Données projet'!$B$10,Paramètres!$A$1:$I$89,3,0)*VLOOKUP('Données projet'!$B$10,Paramètres!$A$1:$I$89,5,0)</f>
        <v>1.5961632016114892E-13</v>
      </c>
      <c r="AK126" s="14">
        <f t="shared" si="89"/>
        <v>2.2708641912150958E-12</v>
      </c>
      <c r="AL126" s="22">
        <f t="shared" si="58"/>
        <v>4.2330868906469593E-12</v>
      </c>
      <c r="AM126" s="60">
        <f t="shared" si="59"/>
        <v>282.68227981685487</v>
      </c>
      <c r="AN126" s="60">
        <f ca="1">AVERAGE(OFFSET($AM$3,0,0,'Données projet'!$E$10+1,1))-AVERAGE(OFFSET($H$3,0,0,'Données projet'!$E$10+1,1))</f>
        <v>277.7918215389401</v>
      </c>
      <c r="AO126" s="60">
        <f t="shared" si="90"/>
        <v>164.65640238394164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-2.2737367544323206E-13</v>
      </c>
      <c r="BE126" s="14">
        <f>BD126*VLOOKUP('Données projet'!$B$11,Paramètres!$A$1:$I$89,3,0)*VLOOKUP('Données projet'!$B$11,Paramètres!$A$1:$I$89,5,0)</f>
        <v>-2.1636878955177963E-13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366.21371543563254</v>
      </c>
      <c r="BJ126" s="60">
        <f t="shared" si="92"/>
        <v>237.43356317334084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2.6282051282051269</v>
      </c>
      <c r="BY126" s="13">
        <f>IF('Données projet'!$A$114&gt;35,BY125+BX126-CG125,IF(A126&lt;'Données projet'!$A$114,$BV$205^A126,IF(A126='Données projet'!$A$114,'Données projet'!$B$114,BY125+BX126-CG125)))</f>
        <v>320.70512820512761</v>
      </c>
      <c r="BZ126" s="14">
        <f>BY126*VLOOKUP('Données projet'!$B$12,Paramètres!$A$1:$I$89,3,0)*VLOOKUP('Données projet'!$B$12,Paramètres!$A$1:$I$89,5,0)</f>
        <v>335.2009999999994</v>
      </c>
      <c r="CA126" s="14">
        <f t="shared" si="93"/>
        <v>78.507623830791573</v>
      </c>
      <c r="CB126" s="22">
        <f t="shared" si="64"/>
        <v>720.54251983862753</v>
      </c>
      <c r="CC126" s="60">
        <f t="shared" si="65"/>
        <v>1003.2247996554781</v>
      </c>
      <c r="CD126" s="60">
        <f ca="1">AVERAGE(OFFSET($CC$3,0,0,'Données projet'!$E$12+1,1))-AVERAGE(OFFSET($H$3,0,0,'Données projet'!$E$12+1,1))</f>
        <v>530.79860063513229</v>
      </c>
      <c r="CE126" s="60">
        <f t="shared" si="94"/>
        <v>302.50876440460434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251.1724799999995</v>
      </c>
      <c r="CV126" s="14">
        <f t="shared" si="95"/>
        <v>60.836941386956575</v>
      </c>
      <c r="CW126" s="22">
        <f t="shared" si="67"/>
        <v>543.41640891561519</v>
      </c>
      <c r="CX126" s="60">
        <f t="shared" si="68"/>
        <v>826.09868873246592</v>
      </c>
      <c r="CY126" s="60">
        <f ca="1">AVERAGE(OFFSET($CX$3,0,0,'Données projet'!$E$13+1,1))-AVERAGE(OFFSET($H$3,0,0,'Données projet'!$E$13+1,1))</f>
        <v>469.67944008675863</v>
      </c>
      <c r="CZ126" s="60">
        <f t="shared" si="96"/>
        <v>266.11908070867173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3.2</v>
      </c>
      <c r="DO126" s="13">
        <f>IF('Données projet'!$A$166&gt;35,DO125+DN126-DW125,IF(A126&lt;'Données projet'!$A$166,$DL$205^A126,IF(A126='Données projet'!$A$166,'Données projet'!$B$166,DO125+DN126-DW125)))</f>
        <v>277.59999999999945</v>
      </c>
      <c r="DP126" s="18">
        <f>DO126*VLOOKUP('Données projet'!$B$14,Paramètres!$A$1:$I$89,3,0)*VLOOKUP('Données projet'!$B$14,Paramètres!$A$1:$I$89,5,0)</f>
        <v>298.8086399999994</v>
      </c>
      <c r="DQ126" s="14">
        <f t="shared" si="97"/>
        <v>70.926650849267929</v>
      </c>
      <c r="DR126" s="22">
        <f t="shared" si="70"/>
        <v>643.95563156247397</v>
      </c>
      <c r="DS126" s="60">
        <f t="shared" si="71"/>
        <v>926.63791137932458</v>
      </c>
      <c r="DT126" s="60">
        <f ca="1">AVERAGE(OFFSET($DS$3,0,0,'Données projet'!$E$14+1,1))-AVERAGE(OFFSET($H$3,0,0,'Données projet'!$E$14+1,1))</f>
        <v>542.90832990875208</v>
      </c>
      <c r="DU126" s="60">
        <f t="shared" si="98"/>
        <v>304.94365539329362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5.6843418860808015E-14</v>
      </c>
      <c r="EK126" s="18">
        <f>EJ126*VLOOKUP('Données projet'!$B$15,Paramètres!$A$1:$I$89,3,0)*VLOOKUP('Données projet'!$B$15,Paramètres!$A$1:$I$89,5,0)</f>
        <v>4.5224624045658861E-14</v>
      </c>
      <c r="EL126" s="14">
        <f t="shared" si="99"/>
        <v>7.4514601661523691E-13</v>
      </c>
      <c r="EM126" s="22">
        <f t="shared" si="73"/>
        <v>1.3765621991510601E-12</v>
      </c>
      <c r="EN126" s="60">
        <f t="shared" si="74"/>
        <v>282.68227981685203</v>
      </c>
      <c r="EO126" s="60">
        <f ca="1">AVERAGE(OFFSET($EN$3,0,0,'Données projet'!$E$15+1,1))-AVERAGE(OFFSET($H$3,0,0,'Données projet'!$E$15+1,1))</f>
        <v>273.72403794510291</v>
      </c>
      <c r="EP126" s="60">
        <f t="shared" si="100"/>
        <v>292.00185554564109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5.6843418860808015E-14</v>
      </c>
      <c r="FF126" s="18">
        <f>FE126*VLOOKUP('Données projet'!$B$16,Paramètres!$A$1:$I$89,3,0)*VLOOKUP('Données projet'!$B$16,Paramètres!$A$1:$I$89,5,0)</f>
        <v>4.4337866711430253E-14</v>
      </c>
      <c r="FG126" s="14">
        <f t="shared" si="101"/>
        <v>7.3222115536967035E-13</v>
      </c>
      <c r="FH126" s="22">
        <f t="shared" si="76"/>
        <v>1.3525069634579169E-12</v>
      </c>
      <c r="FI126" s="60">
        <f t="shared" si="77"/>
        <v>282.68227981685203</v>
      </c>
      <c r="FJ126" s="60">
        <f ca="1">AVERAGE(OFFSET($FI$3,0,0,'Données projet'!$E$16+1,1))-AVERAGE(OFFSET($H$3,0,0,'Données projet'!$E$16+1,1))</f>
        <v>309.21625451786218</v>
      </c>
      <c r="FK126" s="60">
        <f t="shared" si="102"/>
        <v>302.59481222418219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>
        <f>FZ126*VLOOKUP('Données projet'!$B$17,Paramètres!$A$1:$I$89,3,0)*VLOOKUP('Données projet'!$B$17,Paramètres!$A$1:$I$89,5,0)</f>
        <v>0</v>
      </c>
      <c r="GB126" s="14" t="e">
        <f t="shared" si="103"/>
        <v>#NUM!</v>
      </c>
      <c r="GC126" s="22" t="e">
        <f t="shared" si="79"/>
        <v>#NUM!</v>
      </c>
      <c r="GD126" s="60" t="e">
        <f t="shared" si="80"/>
        <v>#NUM!</v>
      </c>
      <c r="GE126" s="60">
        <f ca="1">AVERAGE(OFFSET($GD$3,0,0,'Données projet'!$E$17+1,1))-AVERAGE(OFFSET($H$3,0,0,'Données projet'!$E$17+1,1))</f>
        <v>216.36762889365235</v>
      </c>
      <c r="GF126" s="60">
        <f t="shared" si="104"/>
        <v>333.29599352215496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2.1403482446885409</v>
      </c>
      <c r="GM126" s="23">
        <f>EXP(-LN(2)/25)*GM125+(1-EXP(-LN(2)/25))/(LN(2)/25)*Calculateur!GH126*Calculateur!GJ126*VLOOKUP('Données projet'!$B$17,Paramètres!$A$1:$I$89,3,0)*0.475*44/12</f>
        <v>0.73985550982311687</v>
      </c>
      <c r="GN126" s="23">
        <f>EXP(-LN(2)/2)*GN125+(1-EXP(-LN(2)/2))/(LN(2)/2)*GH126*GK126*VLOOKUP('Données projet'!$B$17,Paramètres!$A$1:$I$89,3,0)*0.475*44/12</f>
        <v>2.9386379986488084E-14</v>
      </c>
      <c r="GO126" s="23">
        <f t="shared" si="81"/>
        <v>2.8802037545116872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4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271.5897599999995</v>
      </c>
      <c r="P127" s="14">
        <f t="shared" si="87"/>
        <v>65.186541118848012</v>
      </c>
      <c r="Q127" s="22">
        <f t="shared" si="107"/>
        <v>586.55205778199274</v>
      </c>
      <c r="R127" s="60">
        <f t="shared" si="55"/>
        <v>869.41910956516608</v>
      </c>
      <c r="S127" s="60">
        <f ca="1">AVERAGE(OFFSET($R$3,0,0,'Données projet'!$E$9+1,1))-AVERAGE(OFFSET($H$3,0,0,'Données projet'!$E$9+1,1))</f>
        <v>496.33873798282525</v>
      </c>
      <c r="T127" s="60">
        <f t="shared" si="88"/>
        <v>280.25465074992246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3.4106051316484809E-13</v>
      </c>
      <c r="AJ127" s="14">
        <f>AI127*VLOOKUP('Données projet'!$B$10,Paramètres!$A$1:$I$89,3,0)*VLOOKUP('Données projet'!$B$10,Paramètres!$A$1:$I$89,5,0)</f>
        <v>1.5961632016114892E-13</v>
      </c>
      <c r="AK127" s="14">
        <f t="shared" si="89"/>
        <v>2.2708641912150958E-12</v>
      </c>
      <c r="AL127" s="22">
        <f t="shared" si="58"/>
        <v>4.2330868906469593E-12</v>
      </c>
      <c r="AM127" s="60">
        <f t="shared" si="59"/>
        <v>282.86705178317754</v>
      </c>
      <c r="AN127" s="60">
        <f ca="1">AVERAGE(OFFSET($AM$3,0,0,'Données projet'!$E$10+1,1))-AVERAGE(OFFSET($H$3,0,0,'Données projet'!$E$10+1,1))</f>
        <v>277.7918215389401</v>
      </c>
      <c r="AO127" s="60">
        <f t="shared" si="90"/>
        <v>164.65640238394164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-2.2737367544323206E-13</v>
      </c>
      <c r="BE127" s="14">
        <f>BD127*VLOOKUP('Données projet'!$B$11,Paramètres!$A$1:$I$89,3,0)*VLOOKUP('Données projet'!$B$11,Paramètres!$A$1:$I$89,5,0)</f>
        <v>-2.1636878955177963E-13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366.21371543563254</v>
      </c>
      <c r="BJ127" s="60">
        <f t="shared" si="92"/>
        <v>237.43356317334084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2.6282051282051269</v>
      </c>
      <c r="BY127" s="13">
        <f>IF('Données projet'!$A$114&gt;35,BY126+BX127-CG126,IF(A127&lt;'Données projet'!$A$114,$BV$205^A127,IF(A127='Données projet'!$A$114,'Données projet'!$B$114,BY126+BX127-CG126)))</f>
        <v>323.33333333333275</v>
      </c>
      <c r="BZ127" s="14">
        <f>BY127*VLOOKUP('Données projet'!$B$12,Paramètres!$A$1:$I$89,3,0)*VLOOKUP('Données projet'!$B$12,Paramètres!$A$1:$I$89,5,0)</f>
        <v>337.94799999999941</v>
      </c>
      <c r="CA127" s="14">
        <f t="shared" si="93"/>
        <v>79.075840977982864</v>
      </c>
      <c r="CB127" s="22">
        <f t="shared" si="64"/>
        <v>726.31652303665248</v>
      </c>
      <c r="CC127" s="60">
        <f t="shared" si="65"/>
        <v>1009.1835748198258</v>
      </c>
      <c r="CD127" s="60">
        <f ca="1">AVERAGE(OFFSET($CC$3,0,0,'Données projet'!$E$12+1,1))-AVERAGE(OFFSET($H$3,0,0,'Données projet'!$E$12+1,1))</f>
        <v>530.79860063513229</v>
      </c>
      <c r="CE127" s="60">
        <f t="shared" si="94"/>
        <v>302.50876440460434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254.06783999999948</v>
      </c>
      <c r="CV127" s="14">
        <f t="shared" si="95"/>
        <v>61.456187622750612</v>
      </c>
      <c r="CW127" s="22">
        <f t="shared" si="67"/>
        <v>549.53768144295634</v>
      </c>
      <c r="CX127" s="60">
        <f t="shared" si="68"/>
        <v>832.40473322612968</v>
      </c>
      <c r="CY127" s="60">
        <f ca="1">AVERAGE(OFFSET($CX$3,0,0,'Données projet'!$E$13+1,1))-AVERAGE(OFFSET($H$3,0,0,'Données projet'!$E$13+1,1))</f>
        <v>469.67944008675863</v>
      </c>
      <c r="CZ127" s="60">
        <f t="shared" si="96"/>
        <v>266.11908070867173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3.2</v>
      </c>
      <c r="DO127" s="13">
        <f>IF('Données projet'!$A$166&gt;35,DO126+DN127-DW126,IF(A127&lt;'Données projet'!$A$166,$DL$205^A127,IF(A127='Données projet'!$A$166,'Données projet'!$B$166,DO126+DN127-DW126)))</f>
        <v>280.79999999999944</v>
      </c>
      <c r="DP127" s="18">
        <f>DO127*VLOOKUP('Données projet'!$B$14,Paramètres!$A$1:$I$89,3,0)*VLOOKUP('Données projet'!$B$14,Paramètres!$A$1:$I$89,5,0)</f>
        <v>302.2531199999994</v>
      </c>
      <c r="DQ127" s="14">
        <f t="shared" si="97"/>
        <v>71.648598083211283</v>
      </c>
      <c r="DR127" s="22">
        <f t="shared" si="70"/>
        <v>651.21215899492529</v>
      </c>
      <c r="DS127" s="60">
        <f t="shared" si="71"/>
        <v>934.07921077809863</v>
      </c>
      <c r="DT127" s="60">
        <f ca="1">AVERAGE(OFFSET($DS$3,0,0,'Données projet'!$E$14+1,1))-AVERAGE(OFFSET($H$3,0,0,'Données projet'!$E$14+1,1))</f>
        <v>542.90832990875208</v>
      </c>
      <c r="DU127" s="60">
        <f t="shared" si="98"/>
        <v>304.94365539329362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5.6843418860808015E-14</v>
      </c>
      <c r="EK127" s="18">
        <f>EJ127*VLOOKUP('Données projet'!$B$15,Paramètres!$A$1:$I$89,3,0)*VLOOKUP('Données projet'!$B$15,Paramètres!$A$1:$I$89,5,0)</f>
        <v>4.5224624045658861E-14</v>
      </c>
      <c r="EL127" s="14">
        <f t="shared" si="99"/>
        <v>7.4514601661523691E-13</v>
      </c>
      <c r="EM127" s="22">
        <f t="shared" si="73"/>
        <v>1.3765621991510601E-12</v>
      </c>
      <c r="EN127" s="60">
        <f t="shared" si="74"/>
        <v>282.8670517831747</v>
      </c>
      <c r="EO127" s="60">
        <f ca="1">AVERAGE(OFFSET($EN$3,0,0,'Données projet'!$E$15+1,1))-AVERAGE(OFFSET($H$3,0,0,'Données projet'!$E$15+1,1))</f>
        <v>273.72403794510291</v>
      </c>
      <c r="EP127" s="60">
        <f t="shared" si="100"/>
        <v>292.00185554564109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5.6843418860808015E-14</v>
      </c>
      <c r="FF127" s="18">
        <f>FE127*VLOOKUP('Données projet'!$B$16,Paramètres!$A$1:$I$89,3,0)*VLOOKUP('Données projet'!$B$16,Paramètres!$A$1:$I$89,5,0)</f>
        <v>4.4337866711430253E-14</v>
      </c>
      <c r="FG127" s="14">
        <f t="shared" si="101"/>
        <v>7.3222115536967035E-13</v>
      </c>
      <c r="FH127" s="22">
        <f t="shared" si="76"/>
        <v>1.3525069634579169E-12</v>
      </c>
      <c r="FI127" s="60">
        <f t="shared" si="77"/>
        <v>282.8670517831747</v>
      </c>
      <c r="FJ127" s="60">
        <f ca="1">AVERAGE(OFFSET($FI$3,0,0,'Données projet'!$E$16+1,1))-AVERAGE(OFFSET($H$3,0,0,'Données projet'!$E$16+1,1))</f>
        <v>309.21625451786218</v>
      </c>
      <c r="FK127" s="60">
        <f t="shared" si="102"/>
        <v>302.59481222418219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>
        <f>FZ127*VLOOKUP('Données projet'!$B$17,Paramètres!$A$1:$I$89,3,0)*VLOOKUP('Données projet'!$B$17,Paramètres!$A$1:$I$89,5,0)</f>
        <v>0</v>
      </c>
      <c r="GB127" s="14" t="e">
        <f t="shared" si="103"/>
        <v>#NUM!</v>
      </c>
      <c r="GC127" s="22" t="e">
        <f t="shared" si="79"/>
        <v>#NUM!</v>
      </c>
      <c r="GD127" s="60" t="e">
        <f t="shared" si="80"/>
        <v>#NUM!</v>
      </c>
      <c r="GE127" s="60">
        <f ca="1">AVERAGE(OFFSET($GD$3,0,0,'Données projet'!$E$17+1,1))-AVERAGE(OFFSET($H$3,0,0,'Données projet'!$E$17+1,1))</f>
        <v>216.36762889365235</v>
      </c>
      <c r="GF127" s="60">
        <f t="shared" si="104"/>
        <v>333.29599352215496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2.098377321093722</v>
      </c>
      <c r="GM127" s="23">
        <f>EXP(-LN(2)/25)*GM126+(1-EXP(-LN(2)/25))/(LN(2)/25)*Calculateur!GH127*Calculateur!GJ127*VLOOKUP('Données projet'!$B$17,Paramètres!$A$1:$I$89,3,0)*0.475*44/12</f>
        <v>0.7196241219996935</v>
      </c>
      <c r="GN127" s="23">
        <f>EXP(-LN(2)/2)*GN126+(1-EXP(-LN(2)/2))/(LN(2)/2)*GH127*GK127*VLOOKUP('Données projet'!$B$17,Paramètres!$A$1:$I$89,3,0)*0.475*44/12</f>
        <v>2.077930856297037E-14</v>
      </c>
      <c r="GO127" s="23">
        <f t="shared" si="81"/>
        <v>2.8180014430934364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4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274.68479999999943</v>
      </c>
      <c r="P128" s="14">
        <f t="shared" si="87"/>
        <v>65.842504497456545</v>
      </c>
      <c r="Q128" s="22">
        <f t="shared" si="107"/>
        <v>593.08505533306914</v>
      </c>
      <c r="R128" s="60">
        <f t="shared" si="55"/>
        <v>876.13367370203764</v>
      </c>
      <c r="S128" s="60">
        <f ca="1">AVERAGE(OFFSET($R$3,0,0,'Données projet'!$E$9+1,1))-AVERAGE(OFFSET($H$3,0,0,'Données projet'!$E$9+1,1))</f>
        <v>496.33873798282525</v>
      </c>
      <c r="T128" s="60">
        <f t="shared" si="88"/>
        <v>280.25465074992246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3.4106051316484809E-13</v>
      </c>
      <c r="AJ128" s="14">
        <f>AI128*VLOOKUP('Données projet'!$B$10,Paramètres!$A$1:$I$89,3,0)*VLOOKUP('Données projet'!$B$10,Paramètres!$A$1:$I$89,5,0)</f>
        <v>1.5961632016114892E-13</v>
      </c>
      <c r="AK128" s="14">
        <f t="shared" si="89"/>
        <v>2.2708641912150958E-12</v>
      </c>
      <c r="AL128" s="22">
        <f t="shared" si="58"/>
        <v>4.2330868906469593E-12</v>
      </c>
      <c r="AM128" s="60">
        <f t="shared" si="59"/>
        <v>283.04861836897271</v>
      </c>
      <c r="AN128" s="60">
        <f ca="1">AVERAGE(OFFSET($AM$3,0,0,'Données projet'!$E$10+1,1))-AVERAGE(OFFSET($H$3,0,0,'Données projet'!$E$10+1,1))</f>
        <v>277.7918215389401</v>
      </c>
      <c r="AO128" s="60">
        <f t="shared" si="90"/>
        <v>164.65640238394164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-2.2737367544323206E-13</v>
      </c>
      <c r="BE128" s="14">
        <f>BD128*VLOOKUP('Données projet'!$B$11,Paramètres!$A$1:$I$89,3,0)*VLOOKUP('Données projet'!$B$11,Paramètres!$A$1:$I$89,5,0)</f>
        <v>-2.1636878955177963E-13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366.21371543563254</v>
      </c>
      <c r="BJ128" s="60">
        <f t="shared" si="92"/>
        <v>237.43356317334084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2.6282051282051269</v>
      </c>
      <c r="BY128" s="13">
        <f>IF('Données projet'!$A$114&gt;35,BY127+BX128-CG127,IF(A128&lt;'Données projet'!$A$114,$BV$205^A128,IF(A128='Données projet'!$A$114,'Données projet'!$B$114,BY127+BX128-CG127)))</f>
        <v>325.96153846153788</v>
      </c>
      <c r="BZ128" s="14">
        <f>BY128*VLOOKUP('Données projet'!$B$12,Paramètres!$A$1:$I$89,3,0)*VLOOKUP('Données projet'!$B$12,Paramètres!$A$1:$I$89,5,0)</f>
        <v>340.69499999999942</v>
      </c>
      <c r="CA128" s="14">
        <f t="shared" si="93"/>
        <v>79.643520752331625</v>
      </c>
      <c r="CB128" s="22">
        <f t="shared" si="64"/>
        <v>732.08959031030997</v>
      </c>
      <c r="CC128" s="60">
        <f t="shared" si="65"/>
        <v>1015.1382086792785</v>
      </c>
      <c r="CD128" s="60">
        <f ca="1">AVERAGE(OFFSET($CC$3,0,0,'Données projet'!$E$12+1,1))-AVERAGE(OFFSET($H$3,0,0,'Données projet'!$E$12+1,1))</f>
        <v>530.79860063513229</v>
      </c>
      <c r="CE128" s="60">
        <f t="shared" si="94"/>
        <v>302.50876440460434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256.96319999999946</v>
      </c>
      <c r="CV128" s="14">
        <f t="shared" si="95"/>
        <v>62.07461295683791</v>
      </c>
      <c r="CW128" s="22">
        <f t="shared" si="67"/>
        <v>555.65752423315837</v>
      </c>
      <c r="CX128" s="60">
        <f t="shared" si="68"/>
        <v>838.70614260212687</v>
      </c>
      <c r="CY128" s="60">
        <f ca="1">AVERAGE(OFFSET($CX$3,0,0,'Données projet'!$E$13+1,1))-AVERAGE(OFFSET($H$3,0,0,'Données projet'!$E$13+1,1))</f>
        <v>469.67944008675863</v>
      </c>
      <c r="CZ128" s="60">
        <f t="shared" si="96"/>
        <v>266.11908070867173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3.2</v>
      </c>
      <c r="DO128" s="13">
        <f>IF('Données projet'!$A$166&gt;35,DO127+DN128-DW127,IF(A128&lt;'Données projet'!$A$166,$DL$205^A128,IF(A128='Données projet'!$A$166,'Données projet'!$B$166,DO127+DN128-DW127)))</f>
        <v>283.99999999999943</v>
      </c>
      <c r="DP128" s="18">
        <f>DO128*VLOOKUP('Données projet'!$B$14,Paramètres!$A$1:$I$89,3,0)*VLOOKUP('Données projet'!$B$14,Paramètres!$A$1:$I$89,5,0)</f>
        <v>305.69759999999934</v>
      </c>
      <c r="DQ128" s="14">
        <f t="shared" si="97"/>
        <v>72.369588270212233</v>
      </c>
      <c r="DR128" s="22">
        <f t="shared" si="70"/>
        <v>658.46701957061839</v>
      </c>
      <c r="DS128" s="60">
        <f t="shared" si="71"/>
        <v>941.5156379395869</v>
      </c>
      <c r="DT128" s="60">
        <f ca="1">AVERAGE(OFFSET($DS$3,0,0,'Données projet'!$E$14+1,1))-AVERAGE(OFFSET($H$3,0,0,'Données projet'!$E$14+1,1))</f>
        <v>542.90832990875208</v>
      </c>
      <c r="DU128" s="60">
        <f t="shared" si="98"/>
        <v>304.94365539329362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5.6843418860808015E-14</v>
      </c>
      <c r="EK128" s="18">
        <f>EJ128*VLOOKUP('Données projet'!$B$15,Paramètres!$A$1:$I$89,3,0)*VLOOKUP('Données projet'!$B$15,Paramètres!$A$1:$I$89,5,0)</f>
        <v>4.5224624045658861E-14</v>
      </c>
      <c r="EL128" s="14">
        <f t="shared" si="99"/>
        <v>7.4514601661523691E-13</v>
      </c>
      <c r="EM128" s="22">
        <f t="shared" si="73"/>
        <v>1.3765621991510601E-12</v>
      </c>
      <c r="EN128" s="60">
        <f t="shared" si="74"/>
        <v>283.04861836896987</v>
      </c>
      <c r="EO128" s="60">
        <f ca="1">AVERAGE(OFFSET($EN$3,0,0,'Données projet'!$E$15+1,1))-AVERAGE(OFFSET($H$3,0,0,'Données projet'!$E$15+1,1))</f>
        <v>273.72403794510291</v>
      </c>
      <c r="EP128" s="60">
        <f t="shared" si="100"/>
        <v>292.00185554564109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5.6843418860808015E-14</v>
      </c>
      <c r="FF128" s="18">
        <f>FE128*VLOOKUP('Données projet'!$B$16,Paramètres!$A$1:$I$89,3,0)*VLOOKUP('Données projet'!$B$16,Paramètres!$A$1:$I$89,5,0)</f>
        <v>4.4337866711430253E-14</v>
      </c>
      <c r="FG128" s="14">
        <f t="shared" si="101"/>
        <v>7.3222115536967035E-13</v>
      </c>
      <c r="FH128" s="22">
        <f t="shared" si="76"/>
        <v>1.3525069634579169E-12</v>
      </c>
      <c r="FI128" s="60">
        <f t="shared" si="77"/>
        <v>283.04861836896987</v>
      </c>
      <c r="FJ128" s="60">
        <f ca="1">AVERAGE(OFFSET($FI$3,0,0,'Données projet'!$E$16+1,1))-AVERAGE(OFFSET($H$3,0,0,'Données projet'!$E$16+1,1))</f>
        <v>309.21625451786218</v>
      </c>
      <c r="FK128" s="60">
        <f t="shared" si="102"/>
        <v>302.59481222418219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>
        <f>FZ128*VLOOKUP('Données projet'!$B$17,Paramètres!$A$1:$I$89,3,0)*VLOOKUP('Données projet'!$B$17,Paramètres!$A$1:$I$89,5,0)</f>
        <v>0</v>
      </c>
      <c r="GB128" s="14" t="e">
        <f t="shared" si="103"/>
        <v>#NUM!</v>
      </c>
      <c r="GC128" s="22" t="e">
        <f t="shared" si="79"/>
        <v>#NUM!</v>
      </c>
      <c r="GD128" s="60" t="e">
        <f t="shared" si="80"/>
        <v>#NUM!</v>
      </c>
      <c r="GE128" s="60">
        <f ca="1">AVERAGE(OFFSET($GD$3,0,0,'Données projet'!$E$17+1,1))-AVERAGE(OFFSET($H$3,0,0,'Données projet'!$E$17+1,1))</f>
        <v>216.36762889365235</v>
      </c>
      <c r="GF128" s="60">
        <f t="shared" si="104"/>
        <v>333.29599352215496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2.0572294217108618</v>
      </c>
      <c r="GM128" s="23">
        <f>EXP(-LN(2)/25)*GM127+(1-EXP(-LN(2)/25))/(LN(2)/25)*Calculateur!GH128*Calculateur!GJ128*VLOOKUP('Données projet'!$B$17,Paramètres!$A$1:$I$89,3,0)*0.475*44/12</f>
        <v>0.69994596254022401</v>
      </c>
      <c r="GN128" s="23">
        <f>EXP(-LN(2)/2)*GN127+(1-EXP(-LN(2)/2))/(LN(2)/2)*GH128*GK128*VLOOKUP('Données projet'!$B$17,Paramètres!$A$1:$I$89,3,0)*0.475*44/12</f>
        <v>1.4693189993244042E-14</v>
      </c>
      <c r="GO128" s="23">
        <f t="shared" si="81"/>
        <v>2.7571753842511004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4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277.77983999999947</v>
      </c>
      <c r="P129" s="14">
        <f t="shared" si="87"/>
        <v>66.497608092453063</v>
      </c>
      <c r="Q129" s="22">
        <f t="shared" si="107"/>
        <v>599.61655542768813</v>
      </c>
      <c r="R129" s="60">
        <f t="shared" si="55"/>
        <v>882.84359060811039</v>
      </c>
      <c r="S129" s="60">
        <f ca="1">AVERAGE(OFFSET($R$3,0,0,'Données projet'!$E$9+1,1))-AVERAGE(OFFSET($H$3,0,0,'Données projet'!$E$9+1,1))</f>
        <v>496.33873798282525</v>
      </c>
      <c r="T129" s="60">
        <f t="shared" si="88"/>
        <v>280.25465074992246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3.4106051316484809E-13</v>
      </c>
      <c r="AJ129" s="14">
        <f>AI129*VLOOKUP('Données projet'!$B$10,Paramètres!$A$1:$I$89,3,0)*VLOOKUP('Données projet'!$B$10,Paramètres!$A$1:$I$89,5,0)</f>
        <v>1.5961632016114892E-13</v>
      </c>
      <c r="AK129" s="14">
        <f t="shared" si="89"/>
        <v>2.2708641912150958E-12</v>
      </c>
      <c r="AL129" s="22">
        <f t="shared" si="58"/>
        <v>4.2330868906469593E-12</v>
      </c>
      <c r="AM129" s="60">
        <f t="shared" si="59"/>
        <v>283.22703518042641</v>
      </c>
      <c r="AN129" s="60">
        <f ca="1">AVERAGE(OFFSET($AM$3,0,0,'Données projet'!$E$10+1,1))-AVERAGE(OFFSET($H$3,0,0,'Données projet'!$E$10+1,1))</f>
        <v>277.7918215389401</v>
      </c>
      <c r="AO129" s="60">
        <f t="shared" si="90"/>
        <v>164.65640238394164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-2.2737367544323206E-13</v>
      </c>
      <c r="BE129" s="14">
        <f>BD129*VLOOKUP('Données projet'!$B$11,Paramètres!$A$1:$I$89,3,0)*VLOOKUP('Données projet'!$B$11,Paramètres!$A$1:$I$89,5,0)</f>
        <v>-2.1636878955177963E-13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366.21371543563254</v>
      </c>
      <c r="BJ129" s="60">
        <f t="shared" si="92"/>
        <v>237.43356317334084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2.6282051282051269</v>
      </c>
      <c r="BY129" s="13">
        <f>IF('Données projet'!$A$114&gt;35,BY128+BX129-CG128,IF(A129&lt;'Données projet'!$A$114,$BV$205^A129,IF(A129='Données projet'!$A$114,'Données projet'!$B$114,BY128+BX129-CG128)))</f>
        <v>328.58974358974302</v>
      </c>
      <c r="BZ129" s="14">
        <f>BY129*VLOOKUP('Données projet'!$B$12,Paramètres!$A$1:$I$89,3,0)*VLOOKUP('Données projet'!$B$12,Paramètres!$A$1:$I$89,5,0)</f>
        <v>343.44199999999944</v>
      </c>
      <c r="CA129" s="14">
        <f t="shared" si="93"/>
        <v>80.210667988811437</v>
      </c>
      <c r="CB129" s="22">
        <f t="shared" si="64"/>
        <v>737.86173008051219</v>
      </c>
      <c r="CC129" s="60">
        <f t="shared" si="65"/>
        <v>1021.0887652609345</v>
      </c>
      <c r="CD129" s="60">
        <f ca="1">AVERAGE(OFFSET($CC$3,0,0,'Données projet'!$E$12+1,1))-AVERAGE(OFFSET($H$3,0,0,'Données projet'!$E$12+1,1))</f>
        <v>530.79860063513229</v>
      </c>
      <c r="CE129" s="60">
        <f t="shared" si="94"/>
        <v>302.50876440460434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259.85855999999944</v>
      </c>
      <c r="CV129" s="14">
        <f t="shared" si="95"/>
        <v>62.692227709138365</v>
      </c>
      <c r="CW129" s="22">
        <f t="shared" si="67"/>
        <v>561.77595526008167</v>
      </c>
      <c r="CX129" s="60">
        <f t="shared" si="68"/>
        <v>845.00299044050394</v>
      </c>
      <c r="CY129" s="60">
        <f ca="1">AVERAGE(OFFSET($CX$3,0,0,'Données projet'!$E$13+1,1))-AVERAGE(OFFSET($H$3,0,0,'Données projet'!$E$13+1,1))</f>
        <v>469.67944008675863</v>
      </c>
      <c r="CZ129" s="60">
        <f t="shared" si="96"/>
        <v>266.11908070867173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3.2</v>
      </c>
      <c r="DO129" s="13">
        <f>IF('Données projet'!$A$166&gt;35,DO128+DN129-DW128,IF(A129&lt;'Données projet'!$A$166,$DL$205^A129,IF(A129='Données projet'!$A$166,'Données projet'!$B$166,DO128+DN129-DW128)))</f>
        <v>287.19999999999942</v>
      </c>
      <c r="DP129" s="18">
        <f>DO129*VLOOKUP('Données projet'!$B$14,Paramètres!$A$1:$I$89,3,0)*VLOOKUP('Données projet'!$B$14,Paramètres!$A$1:$I$89,5,0)</f>
        <v>309.14207999999934</v>
      </c>
      <c r="DQ129" s="14">
        <f t="shared" si="97"/>
        <v>73.089633441733085</v>
      </c>
      <c r="DR129" s="22">
        <f t="shared" si="70"/>
        <v>665.72023424435065</v>
      </c>
      <c r="DS129" s="60">
        <f t="shared" si="71"/>
        <v>948.94726942477291</v>
      </c>
      <c r="DT129" s="60">
        <f ca="1">AVERAGE(OFFSET($DS$3,0,0,'Données projet'!$E$14+1,1))-AVERAGE(OFFSET($H$3,0,0,'Données projet'!$E$14+1,1))</f>
        <v>542.90832990875208</v>
      </c>
      <c r="DU129" s="60">
        <f t="shared" si="98"/>
        <v>304.94365539329362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5.6843418860808015E-14</v>
      </c>
      <c r="EK129" s="18">
        <f>EJ129*VLOOKUP('Données projet'!$B$15,Paramètres!$A$1:$I$89,3,0)*VLOOKUP('Données projet'!$B$15,Paramètres!$A$1:$I$89,5,0)</f>
        <v>4.5224624045658861E-14</v>
      </c>
      <c r="EL129" s="14">
        <f t="shared" si="99"/>
        <v>7.4514601661523691E-13</v>
      </c>
      <c r="EM129" s="22">
        <f t="shared" si="73"/>
        <v>1.3765621991510601E-12</v>
      </c>
      <c r="EN129" s="60">
        <f t="shared" si="74"/>
        <v>283.22703518042357</v>
      </c>
      <c r="EO129" s="60">
        <f ca="1">AVERAGE(OFFSET($EN$3,0,0,'Données projet'!$E$15+1,1))-AVERAGE(OFFSET($H$3,0,0,'Données projet'!$E$15+1,1))</f>
        <v>273.72403794510291</v>
      </c>
      <c r="EP129" s="60">
        <f t="shared" si="100"/>
        <v>292.00185554564109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5.6843418860808015E-14</v>
      </c>
      <c r="FF129" s="18">
        <f>FE129*VLOOKUP('Données projet'!$B$16,Paramètres!$A$1:$I$89,3,0)*VLOOKUP('Données projet'!$B$16,Paramètres!$A$1:$I$89,5,0)</f>
        <v>4.4337866711430253E-14</v>
      </c>
      <c r="FG129" s="14">
        <f t="shared" si="101"/>
        <v>7.3222115536967035E-13</v>
      </c>
      <c r="FH129" s="22">
        <f t="shared" si="76"/>
        <v>1.3525069634579169E-12</v>
      </c>
      <c r="FI129" s="60">
        <f t="shared" si="77"/>
        <v>283.22703518042357</v>
      </c>
      <c r="FJ129" s="60">
        <f ca="1">AVERAGE(OFFSET($FI$3,0,0,'Données projet'!$E$16+1,1))-AVERAGE(OFFSET($H$3,0,0,'Données projet'!$E$16+1,1))</f>
        <v>309.21625451786218</v>
      </c>
      <c r="FK129" s="60">
        <f t="shared" si="102"/>
        <v>302.59481222418219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>
        <f>FZ129*VLOOKUP('Données projet'!$B$17,Paramètres!$A$1:$I$89,3,0)*VLOOKUP('Données projet'!$B$17,Paramètres!$A$1:$I$89,5,0)</f>
        <v>0</v>
      </c>
      <c r="GB129" s="14" t="e">
        <f t="shared" si="103"/>
        <v>#NUM!</v>
      </c>
      <c r="GC129" s="22" t="e">
        <f t="shared" si="79"/>
        <v>#NUM!</v>
      </c>
      <c r="GD129" s="60" t="e">
        <f t="shared" si="80"/>
        <v>#NUM!</v>
      </c>
      <c r="GE129" s="60">
        <f ca="1">AVERAGE(OFFSET($GD$3,0,0,'Données projet'!$E$17+1,1))-AVERAGE(OFFSET($H$3,0,0,'Données projet'!$E$17+1,1))</f>
        <v>216.36762889365235</v>
      </c>
      <c r="GF129" s="60">
        <f t="shared" si="104"/>
        <v>333.29599352215496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2.0168884075371594</v>
      </c>
      <c r="GM129" s="23">
        <f>EXP(-LN(2)/25)*GM128+(1-EXP(-LN(2)/25))/(LN(2)/25)*Calculateur!GH129*Calculateur!GJ129*VLOOKUP('Données projet'!$B$17,Paramètres!$A$1:$I$89,3,0)*0.475*44/12</f>
        <v>0.68080590338600311</v>
      </c>
      <c r="GN129" s="23">
        <f>EXP(-LN(2)/2)*GN128+(1-EXP(-LN(2)/2))/(LN(2)/2)*GH129*GK129*VLOOKUP('Données projet'!$B$17,Paramètres!$A$1:$I$89,3,0)*0.475*44/12</f>
        <v>1.0389654281485185E-14</v>
      </c>
      <c r="GO129" s="23">
        <f t="shared" si="81"/>
        <v>2.6976943109231728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4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280.87487999999945</v>
      </c>
      <c r="P130" s="14">
        <f t="shared" si="87"/>
        <v>67.151862592195727</v>
      </c>
      <c r="Q130" s="22">
        <f t="shared" si="107"/>
        <v>606.1465766814066</v>
      </c>
      <c r="R130" s="60">
        <f t="shared" si="55"/>
        <v>889.54893354048409</v>
      </c>
      <c r="S130" s="60">
        <f ca="1">AVERAGE(OFFSET($R$3,0,0,'Données projet'!$E$9+1,1))-AVERAGE(OFFSET($H$3,0,0,'Données projet'!$E$9+1,1))</f>
        <v>496.33873798282525</v>
      </c>
      <c r="T130" s="60">
        <f t="shared" si="88"/>
        <v>280.25465074992246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3.4106051316484809E-13</v>
      </c>
      <c r="AJ130" s="14">
        <f>AI130*VLOOKUP('Données projet'!$B$10,Paramètres!$A$1:$I$89,3,0)*VLOOKUP('Données projet'!$B$10,Paramètres!$A$1:$I$89,5,0)</f>
        <v>1.5961632016114892E-13</v>
      </c>
      <c r="AK130" s="14">
        <f t="shared" si="89"/>
        <v>2.2708641912150958E-12</v>
      </c>
      <c r="AL130" s="22">
        <f t="shared" si="58"/>
        <v>4.2330868906469593E-12</v>
      </c>
      <c r="AM130" s="60">
        <f t="shared" si="59"/>
        <v>283.40235685908164</v>
      </c>
      <c r="AN130" s="60">
        <f ca="1">AVERAGE(OFFSET($AM$3,0,0,'Données projet'!$E$10+1,1))-AVERAGE(OFFSET($H$3,0,0,'Données projet'!$E$10+1,1))</f>
        <v>277.7918215389401</v>
      </c>
      <c r="AO130" s="60">
        <f t="shared" si="90"/>
        <v>164.65640238394164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-2.2737367544323206E-13</v>
      </c>
      <c r="BE130" s="14">
        <f>BD130*VLOOKUP('Données projet'!$B$11,Paramètres!$A$1:$I$89,3,0)*VLOOKUP('Données projet'!$B$11,Paramètres!$A$1:$I$89,5,0)</f>
        <v>-2.1636878955177963E-13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366.21371543563254</v>
      </c>
      <c r="BJ130" s="60">
        <f t="shared" si="92"/>
        <v>237.43356317334084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2.6282051282051269</v>
      </c>
      <c r="BY130" s="13">
        <f>IF('Données projet'!$A$114&gt;35,BY129+BX130-CG129,IF(A130&lt;'Données projet'!$A$114,$BV$205^A130,IF(A130='Données projet'!$A$114,'Données projet'!$B$114,BY129+BX130-CG129)))</f>
        <v>331.21794871794816</v>
      </c>
      <c r="BZ130" s="14">
        <f>BY130*VLOOKUP('Données projet'!$B$12,Paramètres!$A$1:$I$89,3,0)*VLOOKUP('Données projet'!$B$12,Paramètres!$A$1:$I$89,5,0)</f>
        <v>346.18899999999945</v>
      </c>
      <c r="CA130" s="14">
        <f t="shared" si="93"/>
        <v>80.77728744058544</v>
      </c>
      <c r="CB130" s="22">
        <f t="shared" si="64"/>
        <v>743.63295062568523</v>
      </c>
      <c r="CC130" s="60">
        <f t="shared" si="65"/>
        <v>1027.0353074847626</v>
      </c>
      <c r="CD130" s="60">
        <f ca="1">AVERAGE(OFFSET($CC$3,0,0,'Données projet'!$E$12+1,1))-AVERAGE(OFFSET($H$3,0,0,'Données projet'!$E$12+1,1))</f>
        <v>530.79860063513229</v>
      </c>
      <c r="CE130" s="60">
        <f t="shared" si="94"/>
        <v>302.50876440460434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262.75391999999948</v>
      </c>
      <c r="CV130" s="14">
        <f t="shared" si="95"/>
        <v>63.309041956360211</v>
      </c>
      <c r="CW130" s="22">
        <f t="shared" si="67"/>
        <v>567.89299207399313</v>
      </c>
      <c r="CX130" s="60">
        <f t="shared" si="68"/>
        <v>851.2953489330705</v>
      </c>
      <c r="CY130" s="60">
        <f ca="1">AVERAGE(OFFSET($CX$3,0,0,'Données projet'!$E$13+1,1))-AVERAGE(OFFSET($H$3,0,0,'Données projet'!$E$13+1,1))</f>
        <v>469.67944008675863</v>
      </c>
      <c r="CZ130" s="60">
        <f t="shared" si="96"/>
        <v>266.11908070867173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3.2</v>
      </c>
      <c r="DO130" s="13">
        <f>IF('Données projet'!$A$166&gt;35,DO129+DN130-DW129,IF(A130&lt;'Données projet'!$A$166,$DL$205^A130,IF(A130='Données projet'!$A$166,'Données projet'!$B$166,DO129+DN130-DW129)))</f>
        <v>290.39999999999941</v>
      </c>
      <c r="DP130" s="18">
        <f>DO130*VLOOKUP('Données projet'!$B$14,Paramètres!$A$1:$I$89,3,0)*VLOOKUP('Données projet'!$B$14,Paramètres!$A$1:$I$89,5,0)</f>
        <v>312.58655999999934</v>
      </c>
      <c r="DQ130" s="14">
        <f t="shared" si="97"/>
        <v>73.808745345687839</v>
      </c>
      <c r="DR130" s="22">
        <f t="shared" si="70"/>
        <v>672.97182347707178</v>
      </c>
      <c r="DS130" s="60">
        <f t="shared" si="71"/>
        <v>956.37418033614927</v>
      </c>
      <c r="DT130" s="60">
        <f ca="1">AVERAGE(OFFSET($DS$3,0,0,'Données projet'!$E$14+1,1))-AVERAGE(OFFSET($H$3,0,0,'Données projet'!$E$14+1,1))</f>
        <v>542.90832990875208</v>
      </c>
      <c r="DU130" s="60">
        <f t="shared" si="98"/>
        <v>304.94365539329362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5.6843418860808015E-14</v>
      </c>
      <c r="EK130" s="18">
        <f>EJ130*VLOOKUP('Données projet'!$B$15,Paramètres!$A$1:$I$89,3,0)*VLOOKUP('Données projet'!$B$15,Paramètres!$A$1:$I$89,5,0)</f>
        <v>4.5224624045658861E-14</v>
      </c>
      <c r="EL130" s="14">
        <f t="shared" si="99"/>
        <v>7.4514601661523691E-13</v>
      </c>
      <c r="EM130" s="22">
        <f t="shared" si="73"/>
        <v>1.3765621991510601E-12</v>
      </c>
      <c r="EN130" s="60">
        <f t="shared" si="74"/>
        <v>283.40235685907879</v>
      </c>
      <c r="EO130" s="60">
        <f ca="1">AVERAGE(OFFSET($EN$3,0,0,'Données projet'!$E$15+1,1))-AVERAGE(OFFSET($H$3,0,0,'Données projet'!$E$15+1,1))</f>
        <v>273.72403794510291</v>
      </c>
      <c r="EP130" s="60">
        <f t="shared" si="100"/>
        <v>292.00185554564109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5.6843418860808015E-14</v>
      </c>
      <c r="FF130" s="18">
        <f>FE130*VLOOKUP('Données projet'!$B$16,Paramètres!$A$1:$I$89,3,0)*VLOOKUP('Données projet'!$B$16,Paramètres!$A$1:$I$89,5,0)</f>
        <v>4.4337866711430253E-14</v>
      </c>
      <c r="FG130" s="14">
        <f t="shared" si="101"/>
        <v>7.3222115536967035E-13</v>
      </c>
      <c r="FH130" s="22">
        <f t="shared" si="76"/>
        <v>1.3525069634579169E-12</v>
      </c>
      <c r="FI130" s="60">
        <f t="shared" si="77"/>
        <v>283.40235685907879</v>
      </c>
      <c r="FJ130" s="60">
        <f ca="1">AVERAGE(OFFSET($FI$3,0,0,'Données projet'!$E$16+1,1))-AVERAGE(OFFSET($H$3,0,0,'Données projet'!$E$16+1,1))</f>
        <v>309.21625451786218</v>
      </c>
      <c r="FK130" s="60">
        <f t="shared" si="102"/>
        <v>302.59481222418219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>
        <f>FZ130*VLOOKUP('Données projet'!$B$17,Paramètres!$A$1:$I$89,3,0)*VLOOKUP('Données projet'!$B$17,Paramètres!$A$1:$I$89,5,0)</f>
        <v>0</v>
      </c>
      <c r="GB130" s="14" t="e">
        <f t="shared" si="103"/>
        <v>#NUM!</v>
      </c>
      <c r="GC130" s="22" t="e">
        <f t="shared" si="79"/>
        <v>#NUM!</v>
      </c>
      <c r="GD130" s="60" t="e">
        <f t="shared" si="80"/>
        <v>#NUM!</v>
      </c>
      <c r="GE130" s="60">
        <f ca="1">AVERAGE(OFFSET($GD$3,0,0,'Données projet'!$E$17+1,1))-AVERAGE(OFFSET($H$3,0,0,'Données projet'!$E$17+1,1))</f>
        <v>216.36762889365235</v>
      </c>
      <c r="GF130" s="60">
        <f t="shared" si="104"/>
        <v>333.29599352215496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1.977338456045814</v>
      </c>
      <c r="GM130" s="23">
        <f>EXP(-LN(2)/25)*GM129+(1-EXP(-LN(2)/25))/(LN(2)/25)*Calculateur!GH130*Calculateur!GJ130*VLOOKUP('Données projet'!$B$17,Paramètres!$A$1:$I$89,3,0)*0.475*44/12</f>
        <v>0.66218923015588638</v>
      </c>
      <c r="GN130" s="23">
        <f>EXP(-LN(2)/2)*GN129+(1-EXP(-LN(2)/2))/(LN(2)/2)*GH130*GK130*VLOOKUP('Données projet'!$B$17,Paramètres!$A$1:$I$89,3,0)*0.475*44/12</f>
        <v>7.3465949966220211E-15</v>
      </c>
      <c r="GO130" s="23">
        <f t="shared" si="81"/>
        <v>2.6395276862017081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4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283.96991999999943</v>
      </c>
      <c r="P131" s="14">
        <f t="shared" si="87"/>
        <v>67.805278435922148</v>
      </c>
      <c r="Q131" s="22">
        <f t="shared" ref="Q131:Q153" si="108">(O131+P131)*0.475*44/12</f>
        <v>612.67513727589676</v>
      </c>
      <c r="R131" s="60">
        <f t="shared" ref="R131:R194" si="109">Q131+(I131+J131)*44/12</f>
        <v>896.24977437446523</v>
      </c>
      <c r="S131" s="60">
        <f ca="1">AVERAGE(OFFSET($R$3,0,0,'Données projet'!$E$9+1,1))-AVERAGE(OFFSET($H$3,0,0,'Données projet'!$E$9+1,1))</f>
        <v>496.33873798282525</v>
      </c>
      <c r="T131" s="60">
        <f t="shared" si="88"/>
        <v>280.25465074992246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3.4106051316484809E-13</v>
      </c>
      <c r="AJ131" s="14">
        <f>AI131*VLOOKUP('Données projet'!$B$10,Paramètres!$A$1:$I$89,3,0)*VLOOKUP('Données projet'!$B$10,Paramètres!$A$1:$I$89,5,0)</f>
        <v>1.5961632016114892E-13</v>
      </c>
      <c r="AK131" s="14">
        <f t="shared" si="89"/>
        <v>2.2708641912150958E-12</v>
      </c>
      <c r="AL131" s="22">
        <f t="shared" si="58"/>
        <v>4.2330868906469593E-12</v>
      </c>
      <c r="AM131" s="60">
        <f t="shared" si="59"/>
        <v>283.57463709857274</v>
      </c>
      <c r="AN131" s="60">
        <f ca="1">AVERAGE(OFFSET($AM$3,0,0,'Données projet'!$E$10+1,1))-AVERAGE(OFFSET($H$3,0,0,'Données projet'!$E$10+1,1))</f>
        <v>277.7918215389401</v>
      </c>
      <c r="AO131" s="60">
        <f t="shared" si="90"/>
        <v>164.65640238394164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-2.2737367544323206E-13</v>
      </c>
      <c r="BE131" s="14">
        <f>BD131*VLOOKUP('Données projet'!$B$11,Paramètres!$A$1:$I$89,3,0)*VLOOKUP('Données projet'!$B$11,Paramètres!$A$1:$I$89,5,0)</f>
        <v>-2.1636878955177963E-13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366.21371543563254</v>
      </c>
      <c r="BJ131" s="60">
        <f t="shared" si="92"/>
        <v>237.43356317334084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2.6282051282051269</v>
      </c>
      <c r="BY131" s="13">
        <f>IF('Données projet'!$A$114&gt;35,BY130+BX131-CG130,IF(A131&lt;'Données projet'!$A$114,$BV$205^A131,IF(A131='Données projet'!$A$114,'Données projet'!$B$114,BY130+BX131-CG130)))</f>
        <v>333.8461538461533</v>
      </c>
      <c r="BZ131" s="14">
        <f>BY131*VLOOKUP('Données projet'!$B$12,Paramètres!$A$1:$I$89,3,0)*VLOOKUP('Données projet'!$B$12,Paramètres!$A$1:$I$89,5,0)</f>
        <v>348.93599999999947</v>
      </c>
      <c r="CA131" s="14">
        <f t="shared" si="93"/>
        <v>81.343383781028564</v>
      </c>
      <c r="CB131" s="22">
        <f t="shared" si="64"/>
        <v>749.40326008529053</v>
      </c>
      <c r="CC131" s="60">
        <f t="shared" si="65"/>
        <v>1032.9778971838591</v>
      </c>
      <c r="CD131" s="60">
        <f ca="1">AVERAGE(OFFSET($CC$3,0,0,'Données projet'!$E$12+1,1))-AVERAGE(OFFSET($H$3,0,0,'Données projet'!$E$12+1,1))</f>
        <v>530.79860063513229</v>
      </c>
      <c r="CE131" s="60">
        <f t="shared" si="94"/>
        <v>302.50876440460434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265.64927999999946</v>
      </c>
      <c r="CV131" s="14">
        <f t="shared" si="95"/>
        <v>63.925065540346907</v>
      </c>
      <c r="CW131" s="22">
        <f t="shared" si="67"/>
        <v>574.00865181610322</v>
      </c>
      <c r="CX131" s="60">
        <f t="shared" si="68"/>
        <v>857.58328891467181</v>
      </c>
      <c r="CY131" s="60">
        <f ca="1">AVERAGE(OFFSET($CX$3,0,0,'Données projet'!$E$13+1,1))-AVERAGE(OFFSET($H$3,0,0,'Données projet'!$E$13+1,1))</f>
        <v>469.67944008675863</v>
      </c>
      <c r="CZ131" s="60">
        <f t="shared" si="96"/>
        <v>266.11908070867173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3.2</v>
      </c>
      <c r="DO131" s="13">
        <f>IF('Données projet'!$A$166&gt;35,DO130+DN131-DW130,IF(A131&lt;'Données projet'!$A$166,$DL$205^A131,IF(A131='Données projet'!$A$166,'Données projet'!$B$166,DO130+DN131-DW130)))</f>
        <v>293.5999999999994</v>
      </c>
      <c r="DP131" s="18">
        <f>DO131*VLOOKUP('Données projet'!$B$14,Paramètres!$A$1:$I$89,3,0)*VLOOKUP('Données projet'!$B$14,Paramètres!$A$1:$I$89,5,0)</f>
        <v>316.03103999999934</v>
      </c>
      <c r="DQ131" s="14">
        <f t="shared" si="97"/>
        <v>74.526935456174002</v>
      </c>
      <c r="DR131" s="22">
        <f t="shared" si="70"/>
        <v>680.22180725283522</v>
      </c>
      <c r="DS131" s="60">
        <f t="shared" si="71"/>
        <v>963.79644435140381</v>
      </c>
      <c r="DT131" s="60">
        <f ca="1">AVERAGE(OFFSET($DS$3,0,0,'Données projet'!$E$14+1,1))-AVERAGE(OFFSET($H$3,0,0,'Données projet'!$E$14+1,1))</f>
        <v>542.90832990875208</v>
      </c>
      <c r="DU131" s="60">
        <f t="shared" si="98"/>
        <v>304.94365539329362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5.6843418860808015E-14</v>
      </c>
      <c r="EK131" s="18">
        <f>EJ131*VLOOKUP('Données projet'!$B$15,Paramètres!$A$1:$I$89,3,0)*VLOOKUP('Données projet'!$B$15,Paramètres!$A$1:$I$89,5,0)</f>
        <v>4.5224624045658861E-14</v>
      </c>
      <c r="EL131" s="14">
        <f t="shared" si="99"/>
        <v>7.4514601661523691E-13</v>
      </c>
      <c r="EM131" s="22">
        <f t="shared" si="73"/>
        <v>1.3765621991510601E-12</v>
      </c>
      <c r="EN131" s="60">
        <f t="shared" si="74"/>
        <v>283.57463709856989</v>
      </c>
      <c r="EO131" s="60">
        <f ca="1">AVERAGE(OFFSET($EN$3,0,0,'Données projet'!$E$15+1,1))-AVERAGE(OFFSET($H$3,0,0,'Données projet'!$E$15+1,1))</f>
        <v>273.72403794510291</v>
      </c>
      <c r="EP131" s="60">
        <f t="shared" si="100"/>
        <v>292.00185554564109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5.6843418860808015E-14</v>
      </c>
      <c r="FF131" s="18">
        <f>FE131*VLOOKUP('Données projet'!$B$16,Paramètres!$A$1:$I$89,3,0)*VLOOKUP('Données projet'!$B$16,Paramètres!$A$1:$I$89,5,0)</f>
        <v>4.4337866711430253E-14</v>
      </c>
      <c r="FG131" s="14">
        <f t="shared" si="101"/>
        <v>7.3222115536967035E-13</v>
      </c>
      <c r="FH131" s="22">
        <f t="shared" si="76"/>
        <v>1.3525069634579169E-12</v>
      </c>
      <c r="FI131" s="60">
        <f t="shared" si="77"/>
        <v>283.57463709856989</v>
      </c>
      <c r="FJ131" s="60">
        <f ca="1">AVERAGE(OFFSET($FI$3,0,0,'Données projet'!$E$16+1,1))-AVERAGE(OFFSET($H$3,0,0,'Données projet'!$E$16+1,1))</f>
        <v>309.21625451786218</v>
      </c>
      <c r="FK131" s="60">
        <f t="shared" si="102"/>
        <v>302.59481222418219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>
        <f>FZ131*VLOOKUP('Données projet'!$B$17,Paramètres!$A$1:$I$89,3,0)*VLOOKUP('Données projet'!$B$17,Paramètres!$A$1:$I$89,5,0)</f>
        <v>0</v>
      </c>
      <c r="GB131" s="14" t="e">
        <f t="shared" si="103"/>
        <v>#NUM!</v>
      </c>
      <c r="GC131" s="22" t="e">
        <f t="shared" si="79"/>
        <v>#NUM!</v>
      </c>
      <c r="GD131" s="60" t="e">
        <f t="shared" si="80"/>
        <v>#NUM!</v>
      </c>
      <c r="GE131" s="60">
        <f ca="1">AVERAGE(OFFSET($GD$3,0,0,'Données projet'!$E$17+1,1))-AVERAGE(OFFSET($H$3,0,0,'Données projet'!$E$17+1,1))</f>
        <v>216.36762889365235</v>
      </c>
      <c r="GF131" s="60">
        <f t="shared" si="104"/>
        <v>333.29599352215496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1.9385640549801255</v>
      </c>
      <c r="GM131" s="23">
        <f>EXP(-LN(2)/25)*GM130+(1-EXP(-LN(2)/25))/(LN(2)/25)*Calculateur!GH131*Calculateur!GJ131*VLOOKUP('Données projet'!$B$17,Paramètres!$A$1:$I$89,3,0)*0.475*44/12</f>
        <v>0.64408163083425551</v>
      </c>
      <c r="GN131" s="23">
        <f>EXP(-LN(2)/2)*GN130+(1-EXP(-LN(2)/2))/(LN(2)/2)*GH131*GK131*VLOOKUP('Données projet'!$B$17,Paramètres!$A$1:$I$89,3,0)*0.475*44/12</f>
        <v>5.1948271407425924E-15</v>
      </c>
      <c r="GO131" s="23">
        <f t="shared" si="81"/>
        <v>2.5826456858143865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4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287.06495999999942</v>
      </c>
      <c r="P132" s="14">
        <f t="shared" si="87"/>
        <v>68.457865822206202</v>
      </c>
      <c r="Q132" s="22">
        <f t="shared" si="108"/>
        <v>619.20225497367471</v>
      </c>
      <c r="R132" s="60">
        <f t="shared" si="109"/>
        <v>902.94618363474001</v>
      </c>
      <c r="S132" s="60">
        <f ca="1">AVERAGE(OFFSET($R$3,0,0,'Données projet'!$E$9+1,1))-AVERAGE(OFFSET($H$3,0,0,'Données projet'!$E$9+1,1))</f>
        <v>496.33873798282525</v>
      </c>
      <c r="T132" s="60">
        <f t="shared" si="88"/>
        <v>280.25465074992246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3.4106051316484809E-13</v>
      </c>
      <c r="AJ132" s="14">
        <f>AI132*VLOOKUP('Données projet'!$B$10,Paramètres!$A$1:$I$89,3,0)*VLOOKUP('Données projet'!$B$10,Paramètres!$A$1:$I$89,5,0)</f>
        <v>1.5961632016114892E-13</v>
      </c>
      <c r="AK132" s="14">
        <f t="shared" si="89"/>
        <v>2.2708641912150958E-12</v>
      </c>
      <c r="AL132" s="22">
        <f t="shared" ref="AL132:AL153" si="112">(AJ132+AK132)*0.475*44/12</f>
        <v>4.2330868906469593E-12</v>
      </c>
      <c r="AM132" s="60">
        <f t="shared" ref="AM132:AM195" si="113">AL132+(AD132+AE132)*44/12</f>
        <v>283.74392866106956</v>
      </c>
      <c r="AN132" s="60">
        <f ca="1">AVERAGE(OFFSET($AM$3,0,0,'Données projet'!$E$10+1,1))-AVERAGE(OFFSET($H$3,0,0,'Données projet'!$E$10+1,1))</f>
        <v>277.7918215389401</v>
      </c>
      <c r="AO132" s="60">
        <f t="shared" si="90"/>
        <v>164.65640238394164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-2.2737367544323206E-13</v>
      </c>
      <c r="BE132" s="14">
        <f>BD132*VLOOKUP('Données projet'!$B$11,Paramètres!$A$1:$I$89,3,0)*VLOOKUP('Données projet'!$B$11,Paramètres!$A$1:$I$89,5,0)</f>
        <v>-2.1636878955177963E-13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366.21371543563254</v>
      </c>
      <c r="BJ132" s="60">
        <f t="shared" si="92"/>
        <v>237.43356317334084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2.6282051282051269</v>
      </c>
      <c r="BY132" s="13">
        <f>IF('Données projet'!$A$114&gt;35,BY131+BX132-CG131,IF(A132&lt;'Données projet'!$A$114,$BV$205^A132,IF(A132='Données projet'!$A$114,'Données projet'!$B$114,BY131+BX132-CG131)))</f>
        <v>336.47435897435844</v>
      </c>
      <c r="BZ132" s="14">
        <f>BY132*VLOOKUP('Données projet'!$B$12,Paramètres!$A$1:$I$89,3,0)*VLOOKUP('Données projet'!$B$12,Paramètres!$A$1:$I$89,5,0)</f>
        <v>351.68299999999948</v>
      </c>
      <c r="CA132" s="14">
        <f t="shared" si="93"/>
        <v>81.908961605684084</v>
      </c>
      <c r="CB132" s="22">
        <f t="shared" ref="CB132:CB153" si="118">(BZ132+CA132)*0.475*44/12</f>
        <v>755.17266646323208</v>
      </c>
      <c r="CC132" s="60">
        <f t="shared" ref="CC132:CC195" si="119">CB132+(BT132+BU132)*44/12</f>
        <v>1038.9165951242974</v>
      </c>
      <c r="CD132" s="60">
        <f ca="1">AVERAGE(OFFSET($CC$3,0,0,'Données projet'!$E$12+1,1))-AVERAGE(OFFSET($H$3,0,0,'Données projet'!$E$12+1,1))</f>
        <v>530.79860063513229</v>
      </c>
      <c r="CE132" s="60">
        <f t="shared" si="94"/>
        <v>302.50876440460434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268.54463999999945</v>
      </c>
      <c r="CV132" s="14">
        <f t="shared" si="95"/>
        <v>64.540308076050593</v>
      </c>
      <c r="CW132" s="22">
        <f t="shared" ref="CW132:CW153" si="121">(CU132+CV132)*0.475*44/12</f>
        <v>580.12295123245383</v>
      </c>
      <c r="CX132" s="60">
        <f t="shared" ref="CX132:CX195" si="122">CW132+(CO132+CP132)*44/12</f>
        <v>863.86687989351913</v>
      </c>
      <c r="CY132" s="60">
        <f ca="1">AVERAGE(OFFSET($CX$3,0,0,'Données projet'!$E$13+1,1))-AVERAGE(OFFSET($H$3,0,0,'Données projet'!$E$13+1,1))</f>
        <v>469.67944008675863</v>
      </c>
      <c r="CZ132" s="60">
        <f t="shared" si="96"/>
        <v>266.11908070867173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3.2</v>
      </c>
      <c r="DO132" s="13">
        <f>IF('Données projet'!$A$166&gt;35,DO131+DN132-DW131,IF(A132&lt;'Données projet'!$A$166,$DL$205^A132,IF(A132='Données projet'!$A$166,'Données projet'!$B$166,DO131+DN132-DW131)))</f>
        <v>296.79999999999939</v>
      </c>
      <c r="DP132" s="18">
        <f>DO132*VLOOKUP('Données projet'!$B$14,Paramètres!$A$1:$I$89,3,0)*VLOOKUP('Données projet'!$B$14,Paramètres!$A$1:$I$89,5,0)</f>
        <v>319.47551999999928</v>
      </c>
      <c r="DQ132" s="14">
        <f t="shared" si="97"/>
        <v>75.244214982768113</v>
      </c>
      <c r="DR132" s="22">
        <f t="shared" ref="DR132:DR153" si="124">(DP132+DQ132)*0.475*44/12</f>
        <v>687.47020509498645</v>
      </c>
      <c r="DS132" s="60">
        <f t="shared" ref="DS132:DS195" si="125">DR132+(DJ132+DK132)*44/12</f>
        <v>971.21413375605175</v>
      </c>
      <c r="DT132" s="60">
        <f ca="1">AVERAGE(OFFSET($DS$3,0,0,'Données projet'!$E$14+1,1))-AVERAGE(OFFSET($H$3,0,0,'Données projet'!$E$14+1,1))</f>
        <v>542.90832990875208</v>
      </c>
      <c r="DU132" s="60">
        <f t="shared" si="98"/>
        <v>304.94365539329362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5.6843418860808015E-14</v>
      </c>
      <c r="EK132" s="18">
        <f>EJ132*VLOOKUP('Données projet'!$B$15,Paramètres!$A$1:$I$89,3,0)*VLOOKUP('Données projet'!$B$15,Paramètres!$A$1:$I$89,5,0)</f>
        <v>4.5224624045658861E-14</v>
      </c>
      <c r="EL132" s="14">
        <f t="shared" si="99"/>
        <v>7.4514601661523691E-13</v>
      </c>
      <c r="EM132" s="22">
        <f t="shared" ref="EM132:EM153" si="127">(EK132+EL132)*0.475*44/12</f>
        <v>1.3765621991510601E-12</v>
      </c>
      <c r="EN132" s="60">
        <f t="shared" ref="EN132:EN195" si="128">EM132+(EE132+EF132)*44/12</f>
        <v>283.74392866106672</v>
      </c>
      <c r="EO132" s="60">
        <f ca="1">AVERAGE(OFFSET($EN$3,0,0,'Données projet'!$E$15+1,1))-AVERAGE(OFFSET($H$3,0,0,'Données projet'!$E$15+1,1))</f>
        <v>273.72403794510291</v>
      </c>
      <c r="EP132" s="60">
        <f t="shared" si="100"/>
        <v>292.00185554564109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5.6843418860808015E-14</v>
      </c>
      <c r="FF132" s="18">
        <f>FE132*VLOOKUP('Données projet'!$B$16,Paramètres!$A$1:$I$89,3,0)*VLOOKUP('Données projet'!$B$16,Paramètres!$A$1:$I$89,5,0)</f>
        <v>4.4337866711430253E-14</v>
      </c>
      <c r="FG132" s="14">
        <f t="shared" si="101"/>
        <v>7.3222115536967035E-13</v>
      </c>
      <c r="FH132" s="22">
        <f t="shared" ref="FH132:FH153" si="130">(FF132+FG132)*0.475*44/12</f>
        <v>1.3525069634579169E-12</v>
      </c>
      <c r="FI132" s="60">
        <f t="shared" ref="FI132:FI195" si="131">FH132+(EZ132+FA132)*44/12</f>
        <v>283.74392866106672</v>
      </c>
      <c r="FJ132" s="60">
        <f ca="1">AVERAGE(OFFSET($FI$3,0,0,'Données projet'!$E$16+1,1))-AVERAGE(OFFSET($H$3,0,0,'Données projet'!$E$16+1,1))</f>
        <v>309.21625451786218</v>
      </c>
      <c r="FK132" s="60">
        <f t="shared" si="102"/>
        <v>302.59481222418219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>
        <f>FZ132*VLOOKUP('Données projet'!$B$17,Paramètres!$A$1:$I$89,3,0)*VLOOKUP('Données projet'!$B$17,Paramètres!$A$1:$I$89,5,0)</f>
        <v>0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0" t="e">
        <f t="shared" ref="GD132:GD195" si="134">GC132+(FU132+FV132)*44/12</f>
        <v>#NUM!</v>
      </c>
      <c r="GE132" s="60">
        <f ca="1">AVERAGE(OFFSET($GD$3,0,0,'Données projet'!$E$17+1,1))-AVERAGE(OFFSET($H$3,0,0,'Données projet'!$E$17+1,1))</f>
        <v>216.36762889365235</v>
      </c>
      <c r="GF132" s="60">
        <f t="shared" si="104"/>
        <v>333.29599352215496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1.9005499962692858</v>
      </c>
      <c r="GM132" s="23">
        <f>EXP(-LN(2)/25)*GM131+(1-EXP(-LN(2)/25))/(LN(2)/25)*Calculateur!GH132*Calculateur!GJ132*VLOOKUP('Données projet'!$B$17,Paramètres!$A$1:$I$89,3,0)*0.475*44/12</f>
        <v>0.62646918476831193</v>
      </c>
      <c r="GN132" s="23">
        <f>EXP(-LN(2)/2)*GN131+(1-EXP(-LN(2)/2))/(LN(2)/2)*GH132*GK132*VLOOKUP('Données projet'!$B$17,Paramètres!$A$1:$I$89,3,0)*0.475*44/12</f>
        <v>3.6732974983110106E-15</v>
      </c>
      <c r="GO132" s="23">
        <f t="shared" ref="GO132:GO153" si="135">SUM(GL132:GN132)</f>
        <v>2.527019181037601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4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290.1599999999994</v>
      </c>
      <c r="P133" s="14">
        <f t="shared" ref="P133:P196" si="141">EXP(-1.0587+0.8836*LN(O133)+0.284)</f>
        <v>69.10963471703981</v>
      </c>
      <c r="Q133" s="22">
        <f t="shared" si="108"/>
        <v>625.72794713217661</v>
      </c>
      <c r="R133" s="60">
        <f t="shared" si="109"/>
        <v>909.63823052560872</v>
      </c>
      <c r="S133" s="60">
        <f ca="1">AVERAGE(OFFSET($R$3,0,0,'Données projet'!$E$9+1,1))-AVERAGE(OFFSET($H$3,0,0,'Données projet'!$E$9+1,1))</f>
        <v>496.33873798282525</v>
      </c>
      <c r="T133" s="60">
        <f t="shared" ref="T133:T196" si="142">$T$3</f>
        <v>280.25465074992246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3.4106051316484809E-13</v>
      </c>
      <c r="AJ133" s="14">
        <f>AI133*VLOOKUP('Données projet'!$B$10,Paramètres!$A$1:$I$89,3,0)*VLOOKUP('Données projet'!$B$10,Paramètres!$A$1:$I$89,5,0)</f>
        <v>1.5961632016114892E-13</v>
      </c>
      <c r="AK133" s="14">
        <f t="shared" ref="AK133:AK153" si="143">EXP(-1.0587+0.8836*LN(AJ133)+0.284)</f>
        <v>2.2708641912150958E-12</v>
      </c>
      <c r="AL133" s="22">
        <f t="shared" si="112"/>
        <v>4.2330868906469593E-12</v>
      </c>
      <c r="AM133" s="60">
        <f t="shared" si="113"/>
        <v>283.91028339343632</v>
      </c>
      <c r="AN133" s="60">
        <f ca="1">AVERAGE(OFFSET($AM$3,0,0,'Données projet'!$E$10+1,1))-AVERAGE(OFFSET($H$3,0,0,'Données projet'!$E$10+1,1))</f>
        <v>277.7918215389401</v>
      </c>
      <c r="AO133" s="60">
        <f t="shared" ref="AO133:AO196" si="144">$AO$3</f>
        <v>164.65640238394164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-2.2737367544323206E-13</v>
      </c>
      <c r="BE133" s="14">
        <f>BD133*VLOOKUP('Données projet'!$B$11,Paramètres!$A$1:$I$89,3,0)*VLOOKUP('Données projet'!$B$11,Paramètres!$A$1:$I$89,5,0)</f>
        <v>-2.1636878955177963E-13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366.21371543563254</v>
      </c>
      <c r="BJ133" s="60">
        <f t="shared" ref="BJ133:BJ196" si="146">$BJ$3</f>
        <v>237.43356317334084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339.10256410256409</v>
      </c>
      <c r="BW133" s="13">
        <f>VLOOKUP(A133,'Données projet'!$A$113:$I$133,9,0)</f>
        <v>2.6282051282051269</v>
      </c>
      <c r="BX133" s="13">
        <f t="array" ref="BX133">INDEX(BW:BW,MIN(IF(ISNUMBER(BW133:BW329),ROW(BW133:BW329),"")))</f>
        <v>2.6282051282051269</v>
      </c>
      <c r="BY133" s="13">
        <f>IF('Données projet'!$A$114&gt;35,BY132+BX133-CG132,IF(A133&lt;'Données projet'!$A$114,$BV$205^A133,IF(A133='Données projet'!$A$114,'Données projet'!$B$114,BY132+BX133-CG132)))</f>
        <v>339.10256410256358</v>
      </c>
      <c r="BZ133" s="14">
        <f>BY133*VLOOKUP('Données projet'!$B$12,Paramètres!$A$1:$I$89,3,0)*VLOOKUP('Données projet'!$B$12,Paramètres!$A$1:$I$89,5,0)</f>
        <v>354.4299999999995</v>
      </c>
      <c r="CA133" s="14">
        <f t="shared" ref="CA133:CA153" si="147">EXP(-1.0587+0.8836*LN(BZ133)+0.284)</f>
        <v>82.474025434157767</v>
      </c>
      <c r="CB133" s="22">
        <f t="shared" si="118"/>
        <v>760.94117763115719</v>
      </c>
      <c r="CC133" s="60">
        <f t="shared" si="119"/>
        <v>1044.8514610245893</v>
      </c>
      <c r="CD133" s="60">
        <f ca="1">AVERAGE(OFFSET($CC$3,0,0,'Données projet'!$E$12+1,1))-AVERAGE(OFFSET($H$3,0,0,'Données projet'!$E$12+1,1))</f>
        <v>530.79860063513229</v>
      </c>
      <c r="CE133" s="60">
        <f t="shared" ref="CE133:CE196" si="148">$CE$3</f>
        <v>302.50876440460434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339.10256410256409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271.43999999999943</v>
      </c>
      <c r="CV133" s="14">
        <f t="shared" ref="CV133:CV153" si="149">EXP(-1.0587+0.8836*LN(CU133)+0.284)</f>
        <v>65.154778959151116</v>
      </c>
      <c r="CW133" s="22">
        <f t="shared" si="121"/>
        <v>586.23590668718714</v>
      </c>
      <c r="CX133" s="60">
        <f t="shared" si="122"/>
        <v>870.14619008061925</v>
      </c>
      <c r="CY133" s="60">
        <f ca="1">AVERAGE(OFFSET($CX$3,0,0,'Données projet'!$E$13+1,1))-AVERAGE(OFFSET($H$3,0,0,'Données projet'!$E$13+1,1))</f>
        <v>469.67944008675863</v>
      </c>
      <c r="CZ133" s="60">
        <f t="shared" ref="CZ133:CZ196" si="150">$CZ$3</f>
        <v>266.11908070867173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300</v>
      </c>
      <c r="DM133" s="13">
        <f>VLOOKUP(A133,'Données projet'!$A$165:$I$185,9,0)</f>
        <v>3.2</v>
      </c>
      <c r="DN133" s="13">
        <f t="array" ref="DN133">INDEX(DM:DM,MIN(IF(ISNUMBER(DM133:DM329),ROW(DM133:DM329),"")))</f>
        <v>3.2</v>
      </c>
      <c r="DO133" s="13">
        <f>IF('Données projet'!$A$166&gt;35,DO132+DN133-DW132,IF(A133&lt;'Données projet'!$A$166,$DL$205^A133,IF(A133='Données projet'!$A$166,'Données projet'!$B$166,DO132+DN133-DW132)))</f>
        <v>299.99999999999937</v>
      </c>
      <c r="DP133" s="18">
        <f>DO133*VLOOKUP('Données projet'!$B$14,Paramètres!$A$1:$I$89,3,0)*VLOOKUP('Données projet'!$B$14,Paramètres!$A$1:$I$89,5,0)</f>
        <v>322.91999999999928</v>
      </c>
      <c r="DQ133" s="14">
        <f t="shared" ref="DQ133:DQ153" si="151">EXP(-1.0587+0.8836*LN(DP133)+0.284)</f>
        <v>75.960594879408617</v>
      </c>
      <c r="DR133" s="22">
        <f t="shared" si="124"/>
        <v>694.71703608163534</v>
      </c>
      <c r="DS133" s="60">
        <f t="shared" si="125"/>
        <v>978.62731947506745</v>
      </c>
      <c r="DT133" s="60">
        <f ca="1">AVERAGE(OFFSET($DS$3,0,0,'Données projet'!$E$14+1,1))-AVERAGE(OFFSET($H$3,0,0,'Données projet'!$E$14+1,1))</f>
        <v>542.90832990875208</v>
      </c>
      <c r="DU133" s="60">
        <f t="shared" ref="DU133:DU196" si="152">$DU$3</f>
        <v>304.94365539329362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5.6843418860808015E-14</v>
      </c>
      <c r="EK133" s="18">
        <f>EJ133*VLOOKUP('Données projet'!$B$15,Paramètres!$A$1:$I$89,3,0)*VLOOKUP('Données projet'!$B$15,Paramètres!$A$1:$I$89,5,0)</f>
        <v>4.5224624045658861E-14</v>
      </c>
      <c r="EL133" s="14">
        <f t="shared" ref="EL133:EL153" si="153">EXP(-1.0587+0.8836*LN(EK133)+0.284)</f>
        <v>7.4514601661523691E-13</v>
      </c>
      <c r="EM133" s="22">
        <f t="shared" si="127"/>
        <v>1.3765621991510601E-12</v>
      </c>
      <c r="EN133" s="60">
        <f t="shared" si="128"/>
        <v>283.91028339343347</v>
      </c>
      <c r="EO133" s="60">
        <f ca="1">AVERAGE(OFFSET($EN$3,0,0,'Données projet'!$E$15+1,1))-AVERAGE(OFFSET($H$3,0,0,'Données projet'!$E$15+1,1))</f>
        <v>273.72403794510291</v>
      </c>
      <c r="EP133" s="60">
        <f t="shared" ref="EP133:EP196" si="154">$EP$3</f>
        <v>292.00185554564109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5.6843418860808015E-14</v>
      </c>
      <c r="FF133" s="18">
        <f>FE133*VLOOKUP('Données projet'!$B$16,Paramètres!$A$1:$I$89,3,0)*VLOOKUP('Données projet'!$B$16,Paramètres!$A$1:$I$89,5,0)</f>
        <v>4.4337866711430253E-14</v>
      </c>
      <c r="FG133" s="14">
        <f t="shared" ref="FG133:FG153" si="155">EXP(-1.0587+0.8836*LN(FF133)+0.284)</f>
        <v>7.3222115536967035E-13</v>
      </c>
      <c r="FH133" s="22">
        <f t="shared" si="130"/>
        <v>1.3525069634579169E-12</v>
      </c>
      <c r="FI133" s="60">
        <f t="shared" si="131"/>
        <v>283.91028339343347</v>
      </c>
      <c r="FJ133" s="60">
        <f ca="1">AVERAGE(OFFSET($FI$3,0,0,'Données projet'!$E$16+1,1))-AVERAGE(OFFSET($H$3,0,0,'Données projet'!$E$16+1,1))</f>
        <v>309.21625451786218</v>
      </c>
      <c r="FK133" s="60">
        <f t="shared" ref="FK133:FK196" si="156">$FK$3</f>
        <v>302.59481222418219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>
        <f>FZ133*VLOOKUP('Données projet'!$B$17,Paramètres!$A$1:$I$89,3,0)*VLOOKUP('Données projet'!$B$17,Paramètres!$A$1:$I$89,5,0)</f>
        <v>0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0" t="e">
        <f t="shared" si="134"/>
        <v>#NUM!</v>
      </c>
      <c r="GE133" s="60">
        <f ca="1">AVERAGE(OFFSET($GD$3,0,0,'Données projet'!$E$17+1,1))-AVERAGE(OFFSET($H$3,0,0,'Données projet'!$E$17+1,1))</f>
        <v>216.36762889365235</v>
      </c>
      <c r="GF133" s="60">
        <f t="shared" ref="GF133:GF196" si="158">$GF$3</f>
        <v>333.29599352215496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1.8632813700634792</v>
      </c>
      <c r="GM133" s="23">
        <f>EXP(-LN(2)/25)*GM132+(1-EXP(-LN(2)/25))/(LN(2)/25)*Calculateur!GH133*Calculateur!GJ133*VLOOKUP('Données projet'!$B$17,Paramètres!$A$1:$I$89,3,0)*0.475*44/12</f>
        <v>0.60933835196623987</v>
      </c>
      <c r="GN133" s="23">
        <f>EXP(-LN(2)/2)*GN132+(1-EXP(-LN(2)/2))/(LN(2)/2)*GH133*GK133*VLOOKUP('Données projet'!$B$17,Paramètres!$A$1:$I$89,3,0)*0.475*44/12</f>
        <v>2.5974135703712962E-15</v>
      </c>
      <c r="GO133" s="23">
        <f t="shared" si="135"/>
        <v>2.4726197220297217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4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262.7882399999994</v>
      </c>
      <c r="P134" s="14">
        <f t="shared" si="141"/>
        <v>63.316348571334714</v>
      </c>
      <c r="Q134" s="22">
        <f t="shared" si="108"/>
        <v>567.96549176174028</v>
      </c>
      <c r="R134" s="60">
        <f t="shared" si="109"/>
        <v>852.03924400484607</v>
      </c>
      <c r="S134" s="60">
        <f ca="1">AVERAGE(OFFSET($R$3,0,0,'Données projet'!$E$9+1,1))-AVERAGE(OFFSET($H$3,0,0,'Données projet'!$E$9+1,1))</f>
        <v>496.33873798282525</v>
      </c>
      <c r="T134" s="60">
        <f t="shared" si="142"/>
        <v>280.25465074992246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3.4106051316484809E-13</v>
      </c>
      <c r="AJ134" s="14">
        <f>AI134*VLOOKUP('Données projet'!$B$10,Paramètres!$A$1:$I$89,3,0)*VLOOKUP('Données projet'!$B$10,Paramètres!$A$1:$I$89,5,0)</f>
        <v>1.5961632016114892E-13</v>
      </c>
      <c r="AK134" s="14">
        <f t="shared" si="143"/>
        <v>2.2708641912150958E-12</v>
      </c>
      <c r="AL134" s="22">
        <f t="shared" si="112"/>
        <v>4.2330868906469593E-12</v>
      </c>
      <c r="AM134" s="60">
        <f t="shared" si="113"/>
        <v>284.07375224310994</v>
      </c>
      <c r="AN134" s="60">
        <f ca="1">AVERAGE(OFFSET($AM$3,0,0,'Données projet'!$E$10+1,1))-AVERAGE(OFFSET($H$3,0,0,'Données projet'!$E$10+1,1))</f>
        <v>277.7918215389401</v>
      </c>
      <c r="AO134" s="60">
        <f t="shared" si="144"/>
        <v>164.65640238394164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-2.2737367544323206E-13</v>
      </c>
      <c r="BE134" s="14">
        <f>BD134*VLOOKUP('Données projet'!$B$11,Paramètres!$A$1:$I$89,3,0)*VLOOKUP('Données projet'!$B$11,Paramètres!$A$1:$I$89,5,0)</f>
        <v>-2.1636878955177963E-13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366.21371543563254</v>
      </c>
      <c r="BJ134" s="60">
        <f t="shared" si="146"/>
        <v>237.43356317334084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-5.1159076974727213E-13</v>
      </c>
      <c r="BZ134" s="14">
        <f>BY134*VLOOKUP('Données projet'!$B$12,Paramètres!$A$1:$I$89,3,0)*VLOOKUP('Données projet'!$B$12,Paramètres!$A$1:$I$89,5,0)</f>
        <v>-5.3471467253984886E-13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530.79860063513229</v>
      </c>
      <c r="CE134" s="60">
        <f t="shared" si="148"/>
        <v>302.50876440460434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245.8341599999994</v>
      </c>
      <c r="CV134" s="14">
        <f t="shared" si="149"/>
        <v>59.693018383856675</v>
      </c>
      <c r="CW134" s="22">
        <f t="shared" si="121"/>
        <v>532.12650235188266</v>
      </c>
      <c r="CX134" s="60">
        <f t="shared" si="122"/>
        <v>816.20025459498834</v>
      </c>
      <c r="CY134" s="60">
        <f ca="1">AVERAGE(OFFSET($CX$3,0,0,'Données projet'!$E$13+1,1))-AVERAGE(OFFSET($H$3,0,0,'Données projet'!$E$13+1,1))</f>
        <v>469.67944008675863</v>
      </c>
      <c r="CZ134" s="60">
        <f t="shared" si="150"/>
        <v>266.11908070867173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2.7</v>
      </c>
      <c r="DO134" s="13">
        <f>IF('Données projet'!$A$166&gt;35,DO133+DN134-DW133,IF(A134&lt;'Données projet'!$A$166,$DL$205^A134,IF(A134='Données projet'!$A$166,'Données projet'!$B$166,DO133+DN134-DW133)))</f>
        <v>271.69999999999936</v>
      </c>
      <c r="DP134" s="18">
        <f>DO134*VLOOKUP('Données projet'!$B$14,Paramètres!$A$1:$I$89,3,0)*VLOOKUP('Données projet'!$B$14,Paramètres!$A$1:$I$89,5,0)</f>
        <v>292.45787999999931</v>
      </c>
      <c r="DQ134" s="14">
        <f t="shared" si="151"/>
        <v>69.59301004501954</v>
      </c>
      <c r="DR134" s="22">
        <f t="shared" si="124"/>
        <v>630.57196682840777</v>
      </c>
      <c r="DS134" s="60">
        <f t="shared" si="125"/>
        <v>914.64571907151344</v>
      </c>
      <c r="DT134" s="60">
        <f ca="1">AVERAGE(OFFSET($DS$3,0,0,'Données projet'!$E$14+1,1))-AVERAGE(OFFSET($H$3,0,0,'Données projet'!$E$14+1,1))</f>
        <v>542.90832990875208</v>
      </c>
      <c r="DU134" s="60">
        <f t="shared" si="152"/>
        <v>304.94365539329362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5.6843418860808015E-14</v>
      </c>
      <c r="EK134" s="18">
        <f>EJ134*VLOOKUP('Données projet'!$B$15,Paramètres!$A$1:$I$89,3,0)*VLOOKUP('Données projet'!$B$15,Paramètres!$A$1:$I$89,5,0)</f>
        <v>4.5224624045658861E-14</v>
      </c>
      <c r="EL134" s="14">
        <f t="shared" si="153"/>
        <v>7.4514601661523691E-13</v>
      </c>
      <c r="EM134" s="22">
        <f t="shared" si="127"/>
        <v>1.3765621991510601E-12</v>
      </c>
      <c r="EN134" s="60">
        <f t="shared" si="128"/>
        <v>284.07375224310709</v>
      </c>
      <c r="EO134" s="60">
        <f ca="1">AVERAGE(OFFSET($EN$3,0,0,'Données projet'!$E$15+1,1))-AVERAGE(OFFSET($H$3,0,0,'Données projet'!$E$15+1,1))</f>
        <v>273.72403794510291</v>
      </c>
      <c r="EP134" s="60">
        <f t="shared" si="154"/>
        <v>292.00185554564109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5.6843418860808015E-14</v>
      </c>
      <c r="FF134" s="18">
        <f>FE134*VLOOKUP('Données projet'!$B$16,Paramètres!$A$1:$I$89,3,0)*VLOOKUP('Données projet'!$B$16,Paramètres!$A$1:$I$89,5,0)</f>
        <v>4.4337866711430253E-14</v>
      </c>
      <c r="FG134" s="14">
        <f t="shared" si="155"/>
        <v>7.3222115536967035E-13</v>
      </c>
      <c r="FH134" s="22">
        <f t="shared" si="130"/>
        <v>1.3525069634579169E-12</v>
      </c>
      <c r="FI134" s="60">
        <f t="shared" si="131"/>
        <v>284.07375224310709</v>
      </c>
      <c r="FJ134" s="60">
        <f ca="1">AVERAGE(OFFSET($FI$3,0,0,'Données projet'!$E$16+1,1))-AVERAGE(OFFSET($H$3,0,0,'Données projet'!$E$16+1,1))</f>
        <v>309.21625451786218</v>
      </c>
      <c r="FK134" s="60">
        <f t="shared" si="156"/>
        <v>302.59481222418219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>
        <f>FZ134*VLOOKUP('Données projet'!$B$17,Paramètres!$A$1:$I$89,3,0)*VLOOKUP('Données projet'!$B$17,Paramètres!$A$1:$I$89,5,0)</f>
        <v>0</v>
      </c>
      <c r="GB134" s="14" t="e">
        <f t="shared" si="157"/>
        <v>#NUM!</v>
      </c>
      <c r="GC134" s="22" t="e">
        <f t="shared" si="133"/>
        <v>#NUM!</v>
      </c>
      <c r="GD134" s="60" t="e">
        <f t="shared" si="134"/>
        <v>#NUM!</v>
      </c>
      <c r="GE134" s="60">
        <f ca="1">AVERAGE(OFFSET($GD$3,0,0,'Données projet'!$E$17+1,1))-AVERAGE(OFFSET($H$3,0,0,'Données projet'!$E$17+1,1))</f>
        <v>216.36762889365235</v>
      </c>
      <c r="GF134" s="60">
        <f t="shared" si="158"/>
        <v>333.29599352215496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1.8267435588859511</v>
      </c>
      <c r="GM134" s="23">
        <f>EXP(-LN(2)/25)*GM133+(1-EXP(-LN(2)/25))/(LN(2)/25)*Calculateur!GH134*Calculateur!GJ134*VLOOKUP('Données projet'!$B$17,Paramètres!$A$1:$I$89,3,0)*0.475*44/12</f>
        <v>0.59267596268801181</v>
      </c>
      <c r="GN134" s="23">
        <f>EXP(-LN(2)/2)*GN133+(1-EXP(-LN(2)/2))/(LN(2)/2)*GH134*GK134*VLOOKUP('Données projet'!$B$17,Paramètres!$A$1:$I$89,3,0)*0.475*44/12</f>
        <v>1.8366487491555053E-15</v>
      </c>
      <c r="GO134" s="23">
        <f t="shared" si="135"/>
        <v>2.4194195215739649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4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265.39967999999936</v>
      </c>
      <c r="P135" s="14">
        <f t="shared" si="141"/>
        <v>63.87199095821434</v>
      </c>
      <c r="Q135" s="22">
        <f t="shared" si="108"/>
        <v>573.48149358555554</v>
      </c>
      <c r="R135" s="60">
        <f t="shared" si="109"/>
        <v>857.71587885925464</v>
      </c>
      <c r="S135" s="60">
        <f ca="1">AVERAGE(OFFSET($R$3,0,0,'Données projet'!$E$9+1,1))-AVERAGE(OFFSET($H$3,0,0,'Données projet'!$E$9+1,1))</f>
        <v>496.33873798282525</v>
      </c>
      <c r="T135" s="60">
        <f t="shared" si="142"/>
        <v>280.25465074992246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3.4106051316484809E-13</v>
      </c>
      <c r="AJ135" s="14">
        <f>AI135*VLOOKUP('Données projet'!$B$10,Paramètres!$A$1:$I$89,3,0)*VLOOKUP('Données projet'!$B$10,Paramètres!$A$1:$I$89,5,0)</f>
        <v>1.5961632016114892E-13</v>
      </c>
      <c r="AK135" s="14">
        <f t="shared" si="143"/>
        <v>2.2708641912150958E-12</v>
      </c>
      <c r="AL135" s="22">
        <f t="shared" si="112"/>
        <v>4.2330868906469593E-12</v>
      </c>
      <c r="AM135" s="60">
        <f t="shared" si="113"/>
        <v>284.23438527370337</v>
      </c>
      <c r="AN135" s="60">
        <f ca="1">AVERAGE(OFFSET($AM$3,0,0,'Données projet'!$E$10+1,1))-AVERAGE(OFFSET($H$3,0,0,'Données projet'!$E$10+1,1))</f>
        <v>277.7918215389401</v>
      </c>
      <c r="AO135" s="60">
        <f t="shared" si="144"/>
        <v>164.65640238394164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-2.2737367544323206E-13</v>
      </c>
      <c r="BE135" s="14">
        <f>BD135*VLOOKUP('Données projet'!$B$11,Paramètres!$A$1:$I$89,3,0)*VLOOKUP('Données projet'!$B$11,Paramètres!$A$1:$I$89,5,0)</f>
        <v>-2.1636878955177963E-13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366.21371543563254</v>
      </c>
      <c r="BJ135" s="60">
        <f t="shared" si="146"/>
        <v>237.43356317334084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-5.1159076974727213E-13</v>
      </c>
      <c r="BZ135" s="14">
        <f>BY135*VLOOKUP('Données projet'!$B$12,Paramètres!$A$1:$I$89,3,0)*VLOOKUP('Données projet'!$B$12,Paramètres!$A$1:$I$89,5,0)</f>
        <v>-5.3471467253984886E-13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530.79860063513229</v>
      </c>
      <c r="CE135" s="60">
        <f t="shared" si="148"/>
        <v>302.50876440460434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248.2771199999994</v>
      </c>
      <c r="CV135" s="14">
        <f t="shared" si="149"/>
        <v>60.216863677580257</v>
      </c>
      <c r="CW135" s="22">
        <f t="shared" si="121"/>
        <v>537.29368823845118</v>
      </c>
      <c r="CX135" s="60">
        <f t="shared" si="122"/>
        <v>821.52807351215029</v>
      </c>
      <c r="CY135" s="60">
        <f ca="1">AVERAGE(OFFSET($CX$3,0,0,'Données projet'!$E$13+1,1))-AVERAGE(OFFSET($H$3,0,0,'Données projet'!$E$13+1,1))</f>
        <v>469.67944008675863</v>
      </c>
      <c r="CZ135" s="60">
        <f t="shared" si="150"/>
        <v>266.11908070867173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2.7</v>
      </c>
      <c r="DO135" s="13">
        <f>IF('Données projet'!$A$166&gt;35,DO134+DN135-DW134,IF(A135&lt;'Données projet'!$A$166,$DL$205^A135,IF(A135='Données projet'!$A$166,'Données projet'!$B$166,DO134+DN135-DW134)))</f>
        <v>274.39999999999935</v>
      </c>
      <c r="DP135" s="18">
        <f>DO135*VLOOKUP('Données projet'!$B$14,Paramètres!$A$1:$I$89,3,0)*VLOOKUP('Données projet'!$B$14,Paramètres!$A$1:$I$89,5,0)</f>
        <v>295.36415999999929</v>
      </c>
      <c r="DQ135" s="14">
        <f t="shared" si="151"/>
        <v>70.203734243177976</v>
      </c>
      <c r="DR135" s="22">
        <f t="shared" si="124"/>
        <v>636.69741580686696</v>
      </c>
      <c r="DS135" s="60">
        <f t="shared" si="125"/>
        <v>920.93180108056617</v>
      </c>
      <c r="DT135" s="60">
        <f ca="1">AVERAGE(OFFSET($DS$3,0,0,'Données projet'!$E$14+1,1))-AVERAGE(OFFSET($H$3,0,0,'Données projet'!$E$14+1,1))</f>
        <v>542.90832990875208</v>
      </c>
      <c r="DU135" s="60">
        <f t="shared" si="152"/>
        <v>304.94365539329362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5.6843418860808015E-14</v>
      </c>
      <c r="EK135" s="18">
        <f>EJ135*VLOOKUP('Données projet'!$B$15,Paramètres!$A$1:$I$89,3,0)*VLOOKUP('Données projet'!$B$15,Paramètres!$A$1:$I$89,5,0)</f>
        <v>4.5224624045658861E-14</v>
      </c>
      <c r="EL135" s="14">
        <f t="shared" si="153"/>
        <v>7.4514601661523691E-13</v>
      </c>
      <c r="EM135" s="22">
        <f t="shared" si="127"/>
        <v>1.3765621991510601E-12</v>
      </c>
      <c r="EN135" s="60">
        <f t="shared" si="128"/>
        <v>284.23438527370052</v>
      </c>
      <c r="EO135" s="60">
        <f ca="1">AVERAGE(OFFSET($EN$3,0,0,'Données projet'!$E$15+1,1))-AVERAGE(OFFSET($H$3,0,0,'Données projet'!$E$15+1,1))</f>
        <v>273.72403794510291</v>
      </c>
      <c r="EP135" s="60">
        <f t="shared" si="154"/>
        <v>292.00185554564109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5.6843418860808015E-14</v>
      </c>
      <c r="FF135" s="18">
        <f>FE135*VLOOKUP('Données projet'!$B$16,Paramètres!$A$1:$I$89,3,0)*VLOOKUP('Données projet'!$B$16,Paramètres!$A$1:$I$89,5,0)</f>
        <v>4.4337866711430253E-14</v>
      </c>
      <c r="FG135" s="14">
        <f t="shared" si="155"/>
        <v>7.3222115536967035E-13</v>
      </c>
      <c r="FH135" s="22">
        <f t="shared" si="130"/>
        <v>1.3525069634579169E-12</v>
      </c>
      <c r="FI135" s="60">
        <f t="shared" si="131"/>
        <v>284.23438527370052</v>
      </c>
      <c r="FJ135" s="60">
        <f ca="1">AVERAGE(OFFSET($FI$3,0,0,'Données projet'!$E$16+1,1))-AVERAGE(OFFSET($H$3,0,0,'Données projet'!$E$16+1,1))</f>
        <v>309.21625451786218</v>
      </c>
      <c r="FK135" s="60">
        <f t="shared" si="156"/>
        <v>302.59481222418219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>
        <f>FZ135*VLOOKUP('Données projet'!$B$17,Paramètres!$A$1:$I$89,3,0)*VLOOKUP('Données projet'!$B$17,Paramètres!$A$1:$I$89,5,0)</f>
        <v>0</v>
      </c>
      <c r="GB135" s="14" t="e">
        <f t="shared" si="157"/>
        <v>#NUM!</v>
      </c>
      <c r="GC135" s="22" t="e">
        <f t="shared" si="133"/>
        <v>#NUM!</v>
      </c>
      <c r="GD135" s="60" t="e">
        <f t="shared" si="134"/>
        <v>#NUM!</v>
      </c>
      <c r="GE135" s="60">
        <f ca="1">AVERAGE(OFFSET($GD$3,0,0,'Données projet'!$E$17+1,1))-AVERAGE(OFFSET($H$3,0,0,'Données projet'!$E$17+1,1))</f>
        <v>216.36762889365235</v>
      </c>
      <c r="GF135" s="60">
        <f t="shared" si="158"/>
        <v>333.29599352215496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1.79092223189975</v>
      </c>
      <c r="GM135" s="23">
        <f>EXP(-LN(2)/25)*GM134+(1-EXP(-LN(2)/25))/(LN(2)/25)*Calculateur!GH135*Calculateur!GJ135*VLOOKUP('Données projet'!$B$17,Paramètres!$A$1:$I$89,3,0)*0.475*44/12</f>
        <v>0.57646920732083384</v>
      </c>
      <c r="GN135" s="23">
        <f>EXP(-LN(2)/2)*GN134+(1-EXP(-LN(2)/2))/(LN(2)/2)*GH135*GK135*VLOOKUP('Données projet'!$B$17,Paramètres!$A$1:$I$89,3,0)*0.475*44/12</f>
        <v>1.2987067851856481E-15</v>
      </c>
      <c r="GO135" s="23">
        <f t="shared" si="135"/>
        <v>2.3673914392205853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4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268.01111999999938</v>
      </c>
      <c r="P136" s="14">
        <f t="shared" si="141"/>
        <v>64.426997301716739</v>
      </c>
      <c r="Q136" s="22">
        <f t="shared" si="108"/>
        <v>578.99638763382234</v>
      </c>
      <c r="R136" s="60">
        <f t="shared" si="109"/>
        <v>863.38861931415568</v>
      </c>
      <c r="S136" s="60">
        <f ca="1">AVERAGE(OFFSET($R$3,0,0,'Données projet'!$E$9+1,1))-AVERAGE(OFFSET($H$3,0,0,'Données projet'!$E$9+1,1))</f>
        <v>496.33873798282525</v>
      </c>
      <c r="T136" s="60">
        <f t="shared" si="142"/>
        <v>280.25465074992246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3.4106051316484809E-13</v>
      </c>
      <c r="AJ136" s="14">
        <f>AI136*VLOOKUP('Données projet'!$B$10,Paramètres!$A$1:$I$89,3,0)*VLOOKUP('Données projet'!$B$10,Paramètres!$A$1:$I$89,5,0)</f>
        <v>1.5961632016114892E-13</v>
      </c>
      <c r="AK136" s="14">
        <f t="shared" si="143"/>
        <v>2.2708641912150958E-12</v>
      </c>
      <c r="AL136" s="22">
        <f t="shared" si="112"/>
        <v>4.2330868906469593E-12</v>
      </c>
      <c r="AM136" s="60">
        <f t="shared" si="113"/>
        <v>284.3922316803376</v>
      </c>
      <c r="AN136" s="60">
        <f ca="1">AVERAGE(OFFSET($AM$3,0,0,'Données projet'!$E$10+1,1))-AVERAGE(OFFSET($H$3,0,0,'Données projet'!$E$10+1,1))</f>
        <v>277.7918215389401</v>
      </c>
      <c r="AO136" s="60">
        <f t="shared" si="144"/>
        <v>164.65640238394164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-2.2737367544323206E-13</v>
      </c>
      <c r="BE136" s="14">
        <f>BD136*VLOOKUP('Données projet'!$B$11,Paramètres!$A$1:$I$89,3,0)*VLOOKUP('Données projet'!$B$11,Paramètres!$A$1:$I$89,5,0)</f>
        <v>-2.1636878955177963E-13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366.21371543563254</v>
      </c>
      <c r="BJ136" s="60">
        <f t="shared" si="146"/>
        <v>237.43356317334084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-5.1159076974727213E-13</v>
      </c>
      <c r="BZ136" s="14">
        <f>BY136*VLOOKUP('Données projet'!$B$12,Paramètres!$A$1:$I$89,3,0)*VLOOKUP('Données projet'!$B$12,Paramètres!$A$1:$I$89,5,0)</f>
        <v>-5.3471467253984886E-13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530.79860063513229</v>
      </c>
      <c r="CE136" s="60">
        <f t="shared" si="148"/>
        <v>302.50876440460434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250.72007999999943</v>
      </c>
      <c r="CV136" s="14">
        <f t="shared" si="149"/>
        <v>60.740109326032709</v>
      </c>
      <c r="CW136" s="22">
        <f t="shared" si="121"/>
        <v>542.45982974283925</v>
      </c>
      <c r="CX136" s="60">
        <f t="shared" si="122"/>
        <v>826.8520614231727</v>
      </c>
      <c r="CY136" s="60">
        <f ca="1">AVERAGE(OFFSET($CX$3,0,0,'Données projet'!$E$13+1,1))-AVERAGE(OFFSET($H$3,0,0,'Données projet'!$E$13+1,1))</f>
        <v>469.67944008675863</v>
      </c>
      <c r="CZ136" s="60">
        <f t="shared" si="150"/>
        <v>266.11908070867173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2.7</v>
      </c>
      <c r="DO136" s="13">
        <f>IF('Données projet'!$A$166&gt;35,DO135+DN136-DW135,IF(A136&lt;'Données projet'!$A$166,$DL$205^A136,IF(A136='Données projet'!$A$166,'Données projet'!$B$166,DO135+DN136-DW135)))</f>
        <v>277.09999999999934</v>
      </c>
      <c r="DP136" s="18">
        <f>DO136*VLOOKUP('Données projet'!$B$14,Paramètres!$A$1:$I$89,3,0)*VLOOKUP('Données projet'!$B$14,Paramètres!$A$1:$I$89,5,0)</f>
        <v>298.27043999999927</v>
      </c>
      <c r="DQ136" s="14">
        <f t="shared" si="151"/>
        <v>70.813759345855843</v>
      </c>
      <c r="DR136" s="22">
        <f t="shared" si="124"/>
        <v>642.8216471940309</v>
      </c>
      <c r="DS136" s="60">
        <f t="shared" si="125"/>
        <v>927.21387887436435</v>
      </c>
      <c r="DT136" s="60">
        <f ca="1">AVERAGE(OFFSET($DS$3,0,0,'Données projet'!$E$14+1,1))-AVERAGE(OFFSET($H$3,0,0,'Données projet'!$E$14+1,1))</f>
        <v>542.90832990875208</v>
      </c>
      <c r="DU136" s="60">
        <f t="shared" si="152"/>
        <v>304.94365539329362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5.6843418860808015E-14</v>
      </c>
      <c r="EK136" s="18">
        <f>EJ136*VLOOKUP('Données projet'!$B$15,Paramètres!$A$1:$I$89,3,0)*VLOOKUP('Données projet'!$B$15,Paramètres!$A$1:$I$89,5,0)</f>
        <v>4.5224624045658861E-14</v>
      </c>
      <c r="EL136" s="14">
        <f t="shared" si="153"/>
        <v>7.4514601661523691E-13</v>
      </c>
      <c r="EM136" s="22">
        <f t="shared" si="127"/>
        <v>1.3765621991510601E-12</v>
      </c>
      <c r="EN136" s="60">
        <f t="shared" si="128"/>
        <v>284.39223168033476</v>
      </c>
      <c r="EO136" s="60">
        <f ca="1">AVERAGE(OFFSET($EN$3,0,0,'Données projet'!$E$15+1,1))-AVERAGE(OFFSET($H$3,0,0,'Données projet'!$E$15+1,1))</f>
        <v>273.72403794510291</v>
      </c>
      <c r="EP136" s="60">
        <f t="shared" si="154"/>
        <v>292.00185554564109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5.6843418860808015E-14</v>
      </c>
      <c r="FF136" s="18">
        <f>FE136*VLOOKUP('Données projet'!$B$16,Paramètres!$A$1:$I$89,3,0)*VLOOKUP('Données projet'!$B$16,Paramètres!$A$1:$I$89,5,0)</f>
        <v>4.4337866711430253E-14</v>
      </c>
      <c r="FG136" s="14">
        <f t="shared" si="155"/>
        <v>7.3222115536967035E-13</v>
      </c>
      <c r="FH136" s="22">
        <f t="shared" si="130"/>
        <v>1.3525069634579169E-12</v>
      </c>
      <c r="FI136" s="60">
        <f t="shared" si="131"/>
        <v>284.39223168033476</v>
      </c>
      <c r="FJ136" s="60">
        <f ca="1">AVERAGE(OFFSET($FI$3,0,0,'Données projet'!$E$16+1,1))-AVERAGE(OFFSET($H$3,0,0,'Données projet'!$E$16+1,1))</f>
        <v>309.21625451786218</v>
      </c>
      <c r="FK136" s="60">
        <f t="shared" si="156"/>
        <v>302.59481222418219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>
        <f>FZ136*VLOOKUP('Données projet'!$B$17,Paramètres!$A$1:$I$89,3,0)*VLOOKUP('Données projet'!$B$17,Paramètres!$A$1:$I$89,5,0)</f>
        <v>0</v>
      </c>
      <c r="GB136" s="14" t="e">
        <f t="shared" si="157"/>
        <v>#NUM!</v>
      </c>
      <c r="GC136" s="22" t="e">
        <f t="shared" si="133"/>
        <v>#NUM!</v>
      </c>
      <c r="GD136" s="60" t="e">
        <f t="shared" si="134"/>
        <v>#NUM!</v>
      </c>
      <c r="GE136" s="60">
        <f ca="1">AVERAGE(OFFSET($GD$3,0,0,'Données projet'!$E$17+1,1))-AVERAGE(OFFSET($H$3,0,0,'Données projet'!$E$17+1,1))</f>
        <v>216.36762889365235</v>
      </c>
      <c r="GF136" s="60">
        <f t="shared" si="158"/>
        <v>333.29599352215496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1.7558033392868964</v>
      </c>
      <c r="GM136" s="23">
        <f>EXP(-LN(2)/25)*GM135+(1-EXP(-LN(2)/25))/(LN(2)/25)*Calculateur!GH136*Calculateur!GJ136*VLOOKUP('Données projet'!$B$17,Paramètres!$A$1:$I$89,3,0)*0.475*44/12</f>
        <v>0.56070562653144762</v>
      </c>
      <c r="GN136" s="23">
        <f>EXP(-LN(2)/2)*GN135+(1-EXP(-LN(2)/2))/(LN(2)/2)*GH136*GK136*VLOOKUP('Données projet'!$B$17,Paramètres!$A$1:$I$89,3,0)*0.475*44/12</f>
        <v>9.1832437457775264E-16</v>
      </c>
      <c r="GO136" s="23">
        <f t="shared" si="135"/>
        <v>2.3165089658183451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4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270.62255999999934</v>
      </c>
      <c r="P137" s="14">
        <f t="shared" si="141"/>
        <v>64.981374516987898</v>
      </c>
      <c r="Q137" s="22">
        <f t="shared" si="108"/>
        <v>584.51018595041944</v>
      </c>
      <c r="R137" s="60">
        <f t="shared" si="109"/>
        <v>869.05752575512372</v>
      </c>
      <c r="S137" s="60">
        <f ca="1">AVERAGE(OFFSET($R$3,0,0,'Données projet'!$E$9+1,1))-AVERAGE(OFFSET($H$3,0,0,'Données projet'!$E$9+1,1))</f>
        <v>496.33873798282525</v>
      </c>
      <c r="T137" s="60">
        <f t="shared" si="142"/>
        <v>280.25465074992246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3.4106051316484809E-13</v>
      </c>
      <c r="AJ137" s="14">
        <f>AI137*VLOOKUP('Données projet'!$B$10,Paramètres!$A$1:$I$89,3,0)*VLOOKUP('Données projet'!$B$10,Paramètres!$A$1:$I$89,5,0)</f>
        <v>1.5961632016114892E-13</v>
      </c>
      <c r="AK137" s="14">
        <f t="shared" si="143"/>
        <v>2.2708641912150958E-12</v>
      </c>
      <c r="AL137" s="22">
        <f t="shared" si="112"/>
        <v>4.2330868906469593E-12</v>
      </c>
      <c r="AM137" s="60">
        <f t="shared" si="113"/>
        <v>284.54733980470849</v>
      </c>
      <c r="AN137" s="60">
        <f ca="1">AVERAGE(OFFSET($AM$3,0,0,'Données projet'!$E$10+1,1))-AVERAGE(OFFSET($H$3,0,0,'Données projet'!$E$10+1,1))</f>
        <v>277.7918215389401</v>
      </c>
      <c r="AO137" s="60">
        <f t="shared" si="144"/>
        <v>164.65640238394164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-2.2737367544323206E-13</v>
      </c>
      <c r="BE137" s="14">
        <f>BD137*VLOOKUP('Données projet'!$B$11,Paramètres!$A$1:$I$89,3,0)*VLOOKUP('Données projet'!$B$11,Paramètres!$A$1:$I$89,5,0)</f>
        <v>-2.1636878955177963E-13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366.21371543563254</v>
      </c>
      <c r="BJ137" s="60">
        <f t="shared" si="146"/>
        <v>237.43356317334084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-5.1159076974727213E-13</v>
      </c>
      <c r="BZ137" s="14">
        <f>BY137*VLOOKUP('Données projet'!$B$12,Paramètres!$A$1:$I$89,3,0)*VLOOKUP('Données projet'!$B$12,Paramètres!$A$1:$I$89,5,0)</f>
        <v>-5.3471467253984886E-13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530.79860063513229</v>
      </c>
      <c r="CE137" s="60">
        <f t="shared" si="148"/>
        <v>302.50876440460434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253.16303999999937</v>
      </c>
      <c r="CV137" s="14">
        <f t="shared" si="149"/>
        <v>61.262761848634923</v>
      </c>
      <c r="CW137" s="22">
        <f t="shared" si="121"/>
        <v>547.62493821970475</v>
      </c>
      <c r="CX137" s="60">
        <f t="shared" si="122"/>
        <v>832.17227802440902</v>
      </c>
      <c r="CY137" s="60">
        <f ca="1">AVERAGE(OFFSET($CX$3,0,0,'Données projet'!$E$13+1,1))-AVERAGE(OFFSET($H$3,0,0,'Données projet'!$E$13+1,1))</f>
        <v>469.67944008675863</v>
      </c>
      <c r="CZ137" s="60">
        <f t="shared" si="150"/>
        <v>266.11908070867173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2.7</v>
      </c>
      <c r="DO137" s="13">
        <f>IF('Données projet'!$A$166&gt;35,DO136+DN137-DW136,IF(A137&lt;'Données projet'!$A$166,$DL$205^A137,IF(A137='Données projet'!$A$166,'Données projet'!$B$166,DO136+DN137-DW136)))</f>
        <v>279.79999999999933</v>
      </c>
      <c r="DP137" s="18">
        <f>DO137*VLOOKUP('Données projet'!$B$14,Paramètres!$A$1:$I$89,3,0)*VLOOKUP('Données projet'!$B$14,Paramètres!$A$1:$I$89,5,0)</f>
        <v>301.17671999999925</v>
      </c>
      <c r="DQ137" s="14">
        <f t="shared" si="151"/>
        <v>71.423092953709514</v>
      </c>
      <c r="DR137" s="22">
        <f t="shared" si="124"/>
        <v>648.94467422770936</v>
      </c>
      <c r="DS137" s="60">
        <f t="shared" si="125"/>
        <v>933.49201403241364</v>
      </c>
      <c r="DT137" s="60">
        <f ca="1">AVERAGE(OFFSET($DS$3,0,0,'Données projet'!$E$14+1,1))-AVERAGE(OFFSET($H$3,0,0,'Données projet'!$E$14+1,1))</f>
        <v>542.90832990875208</v>
      </c>
      <c r="DU137" s="60">
        <f t="shared" si="152"/>
        <v>304.94365539329362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5.6843418860808015E-14</v>
      </c>
      <c r="EK137" s="18">
        <f>EJ137*VLOOKUP('Données projet'!$B$15,Paramètres!$A$1:$I$89,3,0)*VLOOKUP('Données projet'!$B$15,Paramètres!$A$1:$I$89,5,0)</f>
        <v>4.5224624045658861E-14</v>
      </c>
      <c r="EL137" s="14">
        <f t="shared" si="153"/>
        <v>7.4514601661523691E-13</v>
      </c>
      <c r="EM137" s="22">
        <f t="shared" si="127"/>
        <v>1.3765621991510601E-12</v>
      </c>
      <c r="EN137" s="60">
        <f t="shared" si="128"/>
        <v>284.54733980470564</v>
      </c>
      <c r="EO137" s="60">
        <f ca="1">AVERAGE(OFFSET($EN$3,0,0,'Données projet'!$E$15+1,1))-AVERAGE(OFFSET($H$3,0,0,'Données projet'!$E$15+1,1))</f>
        <v>273.72403794510291</v>
      </c>
      <c r="EP137" s="60">
        <f t="shared" si="154"/>
        <v>292.00185554564109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5.6843418860808015E-14</v>
      </c>
      <c r="FF137" s="18">
        <f>FE137*VLOOKUP('Données projet'!$B$16,Paramètres!$A$1:$I$89,3,0)*VLOOKUP('Données projet'!$B$16,Paramètres!$A$1:$I$89,5,0)</f>
        <v>4.4337866711430253E-14</v>
      </c>
      <c r="FG137" s="14">
        <f t="shared" si="155"/>
        <v>7.3222115536967035E-13</v>
      </c>
      <c r="FH137" s="22">
        <f t="shared" si="130"/>
        <v>1.3525069634579169E-12</v>
      </c>
      <c r="FI137" s="60">
        <f t="shared" si="131"/>
        <v>284.54733980470564</v>
      </c>
      <c r="FJ137" s="60">
        <f ca="1">AVERAGE(OFFSET($FI$3,0,0,'Données projet'!$E$16+1,1))-AVERAGE(OFFSET($H$3,0,0,'Données projet'!$E$16+1,1))</f>
        <v>309.21625451786218</v>
      </c>
      <c r="FK137" s="60">
        <f t="shared" si="156"/>
        <v>302.59481222418219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>
        <f>FZ137*VLOOKUP('Données projet'!$B$17,Paramètres!$A$1:$I$89,3,0)*VLOOKUP('Données projet'!$B$17,Paramètres!$A$1:$I$89,5,0)</f>
        <v>0</v>
      </c>
      <c r="GB137" s="14" t="e">
        <f t="shared" si="157"/>
        <v>#NUM!</v>
      </c>
      <c r="GC137" s="22" t="e">
        <f t="shared" si="133"/>
        <v>#NUM!</v>
      </c>
      <c r="GD137" s="60" t="e">
        <f t="shared" si="134"/>
        <v>#NUM!</v>
      </c>
      <c r="GE137" s="60">
        <f ca="1">AVERAGE(OFFSET($GD$3,0,0,'Données projet'!$E$17+1,1))-AVERAGE(OFFSET($H$3,0,0,'Données projet'!$E$17+1,1))</f>
        <v>216.36762889365235</v>
      </c>
      <c r="GF137" s="60">
        <f t="shared" si="158"/>
        <v>333.29599352215496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1.7213731067377713</v>
      </c>
      <c r="GM137" s="23">
        <f>EXP(-LN(2)/25)*GM136+(1-EXP(-LN(2)/25))/(LN(2)/25)*Calculateur!GH137*Calculateur!GJ137*VLOOKUP('Données projet'!$B$17,Paramètres!$A$1:$I$89,3,0)*0.475*44/12</f>
        <v>0.5453731016877178</v>
      </c>
      <c r="GN137" s="23">
        <f>EXP(-LN(2)/2)*GN136+(1-EXP(-LN(2)/2))/(LN(2)/2)*GH137*GK137*VLOOKUP('Données projet'!$B$17,Paramètres!$A$1:$I$89,3,0)*0.475*44/12</f>
        <v>6.4935339259282405E-16</v>
      </c>
      <c r="GO137" s="23">
        <f t="shared" si="135"/>
        <v>2.2667462084254897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4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273.23399999999936</v>
      </c>
      <c r="P138" s="14">
        <f t="shared" si="141"/>
        <v>65.535129378020301</v>
      </c>
      <c r="Q138" s="22">
        <f t="shared" si="108"/>
        <v>590.0229003333842</v>
      </c>
      <c r="R138" s="60">
        <f t="shared" si="109"/>
        <v>874.7226574832714</v>
      </c>
      <c r="S138" s="60">
        <f ca="1">AVERAGE(OFFSET($R$3,0,0,'Données projet'!$E$9+1,1))-AVERAGE(OFFSET($H$3,0,0,'Données projet'!$E$9+1,1))</f>
        <v>496.33873798282525</v>
      </c>
      <c r="T138" s="60">
        <f t="shared" si="142"/>
        <v>280.25465074992246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3.4106051316484809E-13</v>
      </c>
      <c r="AJ138" s="14">
        <f>AI138*VLOOKUP('Données projet'!$B$10,Paramètres!$A$1:$I$89,3,0)*VLOOKUP('Données projet'!$B$10,Paramètres!$A$1:$I$89,5,0)</f>
        <v>1.5961632016114892E-13</v>
      </c>
      <c r="AK138" s="14">
        <f t="shared" si="143"/>
        <v>2.2708641912150958E-12</v>
      </c>
      <c r="AL138" s="22">
        <f t="shared" si="112"/>
        <v>4.2330868906469593E-12</v>
      </c>
      <c r="AM138" s="60">
        <f t="shared" si="113"/>
        <v>284.69975714989135</v>
      </c>
      <c r="AN138" s="60">
        <f ca="1">AVERAGE(OFFSET($AM$3,0,0,'Données projet'!$E$10+1,1))-AVERAGE(OFFSET($H$3,0,0,'Données projet'!$E$10+1,1))</f>
        <v>277.7918215389401</v>
      </c>
      <c r="AO138" s="60">
        <f t="shared" si="144"/>
        <v>164.65640238394164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-2.2737367544323206E-13</v>
      </c>
      <c r="BE138" s="14">
        <f>BD138*VLOOKUP('Données projet'!$B$11,Paramètres!$A$1:$I$89,3,0)*VLOOKUP('Données projet'!$B$11,Paramètres!$A$1:$I$89,5,0)</f>
        <v>-2.1636878955177963E-13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366.21371543563254</v>
      </c>
      <c r="BJ138" s="60">
        <f t="shared" si="146"/>
        <v>237.43356317334084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-5.1159076974727213E-13</v>
      </c>
      <c r="BZ138" s="14">
        <f>BY138*VLOOKUP('Données projet'!$B$12,Paramètres!$A$1:$I$89,3,0)*VLOOKUP('Données projet'!$B$12,Paramètres!$A$1:$I$89,5,0)</f>
        <v>-5.3471467253984886E-13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530.79860063513229</v>
      </c>
      <c r="CE138" s="60">
        <f t="shared" si="148"/>
        <v>302.50876440460434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255.60599999999937</v>
      </c>
      <c r="CV138" s="14">
        <f t="shared" si="149"/>
        <v>61.784827631732192</v>
      </c>
      <c r="CW138" s="22">
        <f t="shared" si="121"/>
        <v>552.78902479193243</v>
      </c>
      <c r="CX138" s="60">
        <f t="shared" si="122"/>
        <v>837.48878194181952</v>
      </c>
      <c r="CY138" s="60">
        <f ca="1">AVERAGE(OFFSET($CX$3,0,0,'Données projet'!$E$13+1,1))-AVERAGE(OFFSET($H$3,0,0,'Données projet'!$E$13+1,1))</f>
        <v>469.67944008675863</v>
      </c>
      <c r="CZ138" s="60">
        <f t="shared" si="150"/>
        <v>266.11908070867173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2.7</v>
      </c>
      <c r="DO138" s="13">
        <f>IF('Données projet'!$A$166&gt;35,DO137+DN138-DW137,IF(A138&lt;'Données projet'!$A$166,$DL$205^A138,IF(A138='Données projet'!$A$166,'Données projet'!$B$166,DO137+DN138-DW137)))</f>
        <v>282.49999999999932</v>
      </c>
      <c r="DP138" s="18">
        <f>DO138*VLOOKUP('Données projet'!$B$14,Paramètres!$A$1:$I$89,3,0)*VLOOKUP('Données projet'!$B$14,Paramètres!$A$1:$I$89,5,0)</f>
        <v>304.08299999999929</v>
      </c>
      <c r="DQ138" s="14">
        <f t="shared" si="151"/>
        <v>72.031742512249494</v>
      </c>
      <c r="DR138" s="22">
        <f t="shared" si="124"/>
        <v>655.06650987549995</v>
      </c>
      <c r="DS138" s="60">
        <f t="shared" si="125"/>
        <v>939.76626702538715</v>
      </c>
      <c r="DT138" s="60">
        <f ca="1">AVERAGE(OFFSET($DS$3,0,0,'Données projet'!$E$14+1,1))-AVERAGE(OFFSET($H$3,0,0,'Données projet'!$E$14+1,1))</f>
        <v>542.90832990875208</v>
      </c>
      <c r="DU138" s="60">
        <f t="shared" si="152"/>
        <v>304.94365539329362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5.6843418860808015E-14</v>
      </c>
      <c r="EK138" s="18">
        <f>EJ138*VLOOKUP('Données projet'!$B$15,Paramètres!$A$1:$I$89,3,0)*VLOOKUP('Données projet'!$B$15,Paramètres!$A$1:$I$89,5,0)</f>
        <v>4.5224624045658861E-14</v>
      </c>
      <c r="EL138" s="14">
        <f t="shared" si="153"/>
        <v>7.4514601661523691E-13</v>
      </c>
      <c r="EM138" s="22">
        <f t="shared" si="127"/>
        <v>1.3765621991510601E-12</v>
      </c>
      <c r="EN138" s="60">
        <f t="shared" si="128"/>
        <v>284.69975714988851</v>
      </c>
      <c r="EO138" s="60">
        <f ca="1">AVERAGE(OFFSET($EN$3,0,0,'Données projet'!$E$15+1,1))-AVERAGE(OFFSET($H$3,0,0,'Données projet'!$E$15+1,1))</f>
        <v>273.72403794510291</v>
      </c>
      <c r="EP138" s="60">
        <f t="shared" si="154"/>
        <v>292.00185554564109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5.6843418860808015E-14</v>
      </c>
      <c r="FF138" s="18">
        <f>FE138*VLOOKUP('Données projet'!$B$16,Paramètres!$A$1:$I$89,3,0)*VLOOKUP('Données projet'!$B$16,Paramètres!$A$1:$I$89,5,0)</f>
        <v>4.4337866711430253E-14</v>
      </c>
      <c r="FG138" s="14">
        <f t="shared" si="155"/>
        <v>7.3222115536967035E-13</v>
      </c>
      <c r="FH138" s="22">
        <f t="shared" si="130"/>
        <v>1.3525069634579169E-12</v>
      </c>
      <c r="FI138" s="60">
        <f t="shared" si="131"/>
        <v>284.69975714988851</v>
      </c>
      <c r="FJ138" s="60">
        <f ca="1">AVERAGE(OFFSET($FI$3,0,0,'Données projet'!$E$16+1,1))-AVERAGE(OFFSET($H$3,0,0,'Données projet'!$E$16+1,1))</f>
        <v>309.21625451786218</v>
      </c>
      <c r="FK138" s="60">
        <f t="shared" si="156"/>
        <v>302.59481222418219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>
        <f>FZ138*VLOOKUP('Données projet'!$B$17,Paramètres!$A$1:$I$89,3,0)*VLOOKUP('Données projet'!$B$17,Paramètres!$A$1:$I$89,5,0)</f>
        <v>0</v>
      </c>
      <c r="GB138" s="14" t="e">
        <f t="shared" si="157"/>
        <v>#NUM!</v>
      </c>
      <c r="GC138" s="22" t="e">
        <f t="shared" si="133"/>
        <v>#NUM!</v>
      </c>
      <c r="GD138" s="60" t="e">
        <f t="shared" si="134"/>
        <v>#NUM!</v>
      </c>
      <c r="GE138" s="60">
        <f ca="1">AVERAGE(OFFSET($GD$3,0,0,'Données projet'!$E$17+1,1))-AVERAGE(OFFSET($H$3,0,0,'Données projet'!$E$17+1,1))</f>
        <v>216.36762889365235</v>
      </c>
      <c r="GF138" s="60">
        <f t="shared" si="158"/>
        <v>333.29599352215496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1.6876180300485664</v>
      </c>
      <c r="GM138" s="23">
        <f>EXP(-LN(2)/25)*GM137+(1-EXP(-LN(2)/25))/(LN(2)/25)*Calculateur!GH138*Calculateur!GJ138*VLOOKUP('Données projet'!$B$17,Paramètres!$A$1:$I$89,3,0)*0.475*44/12</f>
        <v>0.53045984554214221</v>
      </c>
      <c r="GN138" s="23">
        <f>EXP(-LN(2)/2)*GN137+(1-EXP(-LN(2)/2))/(LN(2)/2)*GH138*GK138*VLOOKUP('Données projet'!$B$17,Paramètres!$A$1:$I$89,3,0)*0.475*44/12</f>
        <v>4.5916218728887632E-16</v>
      </c>
      <c r="GO138" s="23">
        <f t="shared" si="135"/>
        <v>2.2180778755907089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4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275.84543999999931</v>
      </c>
      <c r="P139" s="14">
        <f t="shared" si="141"/>
        <v>66.088268521855113</v>
      </c>
      <c r="Q139" s="22">
        <f t="shared" si="108"/>
        <v>595.53454234222977</v>
      </c>
      <c r="R139" s="60">
        <f t="shared" si="109"/>
        <v>880.38407273711505</v>
      </c>
      <c r="S139" s="60">
        <f ca="1">AVERAGE(OFFSET($R$3,0,0,'Données projet'!$E$9+1,1))-AVERAGE(OFFSET($H$3,0,0,'Données projet'!$E$9+1,1))</f>
        <v>496.33873798282525</v>
      </c>
      <c r="T139" s="60">
        <f t="shared" si="142"/>
        <v>280.25465074992246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3.4106051316484809E-13</v>
      </c>
      <c r="AJ139" s="14">
        <f>AI139*VLOOKUP('Données projet'!$B$10,Paramètres!$A$1:$I$89,3,0)*VLOOKUP('Données projet'!$B$10,Paramètres!$A$1:$I$89,5,0)</f>
        <v>1.5961632016114892E-13</v>
      </c>
      <c r="AK139" s="14">
        <f t="shared" si="143"/>
        <v>2.2708641912150958E-12</v>
      </c>
      <c r="AL139" s="22">
        <f t="shared" si="112"/>
        <v>4.2330868906469593E-12</v>
      </c>
      <c r="AM139" s="60">
        <f t="shared" si="113"/>
        <v>284.84953039488943</v>
      </c>
      <c r="AN139" s="60">
        <f ca="1">AVERAGE(OFFSET($AM$3,0,0,'Données projet'!$E$10+1,1))-AVERAGE(OFFSET($H$3,0,0,'Données projet'!$E$10+1,1))</f>
        <v>277.7918215389401</v>
      </c>
      <c r="AO139" s="60">
        <f t="shared" si="144"/>
        <v>164.65640238394164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-2.2737367544323206E-13</v>
      </c>
      <c r="BE139" s="14">
        <f>BD139*VLOOKUP('Données projet'!$B$11,Paramètres!$A$1:$I$89,3,0)*VLOOKUP('Données projet'!$B$11,Paramètres!$A$1:$I$89,5,0)</f>
        <v>-2.1636878955177963E-13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366.21371543563254</v>
      </c>
      <c r="BJ139" s="60">
        <f t="shared" si="146"/>
        <v>237.43356317334084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-5.1159076974727213E-13</v>
      </c>
      <c r="BZ139" s="14">
        <f>BY139*VLOOKUP('Données projet'!$B$12,Paramètres!$A$1:$I$89,3,0)*VLOOKUP('Données projet'!$B$12,Paramètres!$A$1:$I$89,5,0)</f>
        <v>-5.3471467253984886E-13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530.79860063513229</v>
      </c>
      <c r="CE139" s="60">
        <f t="shared" si="148"/>
        <v>302.50876440460434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258.0489599999994</v>
      </c>
      <c r="CV139" s="14">
        <f t="shared" si="149"/>
        <v>62.306312932555649</v>
      </c>
      <c r="CW139" s="22">
        <f t="shared" si="121"/>
        <v>557.95210035753337</v>
      </c>
      <c r="CX139" s="60">
        <f t="shared" si="122"/>
        <v>842.80163075241853</v>
      </c>
      <c r="CY139" s="60">
        <f ca="1">AVERAGE(OFFSET($CX$3,0,0,'Données projet'!$E$13+1,1))-AVERAGE(OFFSET($H$3,0,0,'Données projet'!$E$13+1,1))</f>
        <v>469.67944008675863</v>
      </c>
      <c r="CZ139" s="60">
        <f t="shared" si="150"/>
        <v>266.11908070867173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2.7</v>
      </c>
      <c r="DO139" s="13">
        <f>IF('Données projet'!$A$166&gt;35,DO138+DN139-DW138,IF(A139&lt;'Données projet'!$A$166,$DL$205^A139,IF(A139='Données projet'!$A$166,'Données projet'!$B$166,DO138+DN139-DW138)))</f>
        <v>285.19999999999931</v>
      </c>
      <c r="DP139" s="18">
        <f>DO139*VLOOKUP('Données projet'!$B$14,Paramètres!$A$1:$I$89,3,0)*VLOOKUP('Données projet'!$B$14,Paramètres!$A$1:$I$89,5,0)</f>
        <v>306.98927999999921</v>
      </c>
      <c r="DQ139" s="14">
        <f t="shared" si="151"/>
        <v>72.639715316458506</v>
      </c>
      <c r="DR139" s="22">
        <f t="shared" si="124"/>
        <v>661.18716684283038</v>
      </c>
      <c r="DS139" s="60">
        <f t="shared" si="125"/>
        <v>946.03669723771554</v>
      </c>
      <c r="DT139" s="60">
        <f ca="1">AVERAGE(OFFSET($DS$3,0,0,'Données projet'!$E$14+1,1))-AVERAGE(OFFSET($H$3,0,0,'Données projet'!$E$14+1,1))</f>
        <v>542.90832990875208</v>
      </c>
      <c r="DU139" s="60">
        <f t="shared" si="152"/>
        <v>304.94365539329362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5.6843418860808015E-14</v>
      </c>
      <c r="EK139" s="18">
        <f>EJ139*VLOOKUP('Données projet'!$B$15,Paramètres!$A$1:$I$89,3,0)*VLOOKUP('Données projet'!$B$15,Paramètres!$A$1:$I$89,5,0)</f>
        <v>4.5224624045658861E-14</v>
      </c>
      <c r="EL139" s="14">
        <f t="shared" si="153"/>
        <v>7.4514601661523691E-13</v>
      </c>
      <c r="EM139" s="22">
        <f t="shared" si="127"/>
        <v>1.3765621991510601E-12</v>
      </c>
      <c r="EN139" s="60">
        <f t="shared" si="128"/>
        <v>284.84953039488659</v>
      </c>
      <c r="EO139" s="60">
        <f ca="1">AVERAGE(OFFSET($EN$3,0,0,'Données projet'!$E$15+1,1))-AVERAGE(OFFSET($H$3,0,0,'Données projet'!$E$15+1,1))</f>
        <v>273.72403794510291</v>
      </c>
      <c r="EP139" s="60">
        <f t="shared" si="154"/>
        <v>292.00185554564109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5.6843418860808015E-14</v>
      </c>
      <c r="FF139" s="18">
        <f>FE139*VLOOKUP('Données projet'!$B$16,Paramètres!$A$1:$I$89,3,0)*VLOOKUP('Données projet'!$B$16,Paramètres!$A$1:$I$89,5,0)</f>
        <v>4.4337866711430253E-14</v>
      </c>
      <c r="FG139" s="14">
        <f t="shared" si="155"/>
        <v>7.3222115536967035E-13</v>
      </c>
      <c r="FH139" s="22">
        <f t="shared" si="130"/>
        <v>1.3525069634579169E-12</v>
      </c>
      <c r="FI139" s="60">
        <f t="shared" si="131"/>
        <v>284.84953039488659</v>
      </c>
      <c r="FJ139" s="60">
        <f ca="1">AVERAGE(OFFSET($FI$3,0,0,'Données projet'!$E$16+1,1))-AVERAGE(OFFSET($H$3,0,0,'Données projet'!$E$16+1,1))</f>
        <v>309.21625451786218</v>
      </c>
      <c r="FK139" s="60">
        <f t="shared" si="156"/>
        <v>302.59481222418219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>
        <f>FZ139*VLOOKUP('Données projet'!$B$17,Paramètres!$A$1:$I$89,3,0)*VLOOKUP('Données projet'!$B$17,Paramètres!$A$1:$I$89,5,0)</f>
        <v>0</v>
      </c>
      <c r="GB139" s="14" t="e">
        <f t="shared" si="157"/>
        <v>#NUM!</v>
      </c>
      <c r="GC139" s="22" t="e">
        <f t="shared" si="133"/>
        <v>#NUM!</v>
      </c>
      <c r="GD139" s="60" t="e">
        <f t="shared" si="134"/>
        <v>#NUM!</v>
      </c>
      <c r="GE139" s="60">
        <f ca="1">AVERAGE(OFFSET($GD$3,0,0,'Données projet'!$E$17+1,1))-AVERAGE(OFFSET($H$3,0,0,'Données projet'!$E$17+1,1))</f>
        <v>216.36762889365235</v>
      </c>
      <c r="GF139" s="60">
        <f t="shared" si="158"/>
        <v>333.29599352215496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1.6545248698246728</v>
      </c>
      <c r="GM139" s="23">
        <f>EXP(-LN(2)/25)*GM138+(1-EXP(-LN(2)/25))/(LN(2)/25)*Calculateur!GH139*Calculateur!GJ139*VLOOKUP('Données projet'!$B$17,Paramètres!$A$1:$I$89,3,0)*0.475*44/12</f>
        <v>0.51595439317012148</v>
      </c>
      <c r="GN139" s="23">
        <f>EXP(-LN(2)/2)*GN138+(1-EXP(-LN(2)/2))/(LN(2)/2)*GH139*GK139*VLOOKUP('Données projet'!$B$17,Paramètres!$A$1:$I$89,3,0)*0.475*44/12</f>
        <v>3.2467669629641203E-16</v>
      </c>
      <c r="GO139" s="23">
        <f t="shared" si="135"/>
        <v>2.1704792629947947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4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278.45687999999933</v>
      </c>
      <c r="P140" s="14">
        <f t="shared" si="141"/>
        <v>66.640798452620999</v>
      </c>
      <c r="Q140" s="22">
        <f t="shared" si="108"/>
        <v>601.04512330498039</v>
      </c>
      <c r="R140" s="60">
        <f t="shared" si="109"/>
        <v>886.04182871390572</v>
      </c>
      <c r="S140" s="60">
        <f ca="1">AVERAGE(OFFSET($R$3,0,0,'Données projet'!$E$9+1,1))-AVERAGE(OFFSET($H$3,0,0,'Données projet'!$E$9+1,1))</f>
        <v>496.33873798282525</v>
      </c>
      <c r="T140" s="60">
        <f t="shared" si="142"/>
        <v>280.25465074992246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3.4106051316484809E-13</v>
      </c>
      <c r="AJ140" s="14">
        <f>AI140*VLOOKUP('Données projet'!$B$10,Paramètres!$A$1:$I$89,3,0)*VLOOKUP('Données projet'!$B$10,Paramètres!$A$1:$I$89,5,0)</f>
        <v>1.5961632016114892E-13</v>
      </c>
      <c r="AK140" s="14">
        <f t="shared" si="143"/>
        <v>2.2708641912150958E-12</v>
      </c>
      <c r="AL140" s="22">
        <f t="shared" si="112"/>
        <v>4.2330868906469593E-12</v>
      </c>
      <c r="AM140" s="60">
        <f t="shared" si="113"/>
        <v>284.99670540892959</v>
      </c>
      <c r="AN140" s="60">
        <f ca="1">AVERAGE(OFFSET($AM$3,0,0,'Données projet'!$E$10+1,1))-AVERAGE(OFFSET($H$3,0,0,'Données projet'!$E$10+1,1))</f>
        <v>277.7918215389401</v>
      </c>
      <c r="AO140" s="60">
        <f t="shared" si="144"/>
        <v>164.65640238394164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-2.2737367544323206E-13</v>
      </c>
      <c r="BE140" s="14">
        <f>BD140*VLOOKUP('Données projet'!$B$11,Paramètres!$A$1:$I$89,3,0)*VLOOKUP('Données projet'!$B$11,Paramètres!$A$1:$I$89,5,0)</f>
        <v>-2.1636878955177963E-13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366.21371543563254</v>
      </c>
      <c r="BJ140" s="60">
        <f t="shared" si="146"/>
        <v>237.43356317334084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-5.1159076974727213E-13</v>
      </c>
      <c r="BZ140" s="14">
        <f>BY140*VLOOKUP('Données projet'!$B$12,Paramètres!$A$1:$I$89,3,0)*VLOOKUP('Données projet'!$B$12,Paramètres!$A$1:$I$89,5,0)</f>
        <v>-5.3471467253984886E-13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530.79860063513229</v>
      </c>
      <c r="CE140" s="60">
        <f t="shared" si="148"/>
        <v>302.50876440460434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260.49191999999937</v>
      </c>
      <c r="CV140" s="14">
        <f t="shared" si="149"/>
        <v>62.827223883029681</v>
      </c>
      <c r="CW140" s="22">
        <f t="shared" si="121"/>
        <v>563.11417559627546</v>
      </c>
      <c r="CX140" s="60">
        <f t="shared" si="122"/>
        <v>848.11088100520078</v>
      </c>
      <c r="CY140" s="60">
        <f ca="1">AVERAGE(OFFSET($CX$3,0,0,'Données projet'!$E$13+1,1))-AVERAGE(OFFSET($H$3,0,0,'Données projet'!$E$13+1,1))</f>
        <v>469.67944008675863</v>
      </c>
      <c r="CZ140" s="60">
        <f t="shared" si="150"/>
        <v>266.11908070867173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2.7</v>
      </c>
      <c r="DO140" s="13">
        <f>IF('Données projet'!$A$166&gt;35,DO139+DN140-DW139,IF(A140&lt;'Données projet'!$A$166,$DL$205^A140,IF(A140='Données projet'!$A$166,'Données projet'!$B$166,DO139+DN140-DW139)))</f>
        <v>287.8999999999993</v>
      </c>
      <c r="DP140" s="18">
        <f>DO140*VLOOKUP('Données projet'!$B$14,Paramètres!$A$1:$I$89,3,0)*VLOOKUP('Données projet'!$B$14,Paramètres!$A$1:$I$89,5,0)</f>
        <v>309.89555999999925</v>
      </c>
      <c r="DQ140" s="14">
        <f t="shared" si="151"/>
        <v>73.247018515231034</v>
      </c>
      <c r="DR140" s="22">
        <f t="shared" si="124"/>
        <v>667.30665758069279</v>
      </c>
      <c r="DS140" s="60">
        <f t="shared" si="125"/>
        <v>952.30336298961811</v>
      </c>
      <c r="DT140" s="60">
        <f ca="1">AVERAGE(OFFSET($DS$3,0,0,'Données projet'!$E$14+1,1))-AVERAGE(OFFSET($H$3,0,0,'Données projet'!$E$14+1,1))</f>
        <v>542.90832990875208</v>
      </c>
      <c r="DU140" s="60">
        <f t="shared" si="152"/>
        <v>304.94365539329362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5.6843418860808015E-14</v>
      </c>
      <c r="EK140" s="18">
        <f>EJ140*VLOOKUP('Données projet'!$B$15,Paramètres!$A$1:$I$89,3,0)*VLOOKUP('Données projet'!$B$15,Paramètres!$A$1:$I$89,5,0)</f>
        <v>4.5224624045658861E-14</v>
      </c>
      <c r="EL140" s="14">
        <f t="shared" si="153"/>
        <v>7.4514601661523691E-13</v>
      </c>
      <c r="EM140" s="22">
        <f t="shared" si="127"/>
        <v>1.3765621991510601E-12</v>
      </c>
      <c r="EN140" s="60">
        <f t="shared" si="128"/>
        <v>284.99670540892674</v>
      </c>
      <c r="EO140" s="60">
        <f ca="1">AVERAGE(OFFSET($EN$3,0,0,'Données projet'!$E$15+1,1))-AVERAGE(OFFSET($H$3,0,0,'Données projet'!$E$15+1,1))</f>
        <v>273.72403794510291</v>
      </c>
      <c r="EP140" s="60">
        <f t="shared" si="154"/>
        <v>292.00185554564109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5.6843418860808015E-14</v>
      </c>
      <c r="FF140" s="18">
        <f>FE140*VLOOKUP('Données projet'!$B$16,Paramètres!$A$1:$I$89,3,0)*VLOOKUP('Données projet'!$B$16,Paramètres!$A$1:$I$89,5,0)</f>
        <v>4.4337866711430253E-14</v>
      </c>
      <c r="FG140" s="14">
        <f t="shared" si="155"/>
        <v>7.3222115536967035E-13</v>
      </c>
      <c r="FH140" s="22">
        <f t="shared" si="130"/>
        <v>1.3525069634579169E-12</v>
      </c>
      <c r="FI140" s="60">
        <f t="shared" si="131"/>
        <v>284.99670540892674</v>
      </c>
      <c r="FJ140" s="60">
        <f ca="1">AVERAGE(OFFSET($FI$3,0,0,'Données projet'!$E$16+1,1))-AVERAGE(OFFSET($H$3,0,0,'Données projet'!$E$16+1,1))</f>
        <v>309.21625451786218</v>
      </c>
      <c r="FK140" s="60">
        <f t="shared" si="156"/>
        <v>302.59481222418219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>
        <f>FZ140*VLOOKUP('Données projet'!$B$17,Paramètres!$A$1:$I$89,3,0)*VLOOKUP('Données projet'!$B$17,Paramètres!$A$1:$I$89,5,0)</f>
        <v>0</v>
      </c>
      <c r="GB140" s="14" t="e">
        <f t="shared" si="157"/>
        <v>#NUM!</v>
      </c>
      <c r="GC140" s="22" t="e">
        <f t="shared" si="133"/>
        <v>#NUM!</v>
      </c>
      <c r="GD140" s="60" t="e">
        <f t="shared" si="134"/>
        <v>#NUM!</v>
      </c>
      <c r="GE140" s="60">
        <f ca="1">AVERAGE(OFFSET($GD$3,0,0,'Données projet'!$E$17+1,1))-AVERAGE(OFFSET($H$3,0,0,'Données projet'!$E$17+1,1))</f>
        <v>216.36762889365235</v>
      </c>
      <c r="GF140" s="60">
        <f t="shared" si="158"/>
        <v>333.29599352215496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1.6220806462879354</v>
      </c>
      <c r="GM140" s="23">
        <f>EXP(-LN(2)/25)*GM139+(1-EXP(-LN(2)/25))/(LN(2)/25)*Calculateur!GH140*Calculateur!GJ140*VLOOKUP('Données projet'!$B$17,Paramètres!$A$1:$I$89,3,0)*0.475*44/12</f>
        <v>0.50184559315602217</v>
      </c>
      <c r="GN140" s="23">
        <f>EXP(-LN(2)/2)*GN139+(1-EXP(-LN(2)/2))/(LN(2)/2)*GH140*GK140*VLOOKUP('Données projet'!$B$17,Paramètres!$A$1:$I$89,3,0)*0.475*44/12</f>
        <v>2.2958109364443816E-16</v>
      </c>
      <c r="GO140" s="23">
        <f t="shared" si="135"/>
        <v>2.123926239443958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4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281.06831999999929</v>
      </c>
      <c r="P141" s="14">
        <f t="shared" si="141"/>
        <v>67.192725545416536</v>
      </c>
      <c r="Q141" s="22">
        <f t="shared" si="108"/>
        <v>606.55465432493247</v>
      </c>
      <c r="R141" s="60">
        <f t="shared" si="109"/>
        <v>891.69598159043835</v>
      </c>
      <c r="S141" s="60">
        <f ca="1">AVERAGE(OFFSET($R$3,0,0,'Données projet'!$E$9+1,1))-AVERAGE(OFFSET($H$3,0,0,'Données projet'!$E$9+1,1))</f>
        <v>496.33873798282525</v>
      </c>
      <c r="T141" s="60">
        <f t="shared" si="142"/>
        <v>280.25465074992246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3.4106051316484809E-13</v>
      </c>
      <c r="AJ141" s="14">
        <f>AI141*VLOOKUP('Données projet'!$B$10,Paramètres!$A$1:$I$89,3,0)*VLOOKUP('Données projet'!$B$10,Paramètres!$A$1:$I$89,5,0)</f>
        <v>1.5961632016114892E-13</v>
      </c>
      <c r="AK141" s="14">
        <f t="shared" si="143"/>
        <v>2.2708641912150958E-12</v>
      </c>
      <c r="AL141" s="22">
        <f t="shared" si="112"/>
        <v>4.2330868906469593E-12</v>
      </c>
      <c r="AM141" s="60">
        <f t="shared" si="113"/>
        <v>285.14132726551014</v>
      </c>
      <c r="AN141" s="60">
        <f ca="1">AVERAGE(OFFSET($AM$3,0,0,'Données projet'!$E$10+1,1))-AVERAGE(OFFSET($H$3,0,0,'Données projet'!$E$10+1,1))</f>
        <v>277.7918215389401</v>
      </c>
      <c r="AO141" s="60">
        <f t="shared" si="144"/>
        <v>164.65640238394164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-2.2737367544323206E-13</v>
      </c>
      <c r="BE141" s="14">
        <f>BD141*VLOOKUP('Données projet'!$B$11,Paramètres!$A$1:$I$89,3,0)*VLOOKUP('Données projet'!$B$11,Paramètres!$A$1:$I$89,5,0)</f>
        <v>-2.1636878955177963E-13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366.21371543563254</v>
      </c>
      <c r="BJ141" s="60">
        <f t="shared" si="146"/>
        <v>237.43356317334084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-5.1159076974727213E-13</v>
      </c>
      <c r="BZ141" s="14">
        <f>BY141*VLOOKUP('Données projet'!$B$12,Paramètres!$A$1:$I$89,3,0)*VLOOKUP('Données projet'!$B$12,Paramètres!$A$1:$I$89,5,0)</f>
        <v>-5.3471467253984886E-13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530.79860063513229</v>
      </c>
      <c r="CE141" s="60">
        <f t="shared" si="148"/>
        <v>302.50876440460434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262.93487999999934</v>
      </c>
      <c r="CV141" s="14">
        <f t="shared" si="149"/>
        <v>63.347566493432652</v>
      </c>
      <c r="CW141" s="22">
        <f t="shared" si="121"/>
        <v>568.27526097606062</v>
      </c>
      <c r="CX141" s="60">
        <f t="shared" si="122"/>
        <v>853.41658824156661</v>
      </c>
      <c r="CY141" s="60">
        <f ca="1">AVERAGE(OFFSET($CX$3,0,0,'Données projet'!$E$13+1,1))-AVERAGE(OFFSET($H$3,0,0,'Données projet'!$E$13+1,1))</f>
        <v>469.67944008675863</v>
      </c>
      <c r="CZ141" s="60">
        <f t="shared" si="150"/>
        <v>266.11908070867173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2.7</v>
      </c>
      <c r="DO141" s="13">
        <f>IF('Données projet'!$A$166&gt;35,DO140+DN141-DW140,IF(A141&lt;'Données projet'!$A$166,$DL$205^A141,IF(A141='Données projet'!$A$166,'Données projet'!$B$166,DO140+DN141-DW140)))</f>
        <v>290.59999999999928</v>
      </c>
      <c r="DP141" s="18">
        <f>DO141*VLOOKUP('Données projet'!$B$14,Paramètres!$A$1:$I$89,3,0)*VLOOKUP('Données projet'!$B$14,Paramètres!$A$1:$I$89,5,0)</f>
        <v>312.80183999999923</v>
      </c>
      <c r="DQ141" s="14">
        <f t="shared" si="151"/>
        <v>73.853659115640255</v>
      </c>
      <c r="DR141" s="22">
        <f t="shared" si="124"/>
        <v>673.42499429307202</v>
      </c>
      <c r="DS141" s="60">
        <f t="shared" si="125"/>
        <v>958.56632155857801</v>
      </c>
      <c r="DT141" s="60">
        <f ca="1">AVERAGE(OFFSET($DS$3,0,0,'Données projet'!$E$14+1,1))-AVERAGE(OFFSET($H$3,0,0,'Données projet'!$E$14+1,1))</f>
        <v>542.90832990875208</v>
      </c>
      <c r="DU141" s="60">
        <f t="shared" si="152"/>
        <v>304.94365539329362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5.6843418860808015E-14</v>
      </c>
      <c r="EK141" s="18">
        <f>EJ141*VLOOKUP('Données projet'!$B$15,Paramètres!$A$1:$I$89,3,0)*VLOOKUP('Données projet'!$B$15,Paramètres!$A$1:$I$89,5,0)</f>
        <v>4.5224624045658861E-14</v>
      </c>
      <c r="EL141" s="14">
        <f t="shared" si="153"/>
        <v>7.4514601661523691E-13</v>
      </c>
      <c r="EM141" s="22">
        <f t="shared" si="127"/>
        <v>1.3765621991510601E-12</v>
      </c>
      <c r="EN141" s="60">
        <f t="shared" si="128"/>
        <v>285.1413272655073</v>
      </c>
      <c r="EO141" s="60">
        <f ca="1">AVERAGE(OFFSET($EN$3,0,0,'Données projet'!$E$15+1,1))-AVERAGE(OFFSET($H$3,0,0,'Données projet'!$E$15+1,1))</f>
        <v>273.72403794510291</v>
      </c>
      <c r="EP141" s="60">
        <f t="shared" si="154"/>
        <v>292.00185554564109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5.6843418860808015E-14</v>
      </c>
      <c r="FF141" s="18">
        <f>FE141*VLOOKUP('Données projet'!$B$16,Paramètres!$A$1:$I$89,3,0)*VLOOKUP('Données projet'!$B$16,Paramètres!$A$1:$I$89,5,0)</f>
        <v>4.4337866711430253E-14</v>
      </c>
      <c r="FG141" s="14">
        <f t="shared" si="155"/>
        <v>7.3222115536967035E-13</v>
      </c>
      <c r="FH141" s="22">
        <f t="shared" si="130"/>
        <v>1.3525069634579169E-12</v>
      </c>
      <c r="FI141" s="60">
        <f t="shared" si="131"/>
        <v>285.1413272655073</v>
      </c>
      <c r="FJ141" s="60">
        <f ca="1">AVERAGE(OFFSET($FI$3,0,0,'Données projet'!$E$16+1,1))-AVERAGE(OFFSET($H$3,0,0,'Données projet'!$E$16+1,1))</f>
        <v>309.21625451786218</v>
      </c>
      <c r="FK141" s="60">
        <f t="shared" si="156"/>
        <v>302.59481222418219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>
        <f>FZ141*VLOOKUP('Données projet'!$B$17,Paramètres!$A$1:$I$89,3,0)*VLOOKUP('Données projet'!$B$17,Paramètres!$A$1:$I$89,5,0)</f>
        <v>0</v>
      </c>
      <c r="GB141" s="14" t="e">
        <f t="shared" si="157"/>
        <v>#NUM!</v>
      </c>
      <c r="GC141" s="22" t="e">
        <f t="shared" si="133"/>
        <v>#NUM!</v>
      </c>
      <c r="GD141" s="60" t="e">
        <f t="shared" si="134"/>
        <v>#NUM!</v>
      </c>
      <c r="GE141" s="60">
        <f ca="1">AVERAGE(OFFSET($GD$3,0,0,'Données projet'!$E$17+1,1))-AVERAGE(OFFSET($H$3,0,0,'Données projet'!$E$17+1,1))</f>
        <v>216.36762889365235</v>
      </c>
      <c r="GF141" s="60">
        <f t="shared" si="158"/>
        <v>333.29599352215496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1.5902726341857309</v>
      </c>
      <c r="GM141" s="23">
        <f>EXP(-LN(2)/25)*GM140+(1-EXP(-LN(2)/25))/(LN(2)/25)*Calculateur!GH141*Calculateur!GJ141*VLOOKUP('Données projet'!$B$17,Paramètres!$A$1:$I$89,3,0)*0.475*44/12</f>
        <v>0.48812259902025801</v>
      </c>
      <c r="GN141" s="23">
        <f>EXP(-LN(2)/2)*GN140+(1-EXP(-LN(2)/2))/(LN(2)/2)*GH141*GK141*VLOOKUP('Données projet'!$B$17,Paramètres!$A$1:$I$89,3,0)*0.475*44/12</f>
        <v>1.6233834814820601E-16</v>
      </c>
      <c r="GO141" s="23">
        <f t="shared" si="135"/>
        <v>2.0783952332059892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4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283.67975999999931</v>
      </c>
      <c r="P142" s="14">
        <f t="shared" si="141"/>
        <v>67.74405605004435</v>
      </c>
      <c r="Q142" s="22">
        <f t="shared" si="108"/>
        <v>612.06314628715938</v>
      </c>
      <c r="R142" s="60">
        <f t="shared" si="109"/>
        <v>897.34658654336022</v>
      </c>
      <c r="S142" s="60">
        <f ca="1">AVERAGE(OFFSET($R$3,0,0,'Données projet'!$E$9+1,1))-AVERAGE(OFFSET($H$3,0,0,'Données projet'!$E$9+1,1))</f>
        <v>496.33873798282525</v>
      </c>
      <c r="T142" s="60">
        <f t="shared" si="142"/>
        <v>280.25465074992246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3.4106051316484809E-13</v>
      </c>
      <c r="AJ142" s="14">
        <f>AI142*VLOOKUP('Données projet'!$B$10,Paramètres!$A$1:$I$89,3,0)*VLOOKUP('Données projet'!$B$10,Paramètres!$A$1:$I$89,5,0)</f>
        <v>1.5961632016114892E-13</v>
      </c>
      <c r="AK142" s="14">
        <f t="shared" si="143"/>
        <v>2.2708641912150958E-12</v>
      </c>
      <c r="AL142" s="22">
        <f t="shared" si="112"/>
        <v>4.2330868906469593E-12</v>
      </c>
      <c r="AM142" s="60">
        <f t="shared" si="113"/>
        <v>285.2834402562051</v>
      </c>
      <c r="AN142" s="60">
        <f ca="1">AVERAGE(OFFSET($AM$3,0,0,'Données projet'!$E$10+1,1))-AVERAGE(OFFSET($H$3,0,0,'Données projet'!$E$10+1,1))</f>
        <v>277.7918215389401</v>
      </c>
      <c r="AO142" s="60">
        <f t="shared" si="144"/>
        <v>164.65640238394164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-2.2737367544323206E-13</v>
      </c>
      <c r="BE142" s="14">
        <f>BD142*VLOOKUP('Données projet'!$B$11,Paramètres!$A$1:$I$89,3,0)*VLOOKUP('Données projet'!$B$11,Paramètres!$A$1:$I$89,5,0)</f>
        <v>-2.1636878955177963E-13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366.21371543563254</v>
      </c>
      <c r="BJ142" s="60">
        <f t="shared" si="146"/>
        <v>237.43356317334084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-5.1159076974727213E-13</v>
      </c>
      <c r="BZ142" s="14">
        <f>BY142*VLOOKUP('Données projet'!$B$12,Paramètres!$A$1:$I$89,3,0)*VLOOKUP('Données projet'!$B$12,Paramètres!$A$1:$I$89,5,0)</f>
        <v>-5.3471467253984886E-13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530.79860063513229</v>
      </c>
      <c r="CE142" s="60">
        <f t="shared" si="148"/>
        <v>302.50876440460434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265.37783999999937</v>
      </c>
      <c r="CV142" s="14">
        <f t="shared" si="149"/>
        <v>63.867346655917089</v>
      </c>
      <c r="CW142" s="22">
        <f t="shared" si="121"/>
        <v>573.43536675905443</v>
      </c>
      <c r="CX142" s="60">
        <f t="shared" si="122"/>
        <v>858.71880701525538</v>
      </c>
      <c r="CY142" s="60">
        <f ca="1">AVERAGE(OFFSET($CX$3,0,0,'Données projet'!$E$13+1,1))-AVERAGE(OFFSET($H$3,0,0,'Données projet'!$E$13+1,1))</f>
        <v>469.67944008675863</v>
      </c>
      <c r="CZ142" s="60">
        <f t="shared" si="150"/>
        <v>266.11908070867173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2.7</v>
      </c>
      <c r="DO142" s="13">
        <f>IF('Données projet'!$A$166&gt;35,DO141+DN142-DW141,IF(A142&lt;'Données projet'!$A$166,$DL$205^A142,IF(A142='Données projet'!$A$166,'Données projet'!$B$166,DO141+DN142-DW141)))</f>
        <v>293.29999999999927</v>
      </c>
      <c r="DP142" s="18">
        <f>DO142*VLOOKUP('Données projet'!$B$14,Paramètres!$A$1:$I$89,3,0)*VLOOKUP('Données projet'!$B$14,Paramètres!$A$1:$I$89,5,0)</f>
        <v>315.70811999999916</v>
      </c>
      <c r="DQ142" s="14">
        <f t="shared" si="151"/>
        <v>74.459643987042966</v>
      </c>
      <c r="DR142" s="22">
        <f t="shared" si="124"/>
        <v>679.54218894409837</v>
      </c>
      <c r="DS142" s="60">
        <f t="shared" si="125"/>
        <v>964.82562920029932</v>
      </c>
      <c r="DT142" s="60">
        <f ca="1">AVERAGE(OFFSET($DS$3,0,0,'Données projet'!$E$14+1,1))-AVERAGE(OFFSET($H$3,0,0,'Données projet'!$E$14+1,1))</f>
        <v>542.90832990875208</v>
      </c>
      <c r="DU142" s="60">
        <f t="shared" si="152"/>
        <v>304.94365539329362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5.6843418860808015E-14</v>
      </c>
      <c r="EK142" s="18">
        <f>EJ142*VLOOKUP('Données projet'!$B$15,Paramètres!$A$1:$I$89,3,0)*VLOOKUP('Données projet'!$B$15,Paramètres!$A$1:$I$89,5,0)</f>
        <v>4.5224624045658861E-14</v>
      </c>
      <c r="EL142" s="14">
        <f t="shared" si="153"/>
        <v>7.4514601661523691E-13</v>
      </c>
      <c r="EM142" s="22">
        <f t="shared" si="127"/>
        <v>1.3765621991510601E-12</v>
      </c>
      <c r="EN142" s="60">
        <f t="shared" si="128"/>
        <v>285.28344025620225</v>
      </c>
      <c r="EO142" s="60">
        <f ca="1">AVERAGE(OFFSET($EN$3,0,0,'Données projet'!$E$15+1,1))-AVERAGE(OFFSET($H$3,0,0,'Données projet'!$E$15+1,1))</f>
        <v>273.72403794510291</v>
      </c>
      <c r="EP142" s="60">
        <f t="shared" si="154"/>
        <v>292.00185554564109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5.6843418860808015E-14</v>
      </c>
      <c r="FF142" s="18">
        <f>FE142*VLOOKUP('Données projet'!$B$16,Paramètres!$A$1:$I$89,3,0)*VLOOKUP('Données projet'!$B$16,Paramètres!$A$1:$I$89,5,0)</f>
        <v>4.4337866711430253E-14</v>
      </c>
      <c r="FG142" s="14">
        <f t="shared" si="155"/>
        <v>7.3222115536967035E-13</v>
      </c>
      <c r="FH142" s="22">
        <f t="shared" si="130"/>
        <v>1.3525069634579169E-12</v>
      </c>
      <c r="FI142" s="60">
        <f t="shared" si="131"/>
        <v>285.28344025620225</v>
      </c>
      <c r="FJ142" s="60">
        <f ca="1">AVERAGE(OFFSET($FI$3,0,0,'Données projet'!$E$16+1,1))-AVERAGE(OFFSET($H$3,0,0,'Données projet'!$E$16+1,1))</f>
        <v>309.21625451786218</v>
      </c>
      <c r="FK142" s="60">
        <f t="shared" si="156"/>
        <v>302.59481222418219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>
        <f>FZ142*VLOOKUP('Données projet'!$B$17,Paramètres!$A$1:$I$89,3,0)*VLOOKUP('Données projet'!$B$17,Paramètres!$A$1:$I$89,5,0)</f>
        <v>0</v>
      </c>
      <c r="GB142" s="14" t="e">
        <f t="shared" si="157"/>
        <v>#NUM!</v>
      </c>
      <c r="GC142" s="22" t="e">
        <f t="shared" si="133"/>
        <v>#NUM!</v>
      </c>
      <c r="GD142" s="60" t="e">
        <f t="shared" si="134"/>
        <v>#NUM!</v>
      </c>
      <c r="GE142" s="60">
        <f ca="1">AVERAGE(OFFSET($GD$3,0,0,'Données projet'!$E$17+1,1))-AVERAGE(OFFSET($H$3,0,0,'Données projet'!$E$17+1,1))</f>
        <v>216.36762889365235</v>
      </c>
      <c r="GF142" s="60">
        <f t="shared" si="158"/>
        <v>333.29599352215496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1.5590883577998791</v>
      </c>
      <c r="GM142" s="23">
        <f>EXP(-LN(2)/25)*GM141+(1-EXP(-LN(2)/25))/(LN(2)/25)*Calculateur!GH142*Calculateur!GJ142*VLOOKUP('Données projet'!$B$17,Paramètres!$A$1:$I$89,3,0)*0.475*44/12</f>
        <v>0.47477486088079718</v>
      </c>
      <c r="GN142" s="23">
        <f>EXP(-LN(2)/2)*GN141+(1-EXP(-LN(2)/2))/(LN(2)/2)*GH142*GK142*VLOOKUP('Données projet'!$B$17,Paramètres!$A$1:$I$89,3,0)*0.475*44/12</f>
        <v>1.1479054682221908E-16</v>
      </c>
      <c r="GO142" s="23">
        <f t="shared" si="135"/>
        <v>2.0338632186806764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4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286.29119999999926</v>
      </c>
      <c r="P143" s="14">
        <f t="shared" si="141"/>
        <v>68.294796094604223</v>
      </c>
      <c r="Q143" s="22">
        <f t="shared" si="108"/>
        <v>617.57060986476779</v>
      </c>
      <c r="R143" s="60">
        <f t="shared" si="109"/>
        <v>902.99369776899221</v>
      </c>
      <c r="S143" s="60">
        <f ca="1">AVERAGE(OFFSET($R$3,0,0,'Données projet'!$E$9+1,1))-AVERAGE(OFFSET($H$3,0,0,'Données projet'!$E$9+1,1))</f>
        <v>496.33873798282525</v>
      </c>
      <c r="T143" s="60">
        <f t="shared" si="142"/>
        <v>280.25465074992246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3.4106051316484809E-13</v>
      </c>
      <c r="AJ143" s="14">
        <f>AI143*VLOOKUP('Données projet'!$B$10,Paramètres!$A$1:$I$89,3,0)*VLOOKUP('Données projet'!$B$10,Paramètres!$A$1:$I$89,5,0)</f>
        <v>1.5961632016114892E-13</v>
      </c>
      <c r="AK143" s="14">
        <f t="shared" si="143"/>
        <v>2.2708641912150958E-12</v>
      </c>
      <c r="AL143" s="22">
        <f t="shared" si="112"/>
        <v>4.2330868906469593E-12</v>
      </c>
      <c r="AM143" s="60">
        <f t="shared" si="113"/>
        <v>285.42308790422857</v>
      </c>
      <c r="AN143" s="60">
        <f ca="1">AVERAGE(OFFSET($AM$3,0,0,'Données projet'!$E$10+1,1))-AVERAGE(OFFSET($H$3,0,0,'Données projet'!$E$10+1,1))</f>
        <v>277.7918215389401</v>
      </c>
      <c r="AO143" s="60">
        <f t="shared" si="144"/>
        <v>164.65640238394164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-2.2737367544323206E-13</v>
      </c>
      <c r="BE143" s="14">
        <f>BD143*VLOOKUP('Données projet'!$B$11,Paramètres!$A$1:$I$89,3,0)*VLOOKUP('Données projet'!$B$11,Paramètres!$A$1:$I$89,5,0)</f>
        <v>-2.1636878955177963E-13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366.21371543563254</v>
      </c>
      <c r="BJ143" s="60">
        <f t="shared" si="146"/>
        <v>237.43356317334084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-5.1159076974727213E-13</v>
      </c>
      <c r="BZ143" s="14">
        <f>BY143*VLOOKUP('Données projet'!$B$12,Paramètres!$A$1:$I$89,3,0)*VLOOKUP('Données projet'!$B$12,Paramètres!$A$1:$I$89,5,0)</f>
        <v>-5.3471467253984886E-13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530.79860063513229</v>
      </c>
      <c r="CE143" s="60">
        <f t="shared" si="148"/>
        <v>302.50876440460434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267.82079999999934</v>
      </c>
      <c r="CV143" s="14">
        <f t="shared" si="149"/>
        <v>64.386570147897245</v>
      </c>
      <c r="CW143" s="22">
        <f t="shared" si="121"/>
        <v>578.59450300758647</v>
      </c>
      <c r="CX143" s="60">
        <f t="shared" si="122"/>
        <v>864.01759091181088</v>
      </c>
      <c r="CY143" s="60">
        <f ca="1">AVERAGE(OFFSET($CX$3,0,0,'Données projet'!$E$13+1,1))-AVERAGE(OFFSET($H$3,0,0,'Données projet'!$E$13+1,1))</f>
        <v>469.67944008675863</v>
      </c>
      <c r="CZ143" s="60">
        <f t="shared" si="150"/>
        <v>266.11908070867173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296</v>
      </c>
      <c r="DM143" s="13">
        <f>VLOOKUP(A143,'Données projet'!$A$165:$I$185,9,0)</f>
        <v>2.7</v>
      </c>
      <c r="DN143" s="13">
        <f t="array" ref="DN143">INDEX(DM:DM,MIN(IF(ISNUMBER(DM143:DM339),ROW(DM143:DM339),"")))</f>
        <v>2.7</v>
      </c>
      <c r="DO143" s="13">
        <f>IF('Données projet'!$A$166&gt;35,DO142+DN143-DW142,IF(A143&lt;'Données projet'!$A$166,$DL$205^A143,IF(A143='Données projet'!$A$166,'Données projet'!$B$166,DO142+DN143-DW142)))</f>
        <v>295.99999999999926</v>
      </c>
      <c r="DP143" s="18">
        <f>DO143*VLOOKUP('Données projet'!$B$14,Paramètres!$A$1:$I$89,3,0)*VLOOKUP('Données projet'!$B$14,Paramètres!$A$1:$I$89,5,0)</f>
        <v>318.61439999999919</v>
      </c>
      <c r="DQ143" s="14">
        <f t="shared" si="151"/>
        <v>75.064979865028292</v>
      </c>
      <c r="DR143" s="22">
        <f t="shared" si="124"/>
        <v>685.65825326492302</v>
      </c>
      <c r="DS143" s="60">
        <f t="shared" si="125"/>
        <v>971.08134116914744</v>
      </c>
      <c r="DT143" s="60">
        <f ca="1">AVERAGE(OFFSET($DS$3,0,0,'Données projet'!$E$14+1,1))-AVERAGE(OFFSET($H$3,0,0,'Données projet'!$E$14+1,1))</f>
        <v>542.90832990875208</v>
      </c>
      <c r="DU143" s="60">
        <f t="shared" si="152"/>
        <v>304.94365539329362</v>
      </c>
      <c r="DV143" s="16">
        <f>IF(ISNA(VLOOKUP(A143,'Données projet'!$A$165:$I$185,3,0)),0,VLOOKUP(A143,'Données projet'!$A$165:$I$185,3,0))</f>
        <v>12</v>
      </c>
      <c r="DW143" s="16">
        <f>IF(ISNA(VLOOKUP(A143,'Données projet'!$A$165:$I$185,4,0)),0,VLOOKUP(A143,'Données projet'!$A$165:$I$185,4,0))</f>
        <v>27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5.6843418860808015E-14</v>
      </c>
      <c r="EK143" s="18">
        <f>EJ143*VLOOKUP('Données projet'!$B$15,Paramètres!$A$1:$I$89,3,0)*VLOOKUP('Données projet'!$B$15,Paramètres!$A$1:$I$89,5,0)</f>
        <v>4.5224624045658861E-14</v>
      </c>
      <c r="EL143" s="14">
        <f t="shared" si="153"/>
        <v>7.4514601661523691E-13</v>
      </c>
      <c r="EM143" s="22">
        <f t="shared" si="127"/>
        <v>1.3765621991510601E-12</v>
      </c>
      <c r="EN143" s="60">
        <f t="shared" si="128"/>
        <v>285.42308790422572</v>
      </c>
      <c r="EO143" s="60">
        <f ca="1">AVERAGE(OFFSET($EN$3,0,0,'Données projet'!$E$15+1,1))-AVERAGE(OFFSET($H$3,0,0,'Données projet'!$E$15+1,1))</f>
        <v>273.72403794510291</v>
      </c>
      <c r="EP143" s="60">
        <f t="shared" si="154"/>
        <v>292.00185554564109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5.6843418860808015E-14</v>
      </c>
      <c r="FF143" s="18">
        <f>FE143*VLOOKUP('Données projet'!$B$16,Paramètres!$A$1:$I$89,3,0)*VLOOKUP('Données projet'!$B$16,Paramètres!$A$1:$I$89,5,0)</f>
        <v>4.4337866711430253E-14</v>
      </c>
      <c r="FG143" s="14">
        <f t="shared" si="155"/>
        <v>7.3222115536967035E-13</v>
      </c>
      <c r="FH143" s="22">
        <f t="shared" si="130"/>
        <v>1.3525069634579169E-12</v>
      </c>
      <c r="FI143" s="60">
        <f t="shared" si="131"/>
        <v>285.42308790422572</v>
      </c>
      <c r="FJ143" s="60">
        <f ca="1">AVERAGE(OFFSET($FI$3,0,0,'Données projet'!$E$16+1,1))-AVERAGE(OFFSET($H$3,0,0,'Données projet'!$E$16+1,1))</f>
        <v>309.21625451786218</v>
      </c>
      <c r="FK143" s="60">
        <f t="shared" si="156"/>
        <v>302.59481222418219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>
        <f>FZ143*VLOOKUP('Données projet'!$B$17,Paramètres!$A$1:$I$89,3,0)*VLOOKUP('Données projet'!$B$17,Paramètres!$A$1:$I$89,5,0)</f>
        <v>0</v>
      </c>
      <c r="GB143" s="14" t="e">
        <f t="shared" si="157"/>
        <v>#NUM!</v>
      </c>
      <c r="GC143" s="22" t="e">
        <f t="shared" si="133"/>
        <v>#NUM!</v>
      </c>
      <c r="GD143" s="60" t="e">
        <f t="shared" si="134"/>
        <v>#NUM!</v>
      </c>
      <c r="GE143" s="60">
        <f ca="1">AVERAGE(OFFSET($GD$3,0,0,'Données projet'!$E$17+1,1))-AVERAGE(OFFSET($H$3,0,0,'Données projet'!$E$17+1,1))</f>
        <v>216.36762889365235</v>
      </c>
      <c r="GF143" s="60">
        <f t="shared" si="158"/>
        <v>333.29599352215496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1.5285155860534232</v>
      </c>
      <c r="GM143" s="23">
        <f>EXP(-LN(2)/25)*GM142+(1-EXP(-LN(2)/25))/(LN(2)/25)*Calculateur!GH143*Calculateur!GJ143*VLOOKUP('Données projet'!$B$17,Paramètres!$A$1:$I$89,3,0)*0.475*44/12</f>
        <v>0.46179211734268694</v>
      </c>
      <c r="GN143" s="23">
        <f>EXP(-LN(2)/2)*GN142+(1-EXP(-LN(2)/2))/(LN(2)/2)*GH143*GK143*VLOOKUP('Données projet'!$B$17,Paramètres!$A$1:$I$89,3,0)*0.475*44/12</f>
        <v>8.1169174074103006E-17</v>
      </c>
      <c r="GO143" s="23">
        <f t="shared" si="135"/>
        <v>1.9903077033961101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4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262.49807999999928</v>
      </c>
      <c r="P144" s="14">
        <f t="shared" si="141"/>
        <v>63.254570961137979</v>
      </c>
      <c r="Q144" s="22">
        <f t="shared" si="108"/>
        <v>567.35253375731406</v>
      </c>
      <c r="R144" s="60">
        <f t="shared" si="109"/>
        <v>852.91284673507403</v>
      </c>
      <c r="S144" s="60">
        <f ca="1">AVERAGE(OFFSET($R$3,0,0,'Données projet'!$E$9+1,1))-AVERAGE(OFFSET($H$3,0,0,'Données projet'!$E$9+1,1))</f>
        <v>496.33873798282525</v>
      </c>
      <c r="T144" s="60">
        <f t="shared" si="142"/>
        <v>280.25465074992246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3.4106051316484809E-13</v>
      </c>
      <c r="AJ144" s="14">
        <f>AI144*VLOOKUP('Données projet'!$B$10,Paramètres!$A$1:$I$89,3,0)*VLOOKUP('Données projet'!$B$10,Paramètres!$A$1:$I$89,5,0)</f>
        <v>1.5961632016114892E-13</v>
      </c>
      <c r="AK144" s="14">
        <f t="shared" si="143"/>
        <v>2.2708641912150958E-12</v>
      </c>
      <c r="AL144" s="22">
        <f t="shared" si="112"/>
        <v>4.2330868906469593E-12</v>
      </c>
      <c r="AM144" s="60">
        <f t="shared" si="113"/>
        <v>285.56031297776423</v>
      </c>
      <c r="AN144" s="60">
        <f ca="1">AVERAGE(OFFSET($AM$3,0,0,'Données projet'!$E$10+1,1))-AVERAGE(OFFSET($H$3,0,0,'Données projet'!$E$10+1,1))</f>
        <v>277.7918215389401</v>
      </c>
      <c r="AO144" s="60">
        <f t="shared" si="144"/>
        <v>164.65640238394164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-2.2737367544323206E-13</v>
      </c>
      <c r="BE144" s="14">
        <f>BD144*VLOOKUP('Données projet'!$B$11,Paramètres!$A$1:$I$89,3,0)*VLOOKUP('Données projet'!$B$11,Paramètres!$A$1:$I$89,5,0)</f>
        <v>-2.1636878955177963E-13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366.21371543563254</v>
      </c>
      <c r="BJ144" s="60">
        <f t="shared" si="146"/>
        <v>237.43356317334084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-5.1159076974727213E-13</v>
      </c>
      <c r="BZ144" s="14">
        <f>BY144*VLOOKUP('Données projet'!$B$12,Paramètres!$A$1:$I$89,3,0)*VLOOKUP('Données projet'!$B$12,Paramètres!$A$1:$I$89,5,0)</f>
        <v>-5.3471467253984886E-13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530.79860063513229</v>
      </c>
      <c r="CE144" s="60">
        <f t="shared" si="148"/>
        <v>302.50876440460434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245.5627199999993</v>
      </c>
      <c r="CV144" s="14">
        <f t="shared" si="149"/>
        <v>59.634776048276741</v>
      </c>
      <c r="CW144" s="22">
        <f t="shared" si="121"/>
        <v>531.55230561741405</v>
      </c>
      <c r="CX144" s="60">
        <f t="shared" si="122"/>
        <v>817.11261859517413</v>
      </c>
      <c r="CY144" s="60">
        <f ca="1">AVERAGE(OFFSET($CX$3,0,0,'Données projet'!$E$13+1,1))-AVERAGE(OFFSET($H$3,0,0,'Données projet'!$E$13+1,1))</f>
        <v>469.67944008675863</v>
      </c>
      <c r="CZ144" s="60">
        <f t="shared" si="150"/>
        <v>266.11908070867173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2.4</v>
      </c>
      <c r="DO144" s="13">
        <f>IF('Données projet'!$A$166&gt;35,DO143+DN144-DW143,IF(A144&lt;'Données projet'!$A$166,$DL$205^A144,IF(A144='Données projet'!$A$166,'Données projet'!$B$166,DO143+DN144-DW143)))</f>
        <v>271.39999999999924</v>
      </c>
      <c r="DP144" s="18">
        <f>DO144*VLOOKUP('Données projet'!$B$14,Paramètres!$A$1:$I$89,3,0)*VLOOKUP('Données projet'!$B$14,Paramètres!$A$1:$I$89,5,0)</f>
        <v>292.13495999999913</v>
      </c>
      <c r="DQ144" s="14">
        <f t="shared" si="151"/>
        <v>69.525108311202104</v>
      </c>
      <c r="DR144" s="22">
        <f t="shared" si="124"/>
        <v>629.89128564200882</v>
      </c>
      <c r="DS144" s="60">
        <f t="shared" si="125"/>
        <v>915.4515986197689</v>
      </c>
      <c r="DT144" s="60">
        <f ca="1">AVERAGE(OFFSET($DS$3,0,0,'Données projet'!$E$14+1,1))-AVERAGE(OFFSET($H$3,0,0,'Données projet'!$E$14+1,1))</f>
        <v>542.90832990875208</v>
      </c>
      <c r="DU144" s="60">
        <f t="shared" si="152"/>
        <v>304.94365539329362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5.6843418860808015E-14</v>
      </c>
      <c r="EK144" s="18">
        <f>EJ144*VLOOKUP('Données projet'!$B$15,Paramètres!$A$1:$I$89,3,0)*VLOOKUP('Données projet'!$B$15,Paramètres!$A$1:$I$89,5,0)</f>
        <v>4.5224624045658861E-14</v>
      </c>
      <c r="EL144" s="14">
        <f t="shared" si="153"/>
        <v>7.4514601661523691E-13</v>
      </c>
      <c r="EM144" s="22">
        <f t="shared" si="127"/>
        <v>1.3765621991510601E-12</v>
      </c>
      <c r="EN144" s="60">
        <f t="shared" si="128"/>
        <v>285.56031297776138</v>
      </c>
      <c r="EO144" s="60">
        <f ca="1">AVERAGE(OFFSET($EN$3,0,0,'Données projet'!$E$15+1,1))-AVERAGE(OFFSET($H$3,0,0,'Données projet'!$E$15+1,1))</f>
        <v>273.72403794510291</v>
      </c>
      <c r="EP144" s="60">
        <f t="shared" si="154"/>
        <v>292.00185554564109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5.6843418860808015E-14</v>
      </c>
      <c r="FF144" s="18">
        <f>FE144*VLOOKUP('Données projet'!$B$16,Paramètres!$A$1:$I$89,3,0)*VLOOKUP('Données projet'!$B$16,Paramètres!$A$1:$I$89,5,0)</f>
        <v>4.4337866711430253E-14</v>
      </c>
      <c r="FG144" s="14">
        <f t="shared" si="155"/>
        <v>7.3222115536967035E-13</v>
      </c>
      <c r="FH144" s="22">
        <f t="shared" si="130"/>
        <v>1.3525069634579169E-12</v>
      </c>
      <c r="FI144" s="60">
        <f t="shared" si="131"/>
        <v>285.56031297776138</v>
      </c>
      <c r="FJ144" s="60">
        <f ca="1">AVERAGE(OFFSET($FI$3,0,0,'Données projet'!$E$16+1,1))-AVERAGE(OFFSET($H$3,0,0,'Données projet'!$E$16+1,1))</f>
        <v>309.21625451786218</v>
      </c>
      <c r="FK144" s="60">
        <f t="shared" si="156"/>
        <v>302.59481222418219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>
        <f>FZ144*VLOOKUP('Données projet'!$B$17,Paramètres!$A$1:$I$89,3,0)*VLOOKUP('Données projet'!$B$17,Paramètres!$A$1:$I$89,5,0)</f>
        <v>0</v>
      </c>
      <c r="GB144" s="14" t="e">
        <f t="shared" si="157"/>
        <v>#NUM!</v>
      </c>
      <c r="GC144" s="22" t="e">
        <f t="shared" si="133"/>
        <v>#NUM!</v>
      </c>
      <c r="GD144" s="60" t="e">
        <f t="shared" si="134"/>
        <v>#NUM!</v>
      </c>
      <c r="GE144" s="60">
        <f ca="1">AVERAGE(OFFSET($GD$3,0,0,'Données projet'!$E$17+1,1))-AVERAGE(OFFSET($H$3,0,0,'Données projet'!$E$17+1,1))</f>
        <v>216.36762889365235</v>
      </c>
      <c r="GF144" s="60">
        <f t="shared" si="158"/>
        <v>333.29599352215496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1.4985423277133658</v>
      </c>
      <c r="GM144" s="23">
        <f>EXP(-LN(2)/25)*GM143+(1-EXP(-LN(2)/25))/(LN(2)/25)*Calculateur!GH144*Calculateur!GJ144*VLOOKUP('Données projet'!$B$17,Paramètres!$A$1:$I$89,3,0)*0.475*44/12</f>
        <v>0.44916438760935917</v>
      </c>
      <c r="GN144" s="23">
        <f>EXP(-LN(2)/2)*GN143+(1-EXP(-LN(2)/2))/(LN(2)/2)*GH144*GK144*VLOOKUP('Données projet'!$B$17,Paramètres!$A$1:$I$89,3,0)*0.475*44/12</f>
        <v>5.739527341110954E-17</v>
      </c>
      <c r="GO144" s="23">
        <f t="shared" si="135"/>
        <v>1.947706715322725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4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264.81935999999928</v>
      </c>
      <c r="P145" s="14">
        <f t="shared" si="141"/>
        <v>63.748570085236892</v>
      </c>
      <c r="Q145" s="22">
        <f t="shared" si="108"/>
        <v>572.25581156511964</v>
      </c>
      <c r="R145" s="60">
        <f t="shared" si="109"/>
        <v>857.95096906817867</v>
      </c>
      <c r="S145" s="60">
        <f ca="1">AVERAGE(OFFSET($R$3,0,0,'Données projet'!$E$9+1,1))-AVERAGE(OFFSET($H$3,0,0,'Données projet'!$E$9+1,1))</f>
        <v>496.33873798282525</v>
      </c>
      <c r="T145" s="60">
        <f t="shared" si="142"/>
        <v>280.25465074992246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3.4106051316484809E-13</v>
      </c>
      <c r="AJ145" s="14">
        <f>AI145*VLOOKUP('Données projet'!$B$10,Paramètres!$A$1:$I$89,3,0)*VLOOKUP('Données projet'!$B$10,Paramètres!$A$1:$I$89,5,0)</f>
        <v>1.5961632016114892E-13</v>
      </c>
      <c r="AK145" s="14">
        <f t="shared" si="143"/>
        <v>2.2708641912150958E-12</v>
      </c>
      <c r="AL145" s="22">
        <f t="shared" si="112"/>
        <v>4.2330868906469593E-12</v>
      </c>
      <c r="AM145" s="60">
        <f t="shared" si="113"/>
        <v>285.69515750306329</v>
      </c>
      <c r="AN145" s="60">
        <f ca="1">AVERAGE(OFFSET($AM$3,0,0,'Données projet'!$E$10+1,1))-AVERAGE(OFFSET($H$3,0,0,'Données projet'!$E$10+1,1))</f>
        <v>277.7918215389401</v>
      </c>
      <c r="AO145" s="60">
        <f t="shared" si="144"/>
        <v>164.65640238394164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-2.2737367544323206E-13</v>
      </c>
      <c r="BE145" s="14">
        <f>BD145*VLOOKUP('Données projet'!$B$11,Paramètres!$A$1:$I$89,3,0)*VLOOKUP('Données projet'!$B$11,Paramètres!$A$1:$I$89,5,0)</f>
        <v>-2.1636878955177963E-13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366.21371543563254</v>
      </c>
      <c r="BJ145" s="60">
        <f t="shared" si="146"/>
        <v>237.43356317334084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-5.1159076974727213E-13</v>
      </c>
      <c r="BZ145" s="14">
        <f>BY145*VLOOKUP('Données projet'!$B$12,Paramètres!$A$1:$I$89,3,0)*VLOOKUP('Données projet'!$B$12,Paramètres!$A$1:$I$89,5,0)</f>
        <v>-5.3471467253984886E-13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530.79860063513229</v>
      </c>
      <c r="CE145" s="60">
        <f t="shared" si="148"/>
        <v>302.50876440460434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247.73423999999929</v>
      </c>
      <c r="CV145" s="14">
        <f t="shared" si="149"/>
        <v>60.100505665694953</v>
      </c>
      <c r="CW145" s="22">
        <f t="shared" si="121"/>
        <v>536.14551536775082</v>
      </c>
      <c r="CX145" s="60">
        <f t="shared" si="122"/>
        <v>821.84067287080984</v>
      </c>
      <c r="CY145" s="60">
        <f ca="1">AVERAGE(OFFSET($CX$3,0,0,'Données projet'!$E$13+1,1))-AVERAGE(OFFSET($H$3,0,0,'Données projet'!$E$13+1,1))</f>
        <v>469.67944008675863</v>
      </c>
      <c r="CZ145" s="60">
        <f t="shared" si="150"/>
        <v>266.11908070867173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2.4</v>
      </c>
      <c r="DO145" s="13">
        <f>IF('Données projet'!$A$166&gt;35,DO144+DN145-DW144,IF(A145&lt;'Données projet'!$A$166,$DL$205^A145,IF(A145='Données projet'!$A$166,'Données projet'!$B$166,DO144+DN145-DW144)))</f>
        <v>273.79999999999922</v>
      </c>
      <c r="DP145" s="18">
        <f>DO145*VLOOKUP('Données projet'!$B$14,Paramètres!$A$1:$I$89,3,0)*VLOOKUP('Données projet'!$B$14,Paramètres!$A$1:$I$89,5,0)</f>
        <v>294.71831999999915</v>
      </c>
      <c r="DQ145" s="14">
        <f t="shared" si="151"/>
        <v>70.068078441055917</v>
      </c>
      <c r="DR145" s="22">
        <f t="shared" si="124"/>
        <v>635.33631061817096</v>
      </c>
      <c r="DS145" s="60">
        <f t="shared" si="125"/>
        <v>921.03146812123009</v>
      </c>
      <c r="DT145" s="60">
        <f ca="1">AVERAGE(OFFSET($DS$3,0,0,'Données projet'!$E$14+1,1))-AVERAGE(OFFSET($H$3,0,0,'Données projet'!$E$14+1,1))</f>
        <v>542.90832990875208</v>
      </c>
      <c r="DU145" s="60">
        <f t="shared" si="152"/>
        <v>304.94365539329362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5.6843418860808015E-14</v>
      </c>
      <c r="EK145" s="18">
        <f>EJ145*VLOOKUP('Données projet'!$B$15,Paramètres!$A$1:$I$89,3,0)*VLOOKUP('Données projet'!$B$15,Paramètres!$A$1:$I$89,5,0)</f>
        <v>4.5224624045658861E-14</v>
      </c>
      <c r="EL145" s="14">
        <f t="shared" si="153"/>
        <v>7.4514601661523691E-13</v>
      </c>
      <c r="EM145" s="22">
        <f t="shared" si="127"/>
        <v>1.3765621991510601E-12</v>
      </c>
      <c r="EN145" s="60">
        <f t="shared" si="128"/>
        <v>285.69515750306044</v>
      </c>
      <c r="EO145" s="60">
        <f ca="1">AVERAGE(OFFSET($EN$3,0,0,'Données projet'!$E$15+1,1))-AVERAGE(OFFSET($H$3,0,0,'Données projet'!$E$15+1,1))</f>
        <v>273.72403794510291</v>
      </c>
      <c r="EP145" s="60">
        <f t="shared" si="154"/>
        <v>292.00185554564109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5.6843418860808015E-14</v>
      </c>
      <c r="FF145" s="18">
        <f>FE145*VLOOKUP('Données projet'!$B$16,Paramètres!$A$1:$I$89,3,0)*VLOOKUP('Données projet'!$B$16,Paramètres!$A$1:$I$89,5,0)</f>
        <v>4.4337866711430253E-14</v>
      </c>
      <c r="FG145" s="14">
        <f t="shared" si="155"/>
        <v>7.3222115536967035E-13</v>
      </c>
      <c r="FH145" s="22">
        <f t="shared" si="130"/>
        <v>1.3525069634579169E-12</v>
      </c>
      <c r="FI145" s="60">
        <f t="shared" si="131"/>
        <v>285.69515750306044</v>
      </c>
      <c r="FJ145" s="60">
        <f ca="1">AVERAGE(OFFSET($FI$3,0,0,'Données projet'!$E$16+1,1))-AVERAGE(OFFSET($H$3,0,0,'Données projet'!$E$16+1,1))</f>
        <v>309.21625451786218</v>
      </c>
      <c r="FK145" s="60">
        <f t="shared" si="156"/>
        <v>302.59481222418219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>
        <f>FZ145*VLOOKUP('Données projet'!$B$17,Paramètres!$A$1:$I$89,3,0)*VLOOKUP('Données projet'!$B$17,Paramètres!$A$1:$I$89,5,0)</f>
        <v>0</v>
      </c>
      <c r="GB145" s="14" t="e">
        <f t="shared" si="157"/>
        <v>#NUM!</v>
      </c>
      <c r="GC145" s="22" t="e">
        <f t="shared" si="133"/>
        <v>#NUM!</v>
      </c>
      <c r="GD145" s="60" t="e">
        <f t="shared" si="134"/>
        <v>#NUM!</v>
      </c>
      <c r="GE145" s="60">
        <f ca="1">AVERAGE(OFFSET($GD$3,0,0,'Données projet'!$E$17+1,1))-AVERAGE(OFFSET($H$3,0,0,'Données projet'!$E$17+1,1))</f>
        <v>216.36762889365235</v>
      </c>
      <c r="GF145" s="60">
        <f t="shared" si="158"/>
        <v>333.29599352215496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1.4691568266874746</v>
      </c>
      <c r="GM145" s="23">
        <f>EXP(-LN(2)/25)*GM144+(1-EXP(-LN(2)/25))/(LN(2)/25)*Calculateur!GH145*Calculateur!GJ145*VLOOKUP('Données projet'!$B$17,Paramètres!$A$1:$I$89,3,0)*0.475*44/12</f>
        <v>0.43688196380965266</v>
      </c>
      <c r="GN145" s="23">
        <f>EXP(-LN(2)/2)*GN144+(1-EXP(-LN(2)/2))/(LN(2)/2)*GH145*GK145*VLOOKUP('Données projet'!$B$17,Paramètres!$A$1:$I$89,3,0)*0.475*44/12</f>
        <v>4.0584587037051503E-17</v>
      </c>
      <c r="GO145" s="23">
        <f t="shared" si="135"/>
        <v>1.9060387904971272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4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267.14063999999922</v>
      </c>
      <c r="P146" s="14">
        <f t="shared" si="141"/>
        <v>64.242065428895785</v>
      </c>
      <c r="Q146" s="22">
        <f t="shared" si="108"/>
        <v>577.15821195532533</v>
      </c>
      <c r="R146" s="60">
        <f t="shared" si="109"/>
        <v>862.98587473263683</v>
      </c>
      <c r="S146" s="60">
        <f ca="1">AVERAGE(OFFSET($R$3,0,0,'Données projet'!$E$9+1,1))-AVERAGE(OFFSET($H$3,0,0,'Données projet'!$E$9+1,1))</f>
        <v>496.33873798282525</v>
      </c>
      <c r="T146" s="60">
        <f t="shared" si="142"/>
        <v>280.25465074992246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3.4106051316484809E-13</v>
      </c>
      <c r="AJ146" s="14">
        <f>AI146*VLOOKUP('Données projet'!$B$10,Paramètres!$A$1:$I$89,3,0)*VLOOKUP('Données projet'!$B$10,Paramètres!$A$1:$I$89,5,0)</f>
        <v>1.5961632016114892E-13</v>
      </c>
      <c r="AK146" s="14">
        <f t="shared" si="143"/>
        <v>2.2708641912150958E-12</v>
      </c>
      <c r="AL146" s="22">
        <f t="shared" si="112"/>
        <v>4.2330868906469593E-12</v>
      </c>
      <c r="AM146" s="60">
        <f t="shared" si="113"/>
        <v>285.82766277731565</v>
      </c>
      <c r="AN146" s="60">
        <f ca="1">AVERAGE(OFFSET($AM$3,0,0,'Données projet'!$E$10+1,1))-AVERAGE(OFFSET($H$3,0,0,'Données projet'!$E$10+1,1))</f>
        <v>277.7918215389401</v>
      </c>
      <c r="AO146" s="60">
        <f t="shared" si="144"/>
        <v>164.65640238394164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-2.2737367544323206E-13</v>
      </c>
      <c r="BE146" s="14">
        <f>BD146*VLOOKUP('Données projet'!$B$11,Paramètres!$A$1:$I$89,3,0)*VLOOKUP('Données projet'!$B$11,Paramètres!$A$1:$I$89,5,0)</f>
        <v>-2.1636878955177963E-13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366.21371543563254</v>
      </c>
      <c r="BJ146" s="60">
        <f t="shared" si="146"/>
        <v>237.43356317334084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-5.1159076974727213E-13</v>
      </c>
      <c r="BZ146" s="14">
        <f>BY146*VLOOKUP('Données projet'!$B$12,Paramètres!$A$1:$I$89,3,0)*VLOOKUP('Données projet'!$B$12,Paramètres!$A$1:$I$89,5,0)</f>
        <v>-5.3471467253984886E-13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530.79860063513229</v>
      </c>
      <c r="CE146" s="60">
        <f t="shared" si="148"/>
        <v>302.50876440460434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249.90575999999925</v>
      </c>
      <c r="CV146" s="14">
        <f t="shared" si="149"/>
        <v>60.565760331923727</v>
      </c>
      <c r="CW146" s="22">
        <f t="shared" si="121"/>
        <v>540.73789791143247</v>
      </c>
      <c r="CX146" s="60">
        <f t="shared" si="122"/>
        <v>826.56556068874397</v>
      </c>
      <c r="CY146" s="60">
        <f ca="1">AVERAGE(OFFSET($CX$3,0,0,'Données projet'!$E$13+1,1))-AVERAGE(OFFSET($H$3,0,0,'Données projet'!$E$13+1,1))</f>
        <v>469.67944008675863</v>
      </c>
      <c r="CZ146" s="60">
        <f t="shared" si="150"/>
        <v>266.11908070867173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2.4</v>
      </c>
      <c r="DO146" s="13">
        <f>IF('Données projet'!$A$166&gt;35,DO145+DN146-DW145,IF(A146&lt;'Données projet'!$A$166,$DL$205^A146,IF(A146='Données projet'!$A$166,'Données projet'!$B$166,DO145+DN146-DW145)))</f>
        <v>276.19999999999919</v>
      </c>
      <c r="DP146" s="18">
        <f>DO146*VLOOKUP('Données projet'!$B$14,Paramètres!$A$1:$I$89,3,0)*VLOOKUP('Données projet'!$B$14,Paramètres!$A$1:$I$89,5,0)</f>
        <v>297.30167999999912</v>
      </c>
      <c r="DQ146" s="14">
        <f t="shared" si="151"/>
        <v>70.610494849824818</v>
      </c>
      <c r="DR146" s="22">
        <f t="shared" si="124"/>
        <v>640.78037119677663</v>
      </c>
      <c r="DS146" s="60">
        <f t="shared" si="125"/>
        <v>926.60803397408813</v>
      </c>
      <c r="DT146" s="60">
        <f ca="1">AVERAGE(OFFSET($DS$3,0,0,'Données projet'!$E$14+1,1))-AVERAGE(OFFSET($H$3,0,0,'Données projet'!$E$14+1,1))</f>
        <v>542.90832990875208</v>
      </c>
      <c r="DU146" s="60">
        <f t="shared" si="152"/>
        <v>304.94365539329362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5.6843418860808015E-14</v>
      </c>
      <c r="EK146" s="18">
        <f>EJ146*VLOOKUP('Données projet'!$B$15,Paramètres!$A$1:$I$89,3,0)*VLOOKUP('Données projet'!$B$15,Paramètres!$A$1:$I$89,5,0)</f>
        <v>4.5224624045658861E-14</v>
      </c>
      <c r="EL146" s="14">
        <f t="shared" si="153"/>
        <v>7.4514601661523691E-13</v>
      </c>
      <c r="EM146" s="22">
        <f t="shared" si="127"/>
        <v>1.3765621991510601E-12</v>
      </c>
      <c r="EN146" s="60">
        <f t="shared" si="128"/>
        <v>285.82766277731281</v>
      </c>
      <c r="EO146" s="60">
        <f ca="1">AVERAGE(OFFSET($EN$3,0,0,'Données projet'!$E$15+1,1))-AVERAGE(OFFSET($H$3,0,0,'Données projet'!$E$15+1,1))</f>
        <v>273.72403794510291</v>
      </c>
      <c r="EP146" s="60">
        <f t="shared" si="154"/>
        <v>292.00185554564109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5.6843418860808015E-14</v>
      </c>
      <c r="FF146" s="18">
        <f>FE146*VLOOKUP('Données projet'!$B$16,Paramètres!$A$1:$I$89,3,0)*VLOOKUP('Données projet'!$B$16,Paramètres!$A$1:$I$89,5,0)</f>
        <v>4.4337866711430253E-14</v>
      </c>
      <c r="FG146" s="14">
        <f t="shared" si="155"/>
        <v>7.3222115536967035E-13</v>
      </c>
      <c r="FH146" s="22">
        <f t="shared" si="130"/>
        <v>1.3525069634579169E-12</v>
      </c>
      <c r="FI146" s="60">
        <f t="shared" si="131"/>
        <v>285.82766277731281</v>
      </c>
      <c r="FJ146" s="60">
        <f ca="1">AVERAGE(OFFSET($FI$3,0,0,'Données projet'!$E$16+1,1))-AVERAGE(OFFSET($H$3,0,0,'Données projet'!$E$16+1,1))</f>
        <v>309.21625451786218</v>
      </c>
      <c r="FK146" s="60">
        <f t="shared" si="156"/>
        <v>302.59481222418219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>
        <f>FZ146*VLOOKUP('Données projet'!$B$17,Paramètres!$A$1:$I$89,3,0)*VLOOKUP('Données projet'!$B$17,Paramètres!$A$1:$I$89,5,0)</f>
        <v>0</v>
      </c>
      <c r="GB146" s="14" t="e">
        <f t="shared" si="157"/>
        <v>#NUM!</v>
      </c>
      <c r="GC146" s="22" t="e">
        <f t="shared" si="133"/>
        <v>#NUM!</v>
      </c>
      <c r="GD146" s="60" t="e">
        <f t="shared" si="134"/>
        <v>#NUM!</v>
      </c>
      <c r="GE146" s="60">
        <f ca="1">AVERAGE(OFFSET($GD$3,0,0,'Données projet'!$E$17+1,1))-AVERAGE(OFFSET($H$3,0,0,'Données projet'!$E$17+1,1))</f>
        <v>216.36762889365235</v>
      </c>
      <c r="GF146" s="60">
        <f t="shared" si="158"/>
        <v>333.29599352215496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1.4403475574133153</v>
      </c>
      <c r="GM146" s="23">
        <f>EXP(-LN(2)/25)*GM145+(1-EXP(-LN(2)/25))/(LN(2)/25)*Calculateur!GH146*Calculateur!GJ146*VLOOKUP('Données projet'!$B$17,Paramètres!$A$1:$I$89,3,0)*0.475*44/12</f>
        <v>0.42493540353465376</v>
      </c>
      <c r="GN146" s="23">
        <f>EXP(-LN(2)/2)*GN145+(1-EXP(-LN(2)/2))/(LN(2)/2)*GH146*GK146*VLOOKUP('Données projet'!$B$17,Paramètres!$A$1:$I$89,3,0)*0.475*44/12</f>
        <v>2.869763670555477E-17</v>
      </c>
      <c r="GO146" s="23">
        <f t="shared" si="135"/>
        <v>1.8652829609479691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4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269.46191999999922</v>
      </c>
      <c r="P147" s="14">
        <f t="shared" si="141"/>
        <v>64.735061876838927</v>
      </c>
      <c r="Q147" s="22">
        <f t="shared" si="108"/>
        <v>582.05974343549315</v>
      </c>
      <c r="R147" s="60">
        <f t="shared" si="109"/>
        <v>868.01761281678603</v>
      </c>
      <c r="S147" s="60">
        <f ca="1">AVERAGE(OFFSET($R$3,0,0,'Données projet'!$E$9+1,1))-AVERAGE(OFFSET($H$3,0,0,'Données projet'!$E$9+1,1))</f>
        <v>496.33873798282525</v>
      </c>
      <c r="T147" s="60">
        <f t="shared" si="142"/>
        <v>280.25465074992246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3.4106051316484809E-13</v>
      </c>
      <c r="AJ147" s="14">
        <f>AI147*VLOOKUP('Données projet'!$B$10,Paramètres!$A$1:$I$89,3,0)*VLOOKUP('Données projet'!$B$10,Paramètres!$A$1:$I$89,5,0)</f>
        <v>1.5961632016114892E-13</v>
      </c>
      <c r="AK147" s="14">
        <f t="shared" si="143"/>
        <v>2.2708641912150958E-12</v>
      </c>
      <c r="AL147" s="22">
        <f t="shared" si="112"/>
        <v>4.2330868906469593E-12</v>
      </c>
      <c r="AM147" s="60">
        <f t="shared" si="113"/>
        <v>285.95786938129709</v>
      </c>
      <c r="AN147" s="60">
        <f ca="1">AVERAGE(OFFSET($AM$3,0,0,'Données projet'!$E$10+1,1))-AVERAGE(OFFSET($H$3,0,0,'Données projet'!$E$10+1,1))</f>
        <v>277.7918215389401</v>
      </c>
      <c r="AO147" s="60">
        <f t="shared" si="144"/>
        <v>164.65640238394164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-2.2737367544323206E-13</v>
      </c>
      <c r="BE147" s="14">
        <f>BD147*VLOOKUP('Données projet'!$B$11,Paramètres!$A$1:$I$89,3,0)*VLOOKUP('Données projet'!$B$11,Paramètres!$A$1:$I$89,5,0)</f>
        <v>-2.1636878955177963E-13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366.21371543563254</v>
      </c>
      <c r="BJ147" s="60">
        <f t="shared" si="146"/>
        <v>237.43356317334084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-5.1159076974727213E-13</v>
      </c>
      <c r="BZ147" s="14">
        <f>BY147*VLOOKUP('Données projet'!$B$12,Paramètres!$A$1:$I$89,3,0)*VLOOKUP('Données projet'!$B$12,Paramètres!$A$1:$I$89,5,0)</f>
        <v>-5.3471467253984886E-13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530.79860063513229</v>
      </c>
      <c r="CE147" s="60">
        <f t="shared" si="148"/>
        <v>302.50876440460434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252.07727999999923</v>
      </c>
      <c r="CV147" s="14">
        <f t="shared" si="149"/>
        <v>61.030544652154823</v>
      </c>
      <c r="CW147" s="22">
        <f t="shared" si="121"/>
        <v>545.32946126916829</v>
      </c>
      <c r="CX147" s="60">
        <f t="shared" si="122"/>
        <v>831.28733065046117</v>
      </c>
      <c r="CY147" s="60">
        <f ca="1">AVERAGE(OFFSET($CX$3,0,0,'Données projet'!$E$13+1,1))-AVERAGE(OFFSET($H$3,0,0,'Données projet'!$E$13+1,1))</f>
        <v>469.67944008675863</v>
      </c>
      <c r="CZ147" s="60">
        <f t="shared" si="150"/>
        <v>266.11908070867173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2.4</v>
      </c>
      <c r="DO147" s="13">
        <f>IF('Données projet'!$A$166&gt;35,DO146+DN147-DW146,IF(A147&lt;'Données projet'!$A$166,$DL$205^A147,IF(A147='Données projet'!$A$166,'Données projet'!$B$166,DO146+DN147-DW146)))</f>
        <v>278.59999999999917</v>
      </c>
      <c r="DP147" s="18">
        <f>DO147*VLOOKUP('Données projet'!$B$14,Paramètres!$A$1:$I$89,3,0)*VLOOKUP('Données projet'!$B$14,Paramètres!$A$1:$I$89,5,0)</f>
        <v>299.88503999999909</v>
      </c>
      <c r="DQ147" s="14">
        <f t="shared" si="151"/>
        <v>71.152362906464447</v>
      </c>
      <c r="DR147" s="22">
        <f t="shared" si="124"/>
        <v>646.2234767287573</v>
      </c>
      <c r="DS147" s="60">
        <f t="shared" si="125"/>
        <v>932.18134611005019</v>
      </c>
      <c r="DT147" s="60">
        <f ca="1">AVERAGE(OFFSET($DS$3,0,0,'Données projet'!$E$14+1,1))-AVERAGE(OFFSET($H$3,0,0,'Données projet'!$E$14+1,1))</f>
        <v>542.90832990875208</v>
      </c>
      <c r="DU147" s="60">
        <f t="shared" si="152"/>
        <v>304.94365539329362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5.6843418860808015E-14</v>
      </c>
      <c r="EK147" s="18">
        <f>EJ147*VLOOKUP('Données projet'!$B$15,Paramètres!$A$1:$I$89,3,0)*VLOOKUP('Données projet'!$B$15,Paramètres!$A$1:$I$89,5,0)</f>
        <v>4.5224624045658861E-14</v>
      </c>
      <c r="EL147" s="14">
        <f t="shared" si="153"/>
        <v>7.4514601661523691E-13</v>
      </c>
      <c r="EM147" s="22">
        <f t="shared" si="127"/>
        <v>1.3765621991510601E-12</v>
      </c>
      <c r="EN147" s="60">
        <f t="shared" si="128"/>
        <v>285.95786938129424</v>
      </c>
      <c r="EO147" s="60">
        <f ca="1">AVERAGE(OFFSET($EN$3,0,0,'Données projet'!$E$15+1,1))-AVERAGE(OFFSET($H$3,0,0,'Données projet'!$E$15+1,1))</f>
        <v>273.72403794510291</v>
      </c>
      <c r="EP147" s="60">
        <f t="shared" si="154"/>
        <v>292.00185554564109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5.6843418860808015E-14</v>
      </c>
      <c r="FF147" s="18">
        <f>FE147*VLOOKUP('Données projet'!$B$16,Paramètres!$A$1:$I$89,3,0)*VLOOKUP('Données projet'!$B$16,Paramètres!$A$1:$I$89,5,0)</f>
        <v>4.4337866711430253E-14</v>
      </c>
      <c r="FG147" s="14">
        <f t="shared" si="155"/>
        <v>7.3222115536967035E-13</v>
      </c>
      <c r="FH147" s="22">
        <f t="shared" si="130"/>
        <v>1.3525069634579169E-12</v>
      </c>
      <c r="FI147" s="60">
        <f t="shared" si="131"/>
        <v>285.95786938129424</v>
      </c>
      <c r="FJ147" s="60">
        <f ca="1">AVERAGE(OFFSET($FI$3,0,0,'Données projet'!$E$16+1,1))-AVERAGE(OFFSET($H$3,0,0,'Données projet'!$E$16+1,1))</f>
        <v>309.21625451786218</v>
      </c>
      <c r="FK147" s="60">
        <f t="shared" si="156"/>
        <v>302.59481222418219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>
        <f>FZ147*VLOOKUP('Données projet'!$B$17,Paramètres!$A$1:$I$89,3,0)*VLOOKUP('Données projet'!$B$17,Paramètres!$A$1:$I$89,5,0)</f>
        <v>0</v>
      </c>
      <c r="GB147" s="14" t="e">
        <f t="shared" si="157"/>
        <v>#NUM!</v>
      </c>
      <c r="GC147" s="22" t="e">
        <f t="shared" si="133"/>
        <v>#NUM!</v>
      </c>
      <c r="GD147" s="60" t="e">
        <f t="shared" si="134"/>
        <v>#NUM!</v>
      </c>
      <c r="GE147" s="60">
        <f ca="1">AVERAGE(OFFSET($GD$3,0,0,'Données projet'!$E$17+1,1))-AVERAGE(OFFSET($H$3,0,0,'Données projet'!$E$17+1,1))</f>
        <v>216.36762889365235</v>
      </c>
      <c r="GF147" s="60">
        <f t="shared" si="158"/>
        <v>333.29599352215496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1.4121032203377031</v>
      </c>
      <c r="GM147" s="23">
        <f>EXP(-LN(2)/25)*GM146+(1-EXP(-LN(2)/25))/(LN(2)/25)*Calculateur!GH147*Calculateur!GJ147*VLOOKUP('Données projet'!$B$17,Paramètres!$A$1:$I$89,3,0)*0.475*44/12</f>
        <v>0.41331552257861698</v>
      </c>
      <c r="GN147" s="23">
        <f>EXP(-LN(2)/2)*GN146+(1-EXP(-LN(2)/2))/(LN(2)/2)*GH147*GK147*VLOOKUP('Données projet'!$B$17,Paramètres!$A$1:$I$89,3,0)*0.475*44/12</f>
        <v>2.0292293518525752E-17</v>
      </c>
      <c r="GO147" s="23">
        <f t="shared" si="135"/>
        <v>1.82541874291632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4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271.78319999999917</v>
      </c>
      <c r="P148" s="14">
        <f t="shared" si="141"/>
        <v>65.227564224775008</v>
      </c>
      <c r="Q148" s="22">
        <f t="shared" si="108"/>
        <v>586.96041435814834</v>
      </c>
      <c r="R148" s="60">
        <f t="shared" si="109"/>
        <v>873.04623154994192</v>
      </c>
      <c r="S148" s="60">
        <f ca="1">AVERAGE(OFFSET($R$3,0,0,'Données projet'!$E$9+1,1))-AVERAGE(OFFSET($H$3,0,0,'Données projet'!$E$9+1,1))</f>
        <v>496.33873798282525</v>
      </c>
      <c r="T148" s="60">
        <f t="shared" si="142"/>
        <v>280.25465074992246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3.4106051316484809E-13</v>
      </c>
      <c r="AJ148" s="14">
        <f>AI148*VLOOKUP('Données projet'!$B$10,Paramètres!$A$1:$I$89,3,0)*VLOOKUP('Données projet'!$B$10,Paramètres!$A$1:$I$89,5,0)</f>
        <v>1.5961632016114892E-13</v>
      </c>
      <c r="AK148" s="14">
        <f t="shared" si="143"/>
        <v>2.2708641912150958E-12</v>
      </c>
      <c r="AL148" s="22">
        <f t="shared" si="112"/>
        <v>4.2330868906469593E-12</v>
      </c>
      <c r="AM148" s="60">
        <f t="shared" si="113"/>
        <v>286.08581719179779</v>
      </c>
      <c r="AN148" s="60">
        <f ca="1">AVERAGE(OFFSET($AM$3,0,0,'Données projet'!$E$10+1,1))-AVERAGE(OFFSET($H$3,0,0,'Données projet'!$E$10+1,1))</f>
        <v>277.7918215389401</v>
      </c>
      <c r="AO148" s="60">
        <f t="shared" si="144"/>
        <v>164.65640238394164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-2.2737367544323206E-13</v>
      </c>
      <c r="BE148" s="14">
        <f>BD148*VLOOKUP('Données projet'!$B$11,Paramètres!$A$1:$I$89,3,0)*VLOOKUP('Données projet'!$B$11,Paramètres!$A$1:$I$89,5,0)</f>
        <v>-2.1636878955177963E-13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366.21371543563254</v>
      </c>
      <c r="BJ148" s="60">
        <f t="shared" si="146"/>
        <v>237.43356317334084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-5.1159076974727213E-13</v>
      </c>
      <c r="BZ148" s="14">
        <f>BY148*VLOOKUP('Données projet'!$B$12,Paramètres!$A$1:$I$89,3,0)*VLOOKUP('Données projet'!$B$12,Paramètres!$A$1:$I$89,5,0)</f>
        <v>-5.3471467253984886E-13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530.79860063513229</v>
      </c>
      <c r="CE148" s="60">
        <f t="shared" si="148"/>
        <v>302.50876440460434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254.24879999999925</v>
      </c>
      <c r="CV148" s="14">
        <f t="shared" si="149"/>
        <v>61.494863147658698</v>
      </c>
      <c r="CW148" s="22">
        <f t="shared" si="121"/>
        <v>549.92021331550427</v>
      </c>
      <c r="CX148" s="60">
        <f t="shared" si="122"/>
        <v>836.00603050729785</v>
      </c>
      <c r="CY148" s="60">
        <f ca="1">AVERAGE(OFFSET($CX$3,0,0,'Données projet'!$E$13+1,1))-AVERAGE(OFFSET($H$3,0,0,'Données projet'!$E$13+1,1))</f>
        <v>469.67944008675863</v>
      </c>
      <c r="CZ148" s="60">
        <f t="shared" si="150"/>
        <v>266.11908070867173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2.4</v>
      </c>
      <c r="DO148" s="13">
        <f>IF('Données projet'!$A$166&gt;35,DO147+DN148-DW147,IF(A148&lt;'Données projet'!$A$166,$DL$205^A148,IF(A148='Données projet'!$A$166,'Données projet'!$B$166,DO147+DN148-DW147)))</f>
        <v>280.99999999999915</v>
      </c>
      <c r="DP148" s="18">
        <f>DO148*VLOOKUP('Données projet'!$B$14,Paramètres!$A$1:$I$89,3,0)*VLOOKUP('Données projet'!$B$14,Paramètres!$A$1:$I$89,5,0)</f>
        <v>302.46839999999906</v>
      </c>
      <c r="DQ148" s="14">
        <f t="shared" si="151"/>
        <v>71.693687882090543</v>
      </c>
      <c r="DR148" s="22">
        <f t="shared" si="124"/>
        <v>651.66563639463936</v>
      </c>
      <c r="DS148" s="60">
        <f t="shared" si="125"/>
        <v>937.75145358643294</v>
      </c>
      <c r="DT148" s="60">
        <f ca="1">AVERAGE(OFFSET($DS$3,0,0,'Données projet'!$E$14+1,1))-AVERAGE(OFFSET($H$3,0,0,'Données projet'!$E$14+1,1))</f>
        <v>542.90832990875208</v>
      </c>
      <c r="DU148" s="60">
        <f t="shared" si="152"/>
        <v>304.94365539329362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5.6843418860808015E-14</v>
      </c>
      <c r="EK148" s="18">
        <f>EJ148*VLOOKUP('Données projet'!$B$15,Paramètres!$A$1:$I$89,3,0)*VLOOKUP('Données projet'!$B$15,Paramètres!$A$1:$I$89,5,0)</f>
        <v>4.5224624045658861E-14</v>
      </c>
      <c r="EL148" s="14">
        <f t="shared" si="153"/>
        <v>7.4514601661523691E-13</v>
      </c>
      <c r="EM148" s="22">
        <f t="shared" si="127"/>
        <v>1.3765621991510601E-12</v>
      </c>
      <c r="EN148" s="60">
        <f t="shared" si="128"/>
        <v>286.08581719179494</v>
      </c>
      <c r="EO148" s="60">
        <f ca="1">AVERAGE(OFFSET($EN$3,0,0,'Données projet'!$E$15+1,1))-AVERAGE(OFFSET($H$3,0,0,'Données projet'!$E$15+1,1))</f>
        <v>273.72403794510291</v>
      </c>
      <c r="EP148" s="60">
        <f t="shared" si="154"/>
        <v>292.00185554564109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5.6843418860808015E-14</v>
      </c>
      <c r="FF148" s="18">
        <f>FE148*VLOOKUP('Données projet'!$B$16,Paramètres!$A$1:$I$89,3,0)*VLOOKUP('Données projet'!$B$16,Paramètres!$A$1:$I$89,5,0)</f>
        <v>4.4337866711430253E-14</v>
      </c>
      <c r="FG148" s="14">
        <f t="shared" si="155"/>
        <v>7.3222115536967035E-13</v>
      </c>
      <c r="FH148" s="22">
        <f t="shared" si="130"/>
        <v>1.3525069634579169E-12</v>
      </c>
      <c r="FI148" s="60">
        <f t="shared" si="131"/>
        <v>286.08581719179494</v>
      </c>
      <c r="FJ148" s="60">
        <f ca="1">AVERAGE(OFFSET($FI$3,0,0,'Données projet'!$E$16+1,1))-AVERAGE(OFFSET($H$3,0,0,'Données projet'!$E$16+1,1))</f>
        <v>309.21625451786218</v>
      </c>
      <c r="FK148" s="60">
        <f t="shared" si="156"/>
        <v>302.59481222418219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>
        <f>FZ148*VLOOKUP('Données projet'!$B$17,Paramètres!$A$1:$I$89,3,0)*VLOOKUP('Données projet'!$B$17,Paramètres!$A$1:$I$89,5,0)</f>
        <v>0</v>
      </c>
      <c r="GB148" s="14" t="e">
        <f t="shared" si="157"/>
        <v>#NUM!</v>
      </c>
      <c r="GC148" s="22" t="e">
        <f t="shared" si="133"/>
        <v>#NUM!</v>
      </c>
      <c r="GD148" s="60" t="e">
        <f t="shared" si="134"/>
        <v>#NUM!</v>
      </c>
      <c r="GE148" s="60">
        <f ca="1">AVERAGE(OFFSET($GD$3,0,0,'Données projet'!$E$17+1,1))-AVERAGE(OFFSET($H$3,0,0,'Données projet'!$E$17+1,1))</f>
        <v>216.36762889365235</v>
      </c>
      <c r="GF148" s="60">
        <f t="shared" si="158"/>
        <v>333.29599352215496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1.384412737484799</v>
      </c>
      <c r="GM148" s="23">
        <f>EXP(-LN(2)/25)*GM147+(1-EXP(-LN(2)/25))/(LN(2)/25)*Calculateur!GH148*Calculateur!GJ148*VLOOKUP('Données projet'!$B$17,Paramètres!$A$1:$I$89,3,0)*0.475*44/12</f>
        <v>0.40201338787838603</v>
      </c>
      <c r="GN148" s="23">
        <f>EXP(-LN(2)/2)*GN147+(1-EXP(-LN(2)/2))/(LN(2)/2)*GH148*GK148*VLOOKUP('Données projet'!$B$17,Paramètres!$A$1:$I$89,3,0)*0.475*44/12</f>
        <v>1.4348818352777385E-17</v>
      </c>
      <c r="GO148" s="23">
        <f t="shared" si="135"/>
        <v>1.786426125363185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4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274.10447999999917</v>
      </c>
      <c r="P149" s="14">
        <f t="shared" si="141"/>
        <v>65.719577181765331</v>
      </c>
      <c r="Q149" s="22">
        <f t="shared" si="108"/>
        <v>591.86023292490643</v>
      </c>
      <c r="R149" s="60">
        <f t="shared" si="109"/>
        <v>878.07177831873707</v>
      </c>
      <c r="S149" s="60">
        <f ca="1">AVERAGE(OFFSET($R$3,0,0,'Données projet'!$E$9+1,1))-AVERAGE(OFFSET($H$3,0,0,'Données projet'!$E$9+1,1))</f>
        <v>496.33873798282525</v>
      </c>
      <c r="T149" s="60">
        <f t="shared" si="142"/>
        <v>280.25465074992246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3.4106051316484809E-13</v>
      </c>
      <c r="AJ149" s="14">
        <f>AI149*VLOOKUP('Données projet'!$B$10,Paramètres!$A$1:$I$89,3,0)*VLOOKUP('Données projet'!$B$10,Paramètres!$A$1:$I$89,5,0)</f>
        <v>1.5961632016114892E-13</v>
      </c>
      <c r="AK149" s="14">
        <f t="shared" si="143"/>
        <v>2.2708641912150958E-12</v>
      </c>
      <c r="AL149" s="22">
        <f t="shared" si="112"/>
        <v>4.2330868906469593E-12</v>
      </c>
      <c r="AM149" s="60">
        <f t="shared" si="113"/>
        <v>286.21154539383485</v>
      </c>
      <c r="AN149" s="60">
        <f ca="1">AVERAGE(OFFSET($AM$3,0,0,'Données projet'!$E$10+1,1))-AVERAGE(OFFSET($H$3,0,0,'Données projet'!$E$10+1,1))</f>
        <v>277.7918215389401</v>
      </c>
      <c r="AO149" s="60">
        <f t="shared" si="144"/>
        <v>164.65640238394164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-2.2737367544323206E-13</v>
      </c>
      <c r="BE149" s="14">
        <f>BD149*VLOOKUP('Données projet'!$B$11,Paramètres!$A$1:$I$89,3,0)*VLOOKUP('Données projet'!$B$11,Paramètres!$A$1:$I$89,5,0)</f>
        <v>-2.1636878955177963E-13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366.21371543563254</v>
      </c>
      <c r="BJ149" s="60">
        <f t="shared" si="146"/>
        <v>237.43356317334084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-5.1159076974727213E-13</v>
      </c>
      <c r="BZ149" s="14">
        <f>BY149*VLOOKUP('Données projet'!$B$12,Paramètres!$A$1:$I$89,3,0)*VLOOKUP('Données projet'!$B$12,Paramètres!$A$1:$I$89,5,0)</f>
        <v>-5.3471467253984886E-13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530.79860063513229</v>
      </c>
      <c r="CE149" s="60">
        <f t="shared" si="148"/>
        <v>302.50876440460434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256.42031999999921</v>
      </c>
      <c r="CV149" s="14">
        <f t="shared" si="149"/>
        <v>61.958720258016747</v>
      </c>
      <c r="CW149" s="22">
        <f t="shared" si="121"/>
        <v>554.51016178271107</v>
      </c>
      <c r="CX149" s="60">
        <f t="shared" si="122"/>
        <v>840.72170717654171</v>
      </c>
      <c r="CY149" s="60">
        <f ca="1">AVERAGE(OFFSET($CX$3,0,0,'Données projet'!$E$13+1,1))-AVERAGE(OFFSET($H$3,0,0,'Données projet'!$E$13+1,1))</f>
        <v>469.67944008675863</v>
      </c>
      <c r="CZ149" s="60">
        <f t="shared" si="150"/>
        <v>266.11908070867173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2.4</v>
      </c>
      <c r="DO149" s="13">
        <f>IF('Données projet'!$A$166&gt;35,DO148+DN149-DW148,IF(A149&lt;'Données projet'!$A$166,$DL$205^A149,IF(A149='Données projet'!$A$166,'Données projet'!$B$166,DO148+DN149-DW148)))</f>
        <v>283.39999999999912</v>
      </c>
      <c r="DP149" s="18">
        <f>DO149*VLOOKUP('Données projet'!$B$14,Paramètres!$A$1:$I$89,3,0)*VLOOKUP('Données projet'!$B$14,Paramètres!$A$1:$I$89,5,0)</f>
        <v>305.05175999999904</v>
      </c>
      <c r="DQ149" s="14">
        <f t="shared" si="151"/>
        <v>72.234474952581991</v>
      </c>
      <c r="DR149" s="22">
        <f t="shared" si="124"/>
        <v>657.10685920907861</v>
      </c>
      <c r="DS149" s="60">
        <f t="shared" si="125"/>
        <v>943.31840460290925</v>
      </c>
      <c r="DT149" s="60">
        <f ca="1">AVERAGE(OFFSET($DS$3,0,0,'Données projet'!$E$14+1,1))-AVERAGE(OFFSET($H$3,0,0,'Données projet'!$E$14+1,1))</f>
        <v>542.90832990875208</v>
      </c>
      <c r="DU149" s="60">
        <f t="shared" si="152"/>
        <v>304.94365539329362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5.6843418860808015E-14</v>
      </c>
      <c r="EK149" s="18">
        <f>EJ149*VLOOKUP('Données projet'!$B$15,Paramètres!$A$1:$I$89,3,0)*VLOOKUP('Données projet'!$B$15,Paramètres!$A$1:$I$89,5,0)</f>
        <v>4.5224624045658861E-14</v>
      </c>
      <c r="EL149" s="14">
        <f t="shared" si="153"/>
        <v>7.4514601661523691E-13</v>
      </c>
      <c r="EM149" s="22">
        <f t="shared" si="127"/>
        <v>1.3765621991510601E-12</v>
      </c>
      <c r="EN149" s="60">
        <f t="shared" si="128"/>
        <v>286.21154539383201</v>
      </c>
      <c r="EO149" s="60">
        <f ca="1">AVERAGE(OFFSET($EN$3,0,0,'Données projet'!$E$15+1,1))-AVERAGE(OFFSET($H$3,0,0,'Données projet'!$E$15+1,1))</f>
        <v>273.72403794510291</v>
      </c>
      <c r="EP149" s="60">
        <f t="shared" si="154"/>
        <v>292.00185554564109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5.6843418860808015E-14</v>
      </c>
      <c r="FF149" s="18">
        <f>FE149*VLOOKUP('Données projet'!$B$16,Paramètres!$A$1:$I$89,3,0)*VLOOKUP('Données projet'!$B$16,Paramètres!$A$1:$I$89,5,0)</f>
        <v>4.4337866711430253E-14</v>
      </c>
      <c r="FG149" s="14">
        <f t="shared" si="155"/>
        <v>7.3222115536967035E-13</v>
      </c>
      <c r="FH149" s="22">
        <f t="shared" si="130"/>
        <v>1.3525069634579169E-12</v>
      </c>
      <c r="FI149" s="60">
        <f t="shared" si="131"/>
        <v>286.21154539383201</v>
      </c>
      <c r="FJ149" s="60">
        <f ca="1">AVERAGE(OFFSET($FI$3,0,0,'Données projet'!$E$16+1,1))-AVERAGE(OFFSET($H$3,0,0,'Données projet'!$E$16+1,1))</f>
        <v>309.21625451786218</v>
      </c>
      <c r="FK149" s="60">
        <f t="shared" si="156"/>
        <v>302.59481222418219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>
        <f>FZ149*VLOOKUP('Données projet'!$B$17,Paramètres!$A$1:$I$89,3,0)*VLOOKUP('Données projet'!$B$17,Paramètres!$A$1:$I$89,5,0)</f>
        <v>0</v>
      </c>
      <c r="GB149" s="14" t="e">
        <f t="shared" si="157"/>
        <v>#NUM!</v>
      </c>
      <c r="GC149" s="22" t="e">
        <f t="shared" si="133"/>
        <v>#NUM!</v>
      </c>
      <c r="GD149" s="60" t="e">
        <f t="shared" si="134"/>
        <v>#NUM!</v>
      </c>
      <c r="GE149" s="60">
        <f ca="1">AVERAGE(OFFSET($GD$3,0,0,'Données projet'!$E$17+1,1))-AVERAGE(OFFSET($H$3,0,0,'Données projet'!$E$17+1,1))</f>
        <v>216.36762889365235</v>
      </c>
      <c r="GF149" s="60">
        <f t="shared" si="158"/>
        <v>333.29599352215496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1.3572652481111136</v>
      </c>
      <c r="GM149" s="23">
        <f>EXP(-LN(2)/25)*GM148+(1-EXP(-LN(2)/25))/(LN(2)/25)*Calculateur!GH149*Calculateur!GJ149*VLOOKUP('Données projet'!$B$17,Paramètres!$A$1:$I$89,3,0)*0.475*44/12</f>
        <v>0.39102031064588633</v>
      </c>
      <c r="GN149" s="23">
        <f>EXP(-LN(2)/2)*GN148+(1-EXP(-LN(2)/2))/(LN(2)/2)*GH149*GK149*VLOOKUP('Données projet'!$B$17,Paramètres!$A$1:$I$89,3,0)*0.475*44/12</f>
        <v>1.0146146759262876E-17</v>
      </c>
      <c r="GO149" s="23">
        <f t="shared" si="135"/>
        <v>1.7482855587569999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4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276.42575999999912</v>
      </c>
      <c r="P150" s="14">
        <f t="shared" si="141"/>
        <v>66.211105372509707</v>
      </c>
      <c r="Q150" s="22">
        <f t="shared" si="108"/>
        <v>596.75920719045291</v>
      </c>
      <c r="R150" s="60">
        <f t="shared" si="109"/>
        <v>883.09429968310133</v>
      </c>
      <c r="S150" s="60">
        <f ca="1">AVERAGE(OFFSET($R$3,0,0,'Données projet'!$E$9+1,1))-AVERAGE(OFFSET($H$3,0,0,'Données projet'!$E$9+1,1))</f>
        <v>496.33873798282525</v>
      </c>
      <c r="T150" s="60">
        <f t="shared" si="142"/>
        <v>280.25465074992246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3.4106051316484809E-13</v>
      </c>
      <c r="AJ150" s="14">
        <f>AI150*VLOOKUP('Données projet'!$B$10,Paramètres!$A$1:$I$89,3,0)*VLOOKUP('Données projet'!$B$10,Paramètres!$A$1:$I$89,5,0)</f>
        <v>1.5961632016114892E-13</v>
      </c>
      <c r="AK150" s="14">
        <f t="shared" si="143"/>
        <v>2.2708641912150958E-12</v>
      </c>
      <c r="AL150" s="22">
        <f t="shared" si="112"/>
        <v>4.2330868906469593E-12</v>
      </c>
      <c r="AM150" s="60">
        <f t="shared" si="113"/>
        <v>286.33509249265262</v>
      </c>
      <c r="AN150" s="60">
        <f ca="1">AVERAGE(OFFSET($AM$3,0,0,'Données projet'!$E$10+1,1))-AVERAGE(OFFSET($H$3,0,0,'Données projet'!$E$10+1,1))</f>
        <v>277.7918215389401</v>
      </c>
      <c r="AO150" s="60">
        <f t="shared" si="144"/>
        <v>164.65640238394164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-2.2737367544323206E-13</v>
      </c>
      <c r="BE150" s="14">
        <f>BD150*VLOOKUP('Données projet'!$B$11,Paramètres!$A$1:$I$89,3,0)*VLOOKUP('Données projet'!$B$11,Paramètres!$A$1:$I$89,5,0)</f>
        <v>-2.1636878955177963E-13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366.21371543563254</v>
      </c>
      <c r="BJ150" s="60">
        <f t="shared" si="146"/>
        <v>237.43356317334084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-5.1159076974727213E-13</v>
      </c>
      <c r="BZ150" s="14">
        <f>BY150*VLOOKUP('Données projet'!$B$12,Paramètres!$A$1:$I$89,3,0)*VLOOKUP('Données projet'!$B$12,Paramètres!$A$1:$I$89,5,0)</f>
        <v>-5.3471467253984886E-13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530.79860063513229</v>
      </c>
      <c r="CE150" s="60">
        <f t="shared" si="148"/>
        <v>302.50876440460434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258.59183999999919</v>
      </c>
      <c r="CV150" s="14">
        <f t="shared" si="149"/>
        <v>62.422120343276475</v>
      </c>
      <c r="CW150" s="22">
        <f t="shared" si="121"/>
        <v>559.09931426453841</v>
      </c>
      <c r="CX150" s="60">
        <f t="shared" si="122"/>
        <v>845.43440675718682</v>
      </c>
      <c r="CY150" s="60">
        <f ca="1">AVERAGE(OFFSET($CX$3,0,0,'Données projet'!$E$13+1,1))-AVERAGE(OFFSET($H$3,0,0,'Données projet'!$E$13+1,1))</f>
        <v>469.67944008675863</v>
      </c>
      <c r="CZ150" s="60">
        <f t="shared" si="150"/>
        <v>266.11908070867173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2.4</v>
      </c>
      <c r="DO150" s="13">
        <f>IF('Données projet'!$A$166&gt;35,DO149+DN150-DW149,IF(A150&lt;'Données projet'!$A$166,$DL$205^A150,IF(A150='Données projet'!$A$166,'Données projet'!$B$166,DO149+DN150-DW149)))</f>
        <v>285.7999999999991</v>
      </c>
      <c r="DP150" s="18">
        <f>DO150*VLOOKUP('Données projet'!$B$14,Paramètres!$A$1:$I$89,3,0)*VLOOKUP('Données projet'!$B$14,Paramètres!$A$1:$I$89,5,0)</f>
        <v>307.63511999999901</v>
      </c>
      <c r="DQ150" s="14">
        <f t="shared" si="151"/>
        <v>72.774729201093322</v>
      </c>
      <c r="DR150" s="22">
        <f t="shared" si="124"/>
        <v>662.54715402523584</v>
      </c>
      <c r="DS150" s="60">
        <f t="shared" si="125"/>
        <v>948.88224651788425</v>
      </c>
      <c r="DT150" s="60">
        <f ca="1">AVERAGE(OFFSET($DS$3,0,0,'Données projet'!$E$14+1,1))-AVERAGE(OFFSET($H$3,0,0,'Données projet'!$E$14+1,1))</f>
        <v>542.90832990875208</v>
      </c>
      <c r="DU150" s="60">
        <f t="shared" si="152"/>
        <v>304.94365539329362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5.6843418860808015E-14</v>
      </c>
      <c r="EK150" s="18">
        <f>EJ150*VLOOKUP('Données projet'!$B$15,Paramètres!$A$1:$I$89,3,0)*VLOOKUP('Données projet'!$B$15,Paramètres!$A$1:$I$89,5,0)</f>
        <v>4.5224624045658861E-14</v>
      </c>
      <c r="EL150" s="14">
        <f t="shared" si="153"/>
        <v>7.4514601661523691E-13</v>
      </c>
      <c r="EM150" s="22">
        <f t="shared" si="127"/>
        <v>1.3765621991510601E-12</v>
      </c>
      <c r="EN150" s="60">
        <f t="shared" si="128"/>
        <v>286.33509249264978</v>
      </c>
      <c r="EO150" s="60">
        <f ca="1">AVERAGE(OFFSET($EN$3,0,0,'Données projet'!$E$15+1,1))-AVERAGE(OFFSET($H$3,0,0,'Données projet'!$E$15+1,1))</f>
        <v>273.72403794510291</v>
      </c>
      <c r="EP150" s="60">
        <f t="shared" si="154"/>
        <v>292.00185554564109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5.6843418860808015E-14</v>
      </c>
      <c r="FF150" s="18">
        <f>FE150*VLOOKUP('Données projet'!$B$16,Paramètres!$A$1:$I$89,3,0)*VLOOKUP('Données projet'!$B$16,Paramètres!$A$1:$I$89,5,0)</f>
        <v>4.4337866711430253E-14</v>
      </c>
      <c r="FG150" s="14">
        <f t="shared" si="155"/>
        <v>7.3222115536967035E-13</v>
      </c>
      <c r="FH150" s="22">
        <f t="shared" si="130"/>
        <v>1.3525069634579169E-12</v>
      </c>
      <c r="FI150" s="60">
        <f t="shared" si="131"/>
        <v>286.33509249264978</v>
      </c>
      <c r="FJ150" s="60">
        <f ca="1">AVERAGE(OFFSET($FI$3,0,0,'Données projet'!$E$16+1,1))-AVERAGE(OFFSET($H$3,0,0,'Données projet'!$E$16+1,1))</f>
        <v>309.21625451786218</v>
      </c>
      <c r="FK150" s="60">
        <f t="shared" si="156"/>
        <v>302.59481222418219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>
        <f>FZ150*VLOOKUP('Données projet'!$B$17,Paramètres!$A$1:$I$89,3,0)*VLOOKUP('Données projet'!$B$17,Paramètres!$A$1:$I$89,5,0)</f>
        <v>0</v>
      </c>
      <c r="GB150" s="14" t="e">
        <f t="shared" si="157"/>
        <v>#NUM!</v>
      </c>
      <c r="GC150" s="22" t="e">
        <f t="shared" si="133"/>
        <v>#NUM!</v>
      </c>
      <c r="GD150" s="60" t="e">
        <f t="shared" si="134"/>
        <v>#NUM!</v>
      </c>
      <c r="GE150" s="60">
        <f ca="1">AVERAGE(OFFSET($GD$3,0,0,'Données projet'!$E$17+1,1))-AVERAGE(OFFSET($H$3,0,0,'Données projet'!$E$17+1,1))</f>
        <v>216.36762889365235</v>
      </c>
      <c r="GF150" s="60">
        <f t="shared" si="158"/>
        <v>333.29599352215496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1.3306501044457126</v>
      </c>
      <c r="GM150" s="23">
        <f>EXP(-LN(2)/25)*GM149+(1-EXP(-LN(2)/25))/(LN(2)/25)*Calculateur!GH150*Calculateur!GJ150*VLOOKUP('Données projet'!$B$17,Paramètres!$A$1:$I$89,3,0)*0.475*44/12</f>
        <v>0.38032783968841011</v>
      </c>
      <c r="GN150" s="23">
        <f>EXP(-LN(2)/2)*GN149+(1-EXP(-LN(2)/2))/(LN(2)/2)*GH150*GK150*VLOOKUP('Données projet'!$B$17,Paramètres!$A$1:$I$89,3,0)*0.475*44/12</f>
        <v>7.1744091763886925E-18</v>
      </c>
      <c r="GO150" s="23">
        <f t="shared" si="135"/>
        <v>1.7109779441341226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4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278.74703999999912</v>
      </c>
      <c r="P151" s="14">
        <f t="shared" si="141"/>
        <v>66.702153339553078</v>
      </c>
      <c r="Q151" s="22">
        <f t="shared" si="108"/>
        <v>601.65734506638671</v>
      </c>
      <c r="R151" s="60">
        <f t="shared" si="109"/>
        <v>888.1138413918984</v>
      </c>
      <c r="S151" s="60">
        <f ca="1">AVERAGE(OFFSET($R$3,0,0,'Données projet'!$E$9+1,1))-AVERAGE(OFFSET($H$3,0,0,'Données projet'!$E$9+1,1))</f>
        <v>496.33873798282525</v>
      </c>
      <c r="T151" s="60">
        <f t="shared" si="142"/>
        <v>280.25465074992246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3.4106051316484809E-13</v>
      </c>
      <c r="AJ151" s="14">
        <f>AI151*VLOOKUP('Données projet'!$B$10,Paramètres!$A$1:$I$89,3,0)*VLOOKUP('Données projet'!$B$10,Paramètres!$A$1:$I$89,5,0)</f>
        <v>1.5961632016114892E-13</v>
      </c>
      <c r="AK151" s="14">
        <f t="shared" si="143"/>
        <v>2.2708641912150958E-12</v>
      </c>
      <c r="AL151" s="22">
        <f t="shared" si="112"/>
        <v>4.2330868906469593E-12</v>
      </c>
      <c r="AM151" s="60">
        <f t="shared" si="113"/>
        <v>286.4564963255159</v>
      </c>
      <c r="AN151" s="60">
        <f ca="1">AVERAGE(OFFSET($AM$3,0,0,'Données projet'!$E$10+1,1))-AVERAGE(OFFSET($H$3,0,0,'Données projet'!$E$10+1,1))</f>
        <v>277.7918215389401</v>
      </c>
      <c r="AO151" s="60">
        <f t="shared" si="144"/>
        <v>164.65640238394164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-2.2737367544323206E-13</v>
      </c>
      <c r="BE151" s="14">
        <f>BD151*VLOOKUP('Données projet'!$B$11,Paramètres!$A$1:$I$89,3,0)*VLOOKUP('Données projet'!$B$11,Paramètres!$A$1:$I$89,5,0)</f>
        <v>-2.1636878955177963E-13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366.21371543563254</v>
      </c>
      <c r="BJ151" s="60">
        <f t="shared" si="146"/>
        <v>237.43356317334084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-5.1159076974727213E-13</v>
      </c>
      <c r="BZ151" s="14">
        <f>BY151*VLOOKUP('Données projet'!$B$12,Paramètres!$A$1:$I$89,3,0)*VLOOKUP('Données projet'!$B$12,Paramètres!$A$1:$I$89,5,0)</f>
        <v>-5.3471467253984886E-13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530.79860063513229</v>
      </c>
      <c r="CE151" s="60">
        <f t="shared" si="148"/>
        <v>302.50876440460434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260.76335999999918</v>
      </c>
      <c r="CV151" s="14">
        <f t="shared" si="149"/>
        <v>62.885067686031789</v>
      </c>
      <c r="CW151" s="22">
        <f t="shared" si="121"/>
        <v>563.68767821983727</v>
      </c>
      <c r="CX151" s="60">
        <f t="shared" si="122"/>
        <v>850.14417454534896</v>
      </c>
      <c r="CY151" s="60">
        <f ca="1">AVERAGE(OFFSET($CX$3,0,0,'Données projet'!$E$13+1,1))-AVERAGE(OFFSET($H$3,0,0,'Données projet'!$E$13+1,1))</f>
        <v>469.67944008675863</v>
      </c>
      <c r="CZ151" s="60">
        <f t="shared" si="150"/>
        <v>266.11908070867173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2.4</v>
      </c>
      <c r="DO151" s="13">
        <f>IF('Données projet'!$A$166&gt;35,DO150+DN151-DW150,IF(A151&lt;'Données projet'!$A$166,$DL$205^A151,IF(A151='Données projet'!$A$166,'Données projet'!$B$166,DO150+DN151-DW150)))</f>
        <v>288.19999999999908</v>
      </c>
      <c r="DP151" s="18">
        <f>DO151*VLOOKUP('Données projet'!$B$14,Paramètres!$A$1:$I$89,3,0)*VLOOKUP('Données projet'!$B$14,Paramètres!$A$1:$I$89,5,0)</f>
        <v>310.21847999999898</v>
      </c>
      <c r="DQ151" s="14">
        <f t="shared" si="151"/>
        <v>73.314455620479777</v>
      </c>
      <c r="DR151" s="22">
        <f t="shared" si="124"/>
        <v>667.98652953900034</v>
      </c>
      <c r="DS151" s="60">
        <f t="shared" si="125"/>
        <v>954.44302586451204</v>
      </c>
      <c r="DT151" s="60">
        <f ca="1">AVERAGE(OFFSET($DS$3,0,0,'Données projet'!$E$14+1,1))-AVERAGE(OFFSET($H$3,0,0,'Données projet'!$E$14+1,1))</f>
        <v>542.90832990875208</v>
      </c>
      <c r="DU151" s="60">
        <f t="shared" si="152"/>
        <v>304.94365539329362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5.6843418860808015E-14</v>
      </c>
      <c r="EK151" s="18">
        <f>EJ151*VLOOKUP('Données projet'!$B$15,Paramètres!$A$1:$I$89,3,0)*VLOOKUP('Données projet'!$B$15,Paramètres!$A$1:$I$89,5,0)</f>
        <v>4.5224624045658861E-14</v>
      </c>
      <c r="EL151" s="14">
        <f t="shared" si="153"/>
        <v>7.4514601661523691E-13</v>
      </c>
      <c r="EM151" s="22">
        <f t="shared" si="127"/>
        <v>1.3765621991510601E-12</v>
      </c>
      <c r="EN151" s="60">
        <f t="shared" si="128"/>
        <v>286.45649632551306</v>
      </c>
      <c r="EO151" s="60">
        <f ca="1">AVERAGE(OFFSET($EN$3,0,0,'Données projet'!$E$15+1,1))-AVERAGE(OFFSET($H$3,0,0,'Données projet'!$E$15+1,1))</f>
        <v>273.72403794510291</v>
      </c>
      <c r="EP151" s="60">
        <f t="shared" si="154"/>
        <v>292.00185554564109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5.6843418860808015E-14</v>
      </c>
      <c r="FF151" s="18">
        <f>FE151*VLOOKUP('Données projet'!$B$16,Paramètres!$A$1:$I$89,3,0)*VLOOKUP('Données projet'!$B$16,Paramètres!$A$1:$I$89,5,0)</f>
        <v>4.4337866711430253E-14</v>
      </c>
      <c r="FG151" s="14">
        <f t="shared" si="155"/>
        <v>7.3222115536967035E-13</v>
      </c>
      <c r="FH151" s="22">
        <f t="shared" si="130"/>
        <v>1.3525069634579169E-12</v>
      </c>
      <c r="FI151" s="60">
        <f t="shared" si="131"/>
        <v>286.45649632551306</v>
      </c>
      <c r="FJ151" s="60">
        <f ca="1">AVERAGE(OFFSET($FI$3,0,0,'Données projet'!$E$16+1,1))-AVERAGE(OFFSET($H$3,0,0,'Données projet'!$E$16+1,1))</f>
        <v>309.21625451786218</v>
      </c>
      <c r="FK151" s="60">
        <f t="shared" si="156"/>
        <v>302.59481222418219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>
        <f>FZ151*VLOOKUP('Données projet'!$B$17,Paramètres!$A$1:$I$89,3,0)*VLOOKUP('Données projet'!$B$17,Paramètres!$A$1:$I$89,5,0)</f>
        <v>0</v>
      </c>
      <c r="GB151" s="14" t="e">
        <f t="shared" si="157"/>
        <v>#NUM!</v>
      </c>
      <c r="GC151" s="22" t="e">
        <f t="shared" si="133"/>
        <v>#NUM!</v>
      </c>
      <c r="GD151" s="60" t="e">
        <f t="shared" si="134"/>
        <v>#NUM!</v>
      </c>
      <c r="GE151" s="60">
        <f ca="1">AVERAGE(OFFSET($GD$3,0,0,'Données projet'!$E$17+1,1))-AVERAGE(OFFSET($H$3,0,0,'Données projet'!$E$17+1,1))</f>
        <v>216.36762889365235</v>
      </c>
      <c r="GF151" s="60">
        <f t="shared" si="158"/>
        <v>333.29599352215496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1.3045568675139554</v>
      </c>
      <c r="GM151" s="23">
        <f>EXP(-LN(2)/25)*GM150+(1-EXP(-LN(2)/25))/(LN(2)/25)*Calculateur!GH151*Calculateur!GJ151*VLOOKUP('Données projet'!$B$17,Paramètres!$A$1:$I$89,3,0)*0.475*44/12</f>
        <v>0.36992775491155871</v>
      </c>
      <c r="GN151" s="23">
        <f>EXP(-LN(2)/2)*GN150+(1-EXP(-LN(2)/2))/(LN(2)/2)*GH151*GK151*VLOOKUP('Données projet'!$B$17,Paramètres!$A$1:$I$89,3,0)*0.475*44/12</f>
        <v>5.0730733796314379E-18</v>
      </c>
      <c r="GO151" s="23">
        <f t="shared" si="135"/>
        <v>1.6744846224255141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4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281.06831999999906</v>
      </c>
      <c r="P152" s="14">
        <f t="shared" si="141"/>
        <v>67.192725545416479</v>
      </c>
      <c r="Q152" s="22">
        <f t="shared" si="108"/>
        <v>606.55465432493213</v>
      </c>
      <c r="R152" s="60">
        <f t="shared" si="109"/>
        <v>893.13044839822521</v>
      </c>
      <c r="S152" s="60">
        <f ca="1">AVERAGE(OFFSET($R$3,0,0,'Données projet'!$E$9+1,1))-AVERAGE(OFFSET($H$3,0,0,'Données projet'!$E$9+1,1))</f>
        <v>496.33873798282525</v>
      </c>
      <c r="T152" s="60">
        <f t="shared" si="142"/>
        <v>280.25465074992246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3.4106051316484809E-13</v>
      </c>
      <c r="AJ152" s="14">
        <f>AI152*VLOOKUP('Données projet'!$B$10,Paramètres!$A$1:$I$89,3,0)*VLOOKUP('Données projet'!$B$10,Paramètres!$A$1:$I$89,5,0)</f>
        <v>1.5961632016114892E-13</v>
      </c>
      <c r="AK152" s="14">
        <f t="shared" si="143"/>
        <v>2.2708641912150958E-12</v>
      </c>
      <c r="AL152" s="22">
        <f t="shared" si="112"/>
        <v>4.2330868906469593E-12</v>
      </c>
      <c r="AM152" s="60">
        <f t="shared" si="113"/>
        <v>286.57579407329729</v>
      </c>
      <c r="AN152" s="60">
        <f ca="1">AVERAGE(OFFSET($AM$3,0,0,'Données projet'!$E$10+1,1))-AVERAGE(OFFSET($H$3,0,0,'Données projet'!$E$10+1,1))</f>
        <v>277.7918215389401</v>
      </c>
      <c r="AO152" s="60">
        <f t="shared" si="144"/>
        <v>164.65640238394164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-2.2737367544323206E-13</v>
      </c>
      <c r="BE152" s="14">
        <f>BD152*VLOOKUP('Données projet'!$B$11,Paramètres!$A$1:$I$89,3,0)*VLOOKUP('Données projet'!$B$11,Paramètres!$A$1:$I$89,5,0)</f>
        <v>-2.1636878955177963E-13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366.21371543563254</v>
      </c>
      <c r="BJ152" s="60">
        <f t="shared" si="146"/>
        <v>237.43356317334084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-5.1159076974727213E-13</v>
      </c>
      <c r="BZ152" s="14">
        <f>BY152*VLOOKUP('Données projet'!$B$12,Paramètres!$A$1:$I$89,3,0)*VLOOKUP('Données projet'!$B$12,Paramètres!$A$1:$I$89,5,0)</f>
        <v>-5.3471467253984886E-13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530.79860063513229</v>
      </c>
      <c r="CE152" s="60">
        <f t="shared" si="148"/>
        <v>302.50876440460434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262.93487999999911</v>
      </c>
      <c r="CV152" s="14">
        <f t="shared" si="149"/>
        <v>63.347566493432595</v>
      </c>
      <c r="CW152" s="22">
        <f t="shared" si="121"/>
        <v>568.27526097606028</v>
      </c>
      <c r="CX152" s="60">
        <f t="shared" si="122"/>
        <v>854.85105504935336</v>
      </c>
      <c r="CY152" s="60">
        <f ca="1">AVERAGE(OFFSET($CX$3,0,0,'Données projet'!$E$13+1,1))-AVERAGE(OFFSET($H$3,0,0,'Données projet'!$E$13+1,1))</f>
        <v>469.67944008675863</v>
      </c>
      <c r="CZ152" s="60">
        <f t="shared" si="150"/>
        <v>266.11908070867173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2.4</v>
      </c>
      <c r="DO152" s="13">
        <f>IF('Données projet'!$A$166&gt;35,DO151+DN152-DW151,IF(A152&lt;'Données projet'!$A$166,$DL$205^A152,IF(A152='Données projet'!$A$166,'Données projet'!$B$166,DO151+DN152-DW151)))</f>
        <v>290.59999999999906</v>
      </c>
      <c r="DP152" s="18">
        <f>DO152*VLOOKUP('Données projet'!$B$14,Paramètres!$A$1:$I$89,3,0)*VLOOKUP('Données projet'!$B$14,Paramètres!$A$1:$I$89,5,0)</f>
        <v>312.80183999999895</v>
      </c>
      <c r="DQ152" s="14">
        <f t="shared" si="151"/>
        <v>73.853659115640198</v>
      </c>
      <c r="DR152" s="22">
        <f t="shared" si="124"/>
        <v>673.42499429307145</v>
      </c>
      <c r="DS152" s="60">
        <f t="shared" si="125"/>
        <v>960.00078836636453</v>
      </c>
      <c r="DT152" s="60">
        <f ca="1">AVERAGE(OFFSET($DS$3,0,0,'Données projet'!$E$14+1,1))-AVERAGE(OFFSET($H$3,0,0,'Données projet'!$E$14+1,1))</f>
        <v>542.90832990875208</v>
      </c>
      <c r="DU152" s="60">
        <f t="shared" si="152"/>
        <v>304.94365539329362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5.6843418860808015E-14</v>
      </c>
      <c r="EK152" s="18">
        <f>EJ152*VLOOKUP('Données projet'!$B$15,Paramètres!$A$1:$I$89,3,0)*VLOOKUP('Données projet'!$B$15,Paramètres!$A$1:$I$89,5,0)</f>
        <v>4.5224624045658861E-14</v>
      </c>
      <c r="EL152" s="14">
        <f t="shared" si="153"/>
        <v>7.4514601661523691E-13</v>
      </c>
      <c r="EM152" s="22">
        <f t="shared" si="127"/>
        <v>1.3765621991510601E-12</v>
      </c>
      <c r="EN152" s="60">
        <f t="shared" si="128"/>
        <v>286.57579407329445</v>
      </c>
      <c r="EO152" s="60">
        <f ca="1">AVERAGE(OFFSET($EN$3,0,0,'Données projet'!$E$15+1,1))-AVERAGE(OFFSET($H$3,0,0,'Données projet'!$E$15+1,1))</f>
        <v>273.72403794510291</v>
      </c>
      <c r="EP152" s="60">
        <f t="shared" si="154"/>
        <v>292.00185554564109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5.6843418860808015E-14</v>
      </c>
      <c r="FF152" s="18">
        <f>FE152*VLOOKUP('Données projet'!$B$16,Paramètres!$A$1:$I$89,3,0)*VLOOKUP('Données projet'!$B$16,Paramètres!$A$1:$I$89,5,0)</f>
        <v>4.4337866711430253E-14</v>
      </c>
      <c r="FG152" s="14">
        <f t="shared" si="155"/>
        <v>7.3222115536967035E-13</v>
      </c>
      <c r="FH152" s="22">
        <f t="shared" si="130"/>
        <v>1.3525069634579169E-12</v>
      </c>
      <c r="FI152" s="60">
        <f t="shared" si="131"/>
        <v>286.57579407329445</v>
      </c>
      <c r="FJ152" s="60">
        <f ca="1">AVERAGE(OFFSET($FI$3,0,0,'Données projet'!$E$16+1,1))-AVERAGE(OFFSET($H$3,0,0,'Données projet'!$E$16+1,1))</f>
        <v>309.21625451786218</v>
      </c>
      <c r="FK152" s="60">
        <f t="shared" si="156"/>
        <v>302.59481222418219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>
        <f>FZ152*VLOOKUP('Données projet'!$B$17,Paramètres!$A$1:$I$89,3,0)*VLOOKUP('Données projet'!$B$17,Paramètres!$A$1:$I$89,5,0)</f>
        <v>0</v>
      </c>
      <c r="GB152" s="14" t="e">
        <f t="shared" si="157"/>
        <v>#NUM!</v>
      </c>
      <c r="GC152" s="22" t="e">
        <f t="shared" si="133"/>
        <v>#NUM!</v>
      </c>
      <c r="GD152" s="60" t="e">
        <f t="shared" si="134"/>
        <v>#NUM!</v>
      </c>
      <c r="GE152" s="60">
        <f ca="1">AVERAGE(OFFSET($GD$3,0,0,'Données projet'!$E$17+1,1))-AVERAGE(OFFSET($H$3,0,0,'Données projet'!$E$17+1,1))</f>
        <v>216.36762889365235</v>
      </c>
      <c r="GF152" s="60">
        <f t="shared" si="158"/>
        <v>333.29599352215496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1.278975303043127</v>
      </c>
      <c r="GM152" s="23">
        <f>EXP(-LN(2)/25)*GM151+(1-EXP(-LN(2)/25))/(LN(2)/25)*Calculateur!GH152*Calculateur!GJ152*VLOOKUP('Données projet'!$B$17,Paramètres!$A$1:$I$89,3,0)*0.475*44/12</f>
        <v>0.35981206099984697</v>
      </c>
      <c r="GN152" s="23">
        <f>EXP(-LN(2)/2)*GN151+(1-EXP(-LN(2)/2))/(LN(2)/2)*GH152*GK152*VLOOKUP('Données projet'!$B$17,Paramètres!$A$1:$I$89,3,0)*0.475*44/12</f>
        <v>3.5872045881943462E-18</v>
      </c>
      <c r="GO152" s="23">
        <f t="shared" si="135"/>
        <v>1.638787364042974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4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283.38959999999906</v>
      </c>
      <c r="P153" s="14">
        <f t="shared" si="141"/>
        <v>67.682826374656187</v>
      </c>
      <c r="Q153" s="22">
        <f t="shared" si="108"/>
        <v>611.45114260252456</v>
      </c>
      <c r="R153" s="60">
        <f t="shared" si="109"/>
        <v>898.14416487438484</v>
      </c>
      <c r="S153" s="60">
        <f ca="1">AVERAGE(OFFSET($R$3,0,0,'Données projet'!$E$9+1,1))-AVERAGE(OFFSET($H$3,0,0,'Données projet'!$E$9+1,1))</f>
        <v>496.33873798282525</v>
      </c>
      <c r="T153" s="60">
        <f t="shared" si="142"/>
        <v>280.25465074992246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3.4106051316484809E-13</v>
      </c>
      <c r="AJ153" s="14">
        <f>AI153*VLOOKUP('Données projet'!$B$10,Paramètres!$A$1:$I$89,3,0)*VLOOKUP('Données projet'!$B$10,Paramètres!$A$1:$I$89,5,0)</f>
        <v>1.5961632016114892E-13</v>
      </c>
      <c r="AK153" s="14">
        <f t="shared" si="143"/>
        <v>2.2708641912150958E-12</v>
      </c>
      <c r="AL153" s="22">
        <f t="shared" si="112"/>
        <v>4.2330868906469593E-12</v>
      </c>
      <c r="AM153" s="60">
        <f t="shared" si="113"/>
        <v>286.69302227186455</v>
      </c>
      <c r="AN153" s="60">
        <f ca="1">AVERAGE(OFFSET($AM$3,0,0,'Données projet'!$E$10+1,1))-AVERAGE(OFFSET($H$3,0,0,'Données projet'!$E$10+1,1))</f>
        <v>277.7918215389401</v>
      </c>
      <c r="AO153" s="60">
        <f t="shared" si="144"/>
        <v>164.65640238394164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-2.2737367544323206E-13</v>
      </c>
      <c r="BE153" s="14">
        <f>BD153*VLOOKUP('Données projet'!$B$11,Paramètres!$A$1:$I$89,3,0)*VLOOKUP('Données projet'!$B$11,Paramètres!$A$1:$I$89,5,0)</f>
        <v>-2.1636878955177963E-13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366.21371543563254</v>
      </c>
      <c r="BJ153" s="60">
        <f t="shared" si="146"/>
        <v>237.43356317334084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-5.1159076974727213E-13</v>
      </c>
      <c r="BZ153" s="14">
        <f>BY153*VLOOKUP('Données projet'!$B$12,Paramètres!$A$1:$I$89,3,0)*VLOOKUP('Données projet'!$B$12,Paramètres!$A$1:$I$89,5,0)</f>
        <v>-5.3471467253984886E-13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530.79860063513229</v>
      </c>
      <c r="CE153" s="60">
        <f t="shared" si="148"/>
        <v>302.50876440460434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265.1063999999991</v>
      </c>
      <c r="CV153" s="14">
        <f t="shared" si="149"/>
        <v>63.809620899125136</v>
      </c>
      <c r="CW153" s="22">
        <f t="shared" si="121"/>
        <v>572.86206973264132</v>
      </c>
      <c r="CX153" s="60">
        <f t="shared" si="122"/>
        <v>859.5550920045016</v>
      </c>
      <c r="CY153" s="60">
        <f ca="1">AVERAGE(OFFSET($CX$3,0,0,'Données projet'!$E$13+1,1))-AVERAGE(OFFSET($H$3,0,0,'Données projet'!$E$13+1,1))</f>
        <v>469.67944008675863</v>
      </c>
      <c r="CZ153" s="60">
        <f t="shared" si="150"/>
        <v>266.11908070867173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2.4</v>
      </c>
      <c r="DN153" s="13">
        <f t="array" ref="DN153">INDEX(DM:DM,MIN(IF(ISNUMBER(DM153:DM349),ROW(DM153:DM349),"")))</f>
        <v>2.4</v>
      </c>
      <c r="DO153" s="13">
        <f>IF('Données projet'!$A$166&gt;35,DO152+DN153-DW152,IF(A153&lt;'Données projet'!$A$166,$DL$205^A153,IF(A153='Données projet'!$A$166,'Données projet'!$B$166,DO152+DN153-DW152)))</f>
        <v>292.99999999999903</v>
      </c>
      <c r="DP153" s="18">
        <f>DO153*VLOOKUP('Données projet'!$B$14,Paramètres!$A$1:$I$89,3,0)*VLOOKUP('Données projet'!$B$14,Paramètres!$A$1:$I$89,5,0)</f>
        <v>315.38519999999892</v>
      </c>
      <c r="DQ153" s="14">
        <f t="shared" si="151"/>
        <v>74.392344505779604</v>
      </c>
      <c r="DR153" s="22">
        <f t="shared" si="124"/>
        <v>678.86255668089746</v>
      </c>
      <c r="DS153" s="60">
        <f t="shared" si="125"/>
        <v>965.55557895275774</v>
      </c>
      <c r="DT153" s="60">
        <f ca="1">AVERAGE(OFFSET($DS$3,0,0,'Données projet'!$E$14+1,1))-AVERAGE(OFFSET($H$3,0,0,'Données projet'!$E$14+1,1))</f>
        <v>542.90832990875208</v>
      </c>
      <c r="DU153" s="60">
        <f t="shared" si="152"/>
        <v>304.94365539329362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5.6843418860808015E-14</v>
      </c>
      <c r="EK153" s="18">
        <f>EJ153*VLOOKUP('Données projet'!$B$15,Paramètres!$A$1:$I$89,3,0)*VLOOKUP('Données projet'!$B$15,Paramètres!$A$1:$I$89,5,0)</f>
        <v>4.5224624045658861E-14</v>
      </c>
      <c r="EL153" s="14">
        <f t="shared" si="153"/>
        <v>7.4514601661523691E-13</v>
      </c>
      <c r="EM153" s="22">
        <f t="shared" si="127"/>
        <v>1.3765621991510601E-12</v>
      </c>
      <c r="EN153" s="60">
        <f t="shared" si="128"/>
        <v>286.69302227186171</v>
      </c>
      <c r="EO153" s="60">
        <f ca="1">AVERAGE(OFFSET($EN$3,0,0,'Données projet'!$E$15+1,1))-AVERAGE(OFFSET($H$3,0,0,'Données projet'!$E$15+1,1))</f>
        <v>273.72403794510291</v>
      </c>
      <c r="EP153" s="60">
        <f t="shared" si="154"/>
        <v>292.00185554564109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5.6843418860808015E-14</v>
      </c>
      <c r="FF153" s="18">
        <f>FE153*VLOOKUP('Données projet'!$B$16,Paramètres!$A$1:$I$89,3,0)*VLOOKUP('Données projet'!$B$16,Paramètres!$A$1:$I$89,5,0)</f>
        <v>4.4337866711430253E-14</v>
      </c>
      <c r="FG153" s="14">
        <f t="shared" si="155"/>
        <v>7.3222115536967035E-13</v>
      </c>
      <c r="FH153" s="22">
        <f t="shared" si="130"/>
        <v>1.3525069634579169E-12</v>
      </c>
      <c r="FI153" s="60">
        <f t="shared" si="131"/>
        <v>286.69302227186171</v>
      </c>
      <c r="FJ153" s="60">
        <f ca="1">AVERAGE(OFFSET($FI$3,0,0,'Données projet'!$E$16+1,1))-AVERAGE(OFFSET($H$3,0,0,'Données projet'!$E$16+1,1))</f>
        <v>309.21625451786218</v>
      </c>
      <c r="FK153" s="60">
        <f t="shared" si="156"/>
        <v>302.59481222418219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>
        <f>FZ153*VLOOKUP('Données projet'!$B$17,Paramètres!$A$1:$I$89,3,0)*VLOOKUP('Données projet'!$B$17,Paramètres!$A$1:$I$89,5,0)</f>
        <v>0</v>
      </c>
      <c r="GB153" s="14" t="e">
        <f t="shared" si="157"/>
        <v>#NUM!</v>
      </c>
      <c r="GC153" s="22" t="e">
        <f t="shared" si="133"/>
        <v>#NUM!</v>
      </c>
      <c r="GD153" s="60" t="e">
        <f t="shared" si="134"/>
        <v>#NUM!</v>
      </c>
      <c r="GE153" s="60">
        <f ca="1">AVERAGE(OFFSET($GD$3,0,0,'Données projet'!$E$17+1,1))-AVERAGE(OFFSET($H$3,0,0,'Données projet'!$E$17+1,1))</f>
        <v>216.36762889365235</v>
      </c>
      <c r="GF153" s="60">
        <f t="shared" si="158"/>
        <v>333.29599352215496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1.2538953774483579</v>
      </c>
      <c r="GM153" s="23">
        <f>EXP(-LN(2)/25)*GM152+(1-EXP(-LN(2)/25))/(LN(2)/25)*Calculateur!GH153*Calculateur!GJ153*VLOOKUP('Données projet'!$B$17,Paramètres!$A$1:$I$89,3,0)*0.475*44/12</f>
        <v>0.34997298127011223</v>
      </c>
      <c r="GN153" s="23">
        <f>EXP(-LN(2)/2)*GN152+(1-EXP(-LN(2)/2))/(LN(2)/2)*GH153*GK153*VLOOKUP('Données projet'!$B$17,Paramètres!$A$1:$I$89,3,0)*0.475*44/12</f>
        <v>2.5365366898157189E-18</v>
      </c>
      <c r="GO153" s="23">
        <f t="shared" si="135"/>
        <v>1.6038683587184701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4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-9.3464223027694966E-13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496.33873798282525</v>
      </c>
      <c r="T154" s="60">
        <f t="shared" si="142"/>
        <v>280.25465074992246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3.4106051316484809E-13</v>
      </c>
      <c r="AJ154" s="14">
        <f>AI154*VLOOKUP('Données projet'!$B$10,Paramètres!$A$1:$I$89,3,0)*VLOOKUP('Données projet'!$B$10,Paramètres!$A$1:$I$89,5,0)</f>
        <v>1.5961632016114892E-13</v>
      </c>
      <c r="AK154" s="14">
        <f t="shared" ref="AK154:AK203" si="164">EXP(-1.0587+0.8836*LN(AJ154)+0.284)</f>
        <v>2.2708641912150958E-12</v>
      </c>
      <c r="AL154" s="22">
        <f t="shared" ref="AL154:AL203" si="165">(AJ154+AK154)*0.475*44/12</f>
        <v>4.2330868906469593E-12</v>
      </c>
      <c r="AM154" s="60">
        <f t="shared" si="113"/>
        <v>286.80821682326956</v>
      </c>
      <c r="AN154" s="60">
        <f ca="1">AVERAGE(OFFSET($AM$3,0,0,'Données projet'!$E$10+1,1))-AVERAGE(OFFSET($H$3,0,0,'Données projet'!$E$10+1,1))</f>
        <v>277.7918215389401</v>
      </c>
      <c r="AO154" s="60">
        <f t="shared" si="144"/>
        <v>164.65640238394164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-2.2737367544323206E-13</v>
      </c>
      <c r="BE154" s="14">
        <f>BD154*VLOOKUP('Données projet'!$B$11,Paramètres!$A$1:$I$89,3,0)*VLOOKUP('Données projet'!$B$11,Paramètres!$A$1:$I$89,5,0)</f>
        <v>-2.1636878955177963E-13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366.21371543563254</v>
      </c>
      <c r="BJ154" s="60">
        <f t="shared" si="146"/>
        <v>237.43356317334084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-5.1159076974727213E-13</v>
      </c>
      <c r="BZ154" s="14">
        <f>BY154*VLOOKUP('Données projet'!$B$12,Paramètres!$A$1:$I$89,3,0)*VLOOKUP('Données projet'!$B$12,Paramètres!$A$1:$I$89,5,0)</f>
        <v>-5.3471467253984886E-13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530.79860063513229</v>
      </c>
      <c r="CE154" s="60">
        <f t="shared" si="148"/>
        <v>302.50876440460434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-8.7434273154940449E-13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469.67944008675863</v>
      </c>
      <c r="CZ154" s="60">
        <f t="shared" si="150"/>
        <v>266.11908070867173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-9.6633812063373625E-13</v>
      </c>
      <c r="DP154" s="18">
        <f>DO154*VLOOKUP('Données projet'!$B$14,Paramètres!$A$1:$I$89,3,0)*VLOOKUP('Données projet'!$B$14,Paramètres!$A$1:$I$89,5,0)</f>
        <v>-1.0401663530501537E-12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542.90832990875208</v>
      </c>
      <c r="DU154" s="60">
        <f t="shared" si="152"/>
        <v>304.94365539329362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5.6843418860808015E-14</v>
      </c>
      <c r="EK154" s="18">
        <f>EJ154*VLOOKUP('Données projet'!$B$15,Paramètres!$A$1:$I$89,3,0)*VLOOKUP('Données projet'!$B$15,Paramètres!$A$1:$I$89,5,0)</f>
        <v>4.5224624045658861E-14</v>
      </c>
      <c r="EL154" s="14">
        <f t="shared" ref="EL154:EL203" si="179">EXP(-1.0587+0.8836*LN(EK154)+0.284)</f>
        <v>7.4514601661523691E-13</v>
      </c>
      <c r="EM154" s="22">
        <f t="shared" ref="EM154:EM203" si="180">(EK154+EL154)*0.475*44/12</f>
        <v>1.3765621991510601E-12</v>
      </c>
      <c r="EN154" s="60">
        <f t="shared" si="128"/>
        <v>286.80821682326672</v>
      </c>
      <c r="EO154" s="60">
        <f ca="1">AVERAGE(OFFSET($EN$3,0,0,'Données projet'!$E$15+1,1))-AVERAGE(OFFSET($H$3,0,0,'Données projet'!$E$15+1,1))</f>
        <v>273.72403794510291</v>
      </c>
      <c r="EP154" s="60">
        <f t="shared" si="154"/>
        <v>292.00185554564109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5.6843418860808015E-14</v>
      </c>
      <c r="FF154" s="18">
        <f>FE154*VLOOKUP('Données projet'!$B$16,Paramètres!$A$1:$I$89,3,0)*VLOOKUP('Données projet'!$B$16,Paramètres!$A$1:$I$89,5,0)</f>
        <v>4.4337866711430253E-14</v>
      </c>
      <c r="FG154" s="14">
        <f t="shared" ref="FG154:FG203" si="182">EXP(-1.0587+0.8836*LN(FF154)+0.284)</f>
        <v>7.3222115536967035E-13</v>
      </c>
      <c r="FH154" s="22">
        <f t="shared" ref="FH154:FH203" si="183">(FF154+FG154)*0.475*44/12</f>
        <v>1.3525069634579169E-12</v>
      </c>
      <c r="FI154" s="60">
        <f t="shared" si="131"/>
        <v>286.80821682326672</v>
      </c>
      <c r="FJ154" s="60">
        <f ca="1">AVERAGE(OFFSET($FI$3,0,0,'Données projet'!$E$16+1,1))-AVERAGE(OFFSET($H$3,0,0,'Données projet'!$E$16+1,1))</f>
        <v>309.21625451786218</v>
      </c>
      <c r="FK154" s="60">
        <f t="shared" si="156"/>
        <v>302.59481222418219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>
        <f>FZ154*VLOOKUP('Données projet'!$B$17,Paramètres!$A$1:$I$89,3,0)*VLOOKUP('Données projet'!$B$17,Paramètres!$A$1:$I$89,5,0)</f>
        <v>0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0" t="e">
        <f t="shared" si="134"/>
        <v>#NUM!</v>
      </c>
      <c r="GE154" s="60">
        <f ca="1">AVERAGE(OFFSET($GD$3,0,0,'Données projet'!$E$17+1,1))-AVERAGE(OFFSET($H$3,0,0,'Données projet'!$E$17+1,1))</f>
        <v>216.36762889365235</v>
      </c>
      <c r="GF154" s="60">
        <f t="shared" si="158"/>
        <v>333.29599352215496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1.229307253897258</v>
      </c>
      <c r="GM154" s="23">
        <f>EXP(-LN(2)/25)*GM153+(1-EXP(-LN(2)/25))/(LN(2)/25)*Calculateur!GH154*Calculateur!GJ154*VLOOKUP('Données projet'!$B$17,Paramètres!$A$1:$I$89,3,0)*0.475*44/12</f>
        <v>0.34040295169300178</v>
      </c>
      <c r="GN154" s="23">
        <f>EXP(-LN(2)/2)*GN153+(1-EXP(-LN(2)/2))/(LN(2)/2)*GH154*GK154*VLOOKUP('Données projet'!$B$17,Paramètres!$A$1:$I$89,3,0)*0.475*44/12</f>
        <v>1.7936022940971731E-18</v>
      </c>
      <c r="GO154" s="23">
        <f t="shared" ref="GO154:GO203" si="187">SUM(GL154:GN154)</f>
        <v>1.5697102055902599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4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-9.3464223027694966E-13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496.33873798282525</v>
      </c>
      <c r="T155" s="60">
        <f t="shared" si="142"/>
        <v>280.25465074992246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3.4106051316484809E-13</v>
      </c>
      <c r="AJ155" s="14">
        <f>AI155*VLOOKUP('Données projet'!$B$10,Paramètres!$A$1:$I$89,3,0)*VLOOKUP('Données projet'!$B$10,Paramètres!$A$1:$I$89,5,0)</f>
        <v>1.5961632016114892E-13</v>
      </c>
      <c r="AK155" s="14">
        <f t="shared" si="164"/>
        <v>2.2708641912150958E-12</v>
      </c>
      <c r="AL155" s="22">
        <f t="shared" si="165"/>
        <v>4.2330868906469593E-12</v>
      </c>
      <c r="AM155" s="60">
        <f t="shared" si="113"/>
        <v>286.9214130067441</v>
      </c>
      <c r="AN155" s="60">
        <f ca="1">AVERAGE(OFFSET($AM$3,0,0,'Données projet'!$E$10+1,1))-AVERAGE(OFFSET($H$3,0,0,'Données projet'!$E$10+1,1))</f>
        <v>277.7918215389401</v>
      </c>
      <c r="AO155" s="60">
        <f t="shared" si="144"/>
        <v>164.65640238394164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-2.2737367544323206E-13</v>
      </c>
      <c r="BE155" s="14">
        <f>BD155*VLOOKUP('Données projet'!$B$11,Paramètres!$A$1:$I$89,3,0)*VLOOKUP('Données projet'!$B$11,Paramètres!$A$1:$I$89,5,0)</f>
        <v>-2.1636878955177963E-13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366.21371543563254</v>
      </c>
      <c r="BJ155" s="60">
        <f t="shared" si="146"/>
        <v>237.43356317334084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-5.1159076974727213E-13</v>
      </c>
      <c r="BZ155" s="14">
        <f>BY155*VLOOKUP('Données projet'!$B$12,Paramètres!$A$1:$I$89,3,0)*VLOOKUP('Données projet'!$B$12,Paramètres!$A$1:$I$89,5,0)</f>
        <v>-5.3471467253984886E-13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530.79860063513229</v>
      </c>
      <c r="CE155" s="60">
        <f t="shared" si="148"/>
        <v>302.50876440460434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-8.7434273154940449E-13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469.67944008675863</v>
      </c>
      <c r="CZ155" s="60">
        <f t="shared" si="150"/>
        <v>266.11908070867173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-9.6633812063373625E-13</v>
      </c>
      <c r="DP155" s="18">
        <f>DO155*VLOOKUP('Données projet'!$B$14,Paramètres!$A$1:$I$89,3,0)*VLOOKUP('Données projet'!$B$14,Paramètres!$A$1:$I$89,5,0)</f>
        <v>-1.0401663530501537E-12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542.90832990875208</v>
      </c>
      <c r="DU155" s="60">
        <f t="shared" si="152"/>
        <v>304.94365539329362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5.6843418860808015E-14</v>
      </c>
      <c r="EK155" s="18">
        <f>EJ155*VLOOKUP('Données projet'!$B$15,Paramètres!$A$1:$I$89,3,0)*VLOOKUP('Données projet'!$B$15,Paramètres!$A$1:$I$89,5,0)</f>
        <v>4.5224624045658861E-14</v>
      </c>
      <c r="EL155" s="14">
        <f t="shared" si="179"/>
        <v>7.4514601661523691E-13</v>
      </c>
      <c r="EM155" s="22">
        <f t="shared" si="180"/>
        <v>1.3765621991510601E-12</v>
      </c>
      <c r="EN155" s="60">
        <f t="shared" si="128"/>
        <v>286.92141300674126</v>
      </c>
      <c r="EO155" s="60">
        <f ca="1">AVERAGE(OFFSET($EN$3,0,0,'Données projet'!$E$15+1,1))-AVERAGE(OFFSET($H$3,0,0,'Données projet'!$E$15+1,1))</f>
        <v>273.72403794510291</v>
      </c>
      <c r="EP155" s="60">
        <f t="shared" si="154"/>
        <v>292.00185554564109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5.6843418860808015E-14</v>
      </c>
      <c r="FF155" s="18">
        <f>FE155*VLOOKUP('Données projet'!$B$16,Paramètres!$A$1:$I$89,3,0)*VLOOKUP('Données projet'!$B$16,Paramètres!$A$1:$I$89,5,0)</f>
        <v>4.4337866711430253E-14</v>
      </c>
      <c r="FG155" s="14">
        <f t="shared" si="182"/>
        <v>7.3222115536967035E-13</v>
      </c>
      <c r="FH155" s="22">
        <f t="shared" si="183"/>
        <v>1.3525069634579169E-12</v>
      </c>
      <c r="FI155" s="60">
        <f t="shared" si="131"/>
        <v>286.92141300674126</v>
      </c>
      <c r="FJ155" s="60">
        <f ca="1">AVERAGE(OFFSET($FI$3,0,0,'Données projet'!$E$16+1,1))-AVERAGE(OFFSET($H$3,0,0,'Données projet'!$E$16+1,1))</f>
        <v>309.21625451786218</v>
      </c>
      <c r="FK155" s="60">
        <f t="shared" si="156"/>
        <v>302.59481222418219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>
        <f>FZ155*VLOOKUP('Données projet'!$B$17,Paramètres!$A$1:$I$89,3,0)*VLOOKUP('Données projet'!$B$17,Paramètres!$A$1:$I$89,5,0)</f>
        <v>0</v>
      </c>
      <c r="GB155" s="14" t="e">
        <f t="shared" si="185"/>
        <v>#NUM!</v>
      </c>
      <c r="GC155" s="22" t="e">
        <f t="shared" si="186"/>
        <v>#NUM!</v>
      </c>
      <c r="GD155" s="60" t="e">
        <f t="shared" si="134"/>
        <v>#NUM!</v>
      </c>
      <c r="GE155" s="60">
        <f ca="1">AVERAGE(OFFSET($GD$3,0,0,'Données projet'!$E$17+1,1))-AVERAGE(OFFSET($H$3,0,0,'Données projet'!$E$17+1,1))</f>
        <v>216.36762889365235</v>
      </c>
      <c r="GF155" s="60">
        <f t="shared" si="158"/>
        <v>333.29599352215496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1.2052012884517207</v>
      </c>
      <c r="GM155" s="23">
        <f>EXP(-LN(2)/25)*GM154+(1-EXP(-LN(2)/25))/(LN(2)/25)*Calculateur!GH155*Calculateur!GJ155*VLOOKUP('Données projet'!$B$17,Paramètres!$A$1:$I$89,3,0)*0.475*44/12</f>
        <v>0.33109461507794341</v>
      </c>
      <c r="GN155" s="23">
        <f>EXP(-LN(2)/2)*GN154+(1-EXP(-LN(2)/2))/(LN(2)/2)*GH155*GK155*VLOOKUP('Données projet'!$B$17,Paramètres!$A$1:$I$89,3,0)*0.475*44/12</f>
        <v>1.2682683449078595E-18</v>
      </c>
      <c r="GO155" s="23">
        <f t="shared" si="187"/>
        <v>1.5362959035296642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4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-9.3464223027694966E-13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496.33873798282525</v>
      </c>
      <c r="T156" s="60">
        <f t="shared" si="142"/>
        <v>280.25465074992246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3.4106051316484809E-13</v>
      </c>
      <c r="AJ156" s="14">
        <f>AI156*VLOOKUP('Données projet'!$B$10,Paramètres!$A$1:$I$89,3,0)*VLOOKUP('Données projet'!$B$10,Paramètres!$A$1:$I$89,5,0)</f>
        <v>1.5961632016114892E-13</v>
      </c>
      <c r="AK156" s="14">
        <f t="shared" si="164"/>
        <v>2.2708641912150958E-12</v>
      </c>
      <c r="AL156" s="22">
        <f t="shared" si="165"/>
        <v>4.2330868906469593E-12</v>
      </c>
      <c r="AM156" s="60">
        <f t="shared" si="113"/>
        <v>287.0326454895042</v>
      </c>
      <c r="AN156" s="60">
        <f ca="1">AVERAGE(OFFSET($AM$3,0,0,'Données projet'!$E$10+1,1))-AVERAGE(OFFSET($H$3,0,0,'Données projet'!$E$10+1,1))</f>
        <v>277.7918215389401</v>
      </c>
      <c r="AO156" s="60">
        <f t="shared" si="144"/>
        <v>164.65640238394164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-2.2737367544323206E-13</v>
      </c>
      <c r="BE156" s="14">
        <f>BD156*VLOOKUP('Données projet'!$B$11,Paramètres!$A$1:$I$89,3,0)*VLOOKUP('Données projet'!$B$11,Paramètres!$A$1:$I$89,5,0)</f>
        <v>-2.1636878955177963E-13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366.21371543563254</v>
      </c>
      <c r="BJ156" s="60">
        <f t="shared" si="146"/>
        <v>237.43356317334084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-5.1159076974727213E-13</v>
      </c>
      <c r="BZ156" s="14">
        <f>BY156*VLOOKUP('Données projet'!$B$12,Paramètres!$A$1:$I$89,3,0)*VLOOKUP('Données projet'!$B$12,Paramètres!$A$1:$I$89,5,0)</f>
        <v>-5.3471467253984886E-13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530.79860063513229</v>
      </c>
      <c r="CE156" s="60">
        <f t="shared" si="148"/>
        <v>302.50876440460434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-8.7434273154940449E-13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469.67944008675863</v>
      </c>
      <c r="CZ156" s="60">
        <f t="shared" si="150"/>
        <v>266.11908070867173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-9.6633812063373625E-13</v>
      </c>
      <c r="DP156" s="18">
        <f>DO156*VLOOKUP('Données projet'!$B$14,Paramètres!$A$1:$I$89,3,0)*VLOOKUP('Données projet'!$B$14,Paramètres!$A$1:$I$89,5,0)</f>
        <v>-1.0401663530501537E-12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542.90832990875208</v>
      </c>
      <c r="DU156" s="60">
        <f t="shared" si="152"/>
        <v>304.94365539329362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5.6843418860808015E-14</v>
      </c>
      <c r="EK156" s="18">
        <f>EJ156*VLOOKUP('Données projet'!$B$15,Paramètres!$A$1:$I$89,3,0)*VLOOKUP('Données projet'!$B$15,Paramètres!$A$1:$I$89,5,0)</f>
        <v>4.5224624045658861E-14</v>
      </c>
      <c r="EL156" s="14">
        <f t="shared" si="179"/>
        <v>7.4514601661523691E-13</v>
      </c>
      <c r="EM156" s="22">
        <f t="shared" si="180"/>
        <v>1.3765621991510601E-12</v>
      </c>
      <c r="EN156" s="60">
        <f t="shared" si="128"/>
        <v>287.03264548950136</v>
      </c>
      <c r="EO156" s="60">
        <f ca="1">AVERAGE(OFFSET($EN$3,0,0,'Données projet'!$E$15+1,1))-AVERAGE(OFFSET($H$3,0,0,'Données projet'!$E$15+1,1))</f>
        <v>273.72403794510291</v>
      </c>
      <c r="EP156" s="60">
        <f t="shared" si="154"/>
        <v>292.00185554564109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5.6843418860808015E-14</v>
      </c>
      <c r="FF156" s="18">
        <f>FE156*VLOOKUP('Données projet'!$B$16,Paramètres!$A$1:$I$89,3,0)*VLOOKUP('Données projet'!$B$16,Paramètres!$A$1:$I$89,5,0)</f>
        <v>4.4337866711430253E-14</v>
      </c>
      <c r="FG156" s="14">
        <f t="shared" si="182"/>
        <v>7.3222115536967035E-13</v>
      </c>
      <c r="FH156" s="22">
        <f t="shared" si="183"/>
        <v>1.3525069634579169E-12</v>
      </c>
      <c r="FI156" s="60">
        <f t="shared" si="131"/>
        <v>287.03264548950136</v>
      </c>
      <c r="FJ156" s="60">
        <f ca="1">AVERAGE(OFFSET($FI$3,0,0,'Données projet'!$E$16+1,1))-AVERAGE(OFFSET($H$3,0,0,'Données projet'!$E$16+1,1))</f>
        <v>309.21625451786218</v>
      </c>
      <c r="FK156" s="60">
        <f t="shared" si="156"/>
        <v>302.59481222418219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>
        <f>FZ156*VLOOKUP('Données projet'!$B$17,Paramètres!$A$1:$I$89,3,0)*VLOOKUP('Données projet'!$B$17,Paramètres!$A$1:$I$89,5,0)</f>
        <v>0</v>
      </c>
      <c r="GB156" s="14" t="e">
        <f t="shared" si="185"/>
        <v>#NUM!</v>
      </c>
      <c r="GC156" s="22" t="e">
        <f t="shared" si="186"/>
        <v>#NUM!</v>
      </c>
      <c r="GD156" s="60" t="e">
        <f t="shared" si="134"/>
        <v>#NUM!</v>
      </c>
      <c r="GE156" s="60">
        <f ca="1">AVERAGE(OFFSET($GD$3,0,0,'Données projet'!$E$17+1,1))-AVERAGE(OFFSET($H$3,0,0,'Données projet'!$E$17+1,1))</f>
        <v>216.36762889365235</v>
      </c>
      <c r="GF156" s="60">
        <f t="shared" si="158"/>
        <v>333.29599352215496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1.1815680262853834</v>
      </c>
      <c r="GM156" s="23">
        <f>EXP(-LN(2)/25)*GM155+(1-EXP(-LN(2)/25))/(LN(2)/25)*Calculateur!GH156*Calculateur!GJ156*VLOOKUP('Données projet'!$B$17,Paramètres!$A$1:$I$89,3,0)*0.475*44/12</f>
        <v>0.32204081541712798</v>
      </c>
      <c r="GN156" s="23">
        <f>EXP(-LN(2)/2)*GN155+(1-EXP(-LN(2)/2))/(LN(2)/2)*GH156*GK156*VLOOKUP('Données projet'!$B$17,Paramètres!$A$1:$I$89,3,0)*0.475*44/12</f>
        <v>8.9680114704858656E-19</v>
      </c>
      <c r="GO156" s="23">
        <f t="shared" si="187"/>
        <v>1.5036088417025113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4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-9.3464223027694966E-13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496.33873798282525</v>
      </c>
      <c r="T157" s="60">
        <f t="shared" si="142"/>
        <v>280.25465074992246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3.4106051316484809E-13</v>
      </c>
      <c r="AJ157" s="14">
        <f>AI157*VLOOKUP('Données projet'!$B$10,Paramètres!$A$1:$I$89,3,0)*VLOOKUP('Données projet'!$B$10,Paramètres!$A$1:$I$89,5,0)</f>
        <v>1.5961632016114892E-13</v>
      </c>
      <c r="AK157" s="14">
        <f t="shared" si="164"/>
        <v>2.2708641912150958E-12</v>
      </c>
      <c r="AL157" s="22">
        <f t="shared" si="165"/>
        <v>4.2330868906469593E-12</v>
      </c>
      <c r="AM157" s="60">
        <f t="shared" si="113"/>
        <v>287.14194833736696</v>
      </c>
      <c r="AN157" s="60">
        <f ca="1">AVERAGE(OFFSET($AM$3,0,0,'Données projet'!$E$10+1,1))-AVERAGE(OFFSET($H$3,0,0,'Données projet'!$E$10+1,1))</f>
        <v>277.7918215389401</v>
      </c>
      <c r="AO157" s="60">
        <f t="shared" si="144"/>
        <v>164.65640238394164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-2.2737367544323206E-13</v>
      </c>
      <c r="BE157" s="14">
        <f>BD157*VLOOKUP('Données projet'!$B$11,Paramètres!$A$1:$I$89,3,0)*VLOOKUP('Données projet'!$B$11,Paramètres!$A$1:$I$89,5,0)</f>
        <v>-2.1636878955177963E-13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366.21371543563254</v>
      </c>
      <c r="BJ157" s="60">
        <f t="shared" si="146"/>
        <v>237.43356317334084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-5.1159076974727213E-13</v>
      </c>
      <c r="BZ157" s="14">
        <f>BY157*VLOOKUP('Données projet'!$B$12,Paramètres!$A$1:$I$89,3,0)*VLOOKUP('Données projet'!$B$12,Paramètres!$A$1:$I$89,5,0)</f>
        <v>-5.3471467253984886E-13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530.79860063513229</v>
      </c>
      <c r="CE157" s="60">
        <f t="shared" si="148"/>
        <v>302.50876440460434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-8.7434273154940449E-13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469.67944008675863</v>
      </c>
      <c r="CZ157" s="60">
        <f t="shared" si="150"/>
        <v>266.11908070867173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-9.6633812063373625E-13</v>
      </c>
      <c r="DP157" s="18">
        <f>DO157*VLOOKUP('Données projet'!$B$14,Paramètres!$A$1:$I$89,3,0)*VLOOKUP('Données projet'!$B$14,Paramètres!$A$1:$I$89,5,0)</f>
        <v>-1.0401663530501537E-12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542.90832990875208</v>
      </c>
      <c r="DU157" s="60">
        <f t="shared" si="152"/>
        <v>304.94365539329362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5.6843418860808015E-14</v>
      </c>
      <c r="EK157" s="18">
        <f>EJ157*VLOOKUP('Données projet'!$B$15,Paramètres!$A$1:$I$89,3,0)*VLOOKUP('Données projet'!$B$15,Paramètres!$A$1:$I$89,5,0)</f>
        <v>4.5224624045658861E-14</v>
      </c>
      <c r="EL157" s="14">
        <f t="shared" si="179"/>
        <v>7.4514601661523691E-13</v>
      </c>
      <c r="EM157" s="22">
        <f t="shared" si="180"/>
        <v>1.3765621991510601E-12</v>
      </c>
      <c r="EN157" s="60">
        <f t="shared" si="128"/>
        <v>287.14194833736411</v>
      </c>
      <c r="EO157" s="60">
        <f ca="1">AVERAGE(OFFSET($EN$3,0,0,'Données projet'!$E$15+1,1))-AVERAGE(OFFSET($H$3,0,0,'Données projet'!$E$15+1,1))</f>
        <v>273.72403794510291</v>
      </c>
      <c r="EP157" s="60">
        <f t="shared" si="154"/>
        <v>292.00185554564109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5.6843418860808015E-14</v>
      </c>
      <c r="FF157" s="18">
        <f>FE157*VLOOKUP('Données projet'!$B$16,Paramètres!$A$1:$I$89,3,0)*VLOOKUP('Données projet'!$B$16,Paramètres!$A$1:$I$89,5,0)</f>
        <v>4.4337866711430253E-14</v>
      </c>
      <c r="FG157" s="14">
        <f t="shared" si="182"/>
        <v>7.3222115536967035E-13</v>
      </c>
      <c r="FH157" s="22">
        <f t="shared" si="183"/>
        <v>1.3525069634579169E-12</v>
      </c>
      <c r="FI157" s="60">
        <f t="shared" si="131"/>
        <v>287.14194833736411</v>
      </c>
      <c r="FJ157" s="60">
        <f ca="1">AVERAGE(OFFSET($FI$3,0,0,'Données projet'!$E$16+1,1))-AVERAGE(OFFSET($H$3,0,0,'Données projet'!$E$16+1,1))</f>
        <v>309.21625451786218</v>
      </c>
      <c r="FK157" s="60">
        <f t="shared" si="156"/>
        <v>302.59481222418219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>
        <f>FZ157*VLOOKUP('Données projet'!$B$17,Paramètres!$A$1:$I$89,3,0)*VLOOKUP('Données projet'!$B$17,Paramètres!$A$1:$I$89,5,0)</f>
        <v>0</v>
      </c>
      <c r="GB157" s="14" t="e">
        <f t="shared" si="185"/>
        <v>#NUM!</v>
      </c>
      <c r="GC157" s="22" t="e">
        <f t="shared" si="186"/>
        <v>#NUM!</v>
      </c>
      <c r="GD157" s="60" t="e">
        <f t="shared" si="134"/>
        <v>#NUM!</v>
      </c>
      <c r="GE157" s="60">
        <f ca="1">AVERAGE(OFFSET($GD$3,0,0,'Données projet'!$E$17+1,1))-AVERAGE(OFFSET($H$3,0,0,'Données projet'!$E$17+1,1))</f>
        <v>216.36762889365235</v>
      </c>
      <c r="GF157" s="60">
        <f t="shared" si="158"/>
        <v>333.29599352215496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1.1583981979752613</v>
      </c>
      <c r="GM157" s="23">
        <f>EXP(-LN(2)/25)*GM156+(1-EXP(-LN(2)/25))/(LN(2)/25)*Calculateur!GH157*Calculateur!GJ157*VLOOKUP('Données projet'!$B$17,Paramètres!$A$1:$I$89,3,0)*0.475*44/12</f>
        <v>0.31323459238415619</v>
      </c>
      <c r="GN157" s="23">
        <f>EXP(-LN(2)/2)*GN156+(1-EXP(-LN(2)/2))/(LN(2)/2)*GH157*GK157*VLOOKUP('Données projet'!$B$17,Paramètres!$A$1:$I$89,3,0)*0.475*44/12</f>
        <v>6.3413417245392974E-19</v>
      </c>
      <c r="GO157" s="23">
        <f t="shared" si="187"/>
        <v>1.4716327903594175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4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-9.3464223027694966E-13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496.33873798282525</v>
      </c>
      <c r="T158" s="60">
        <f t="shared" si="142"/>
        <v>280.25465074992246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3.4106051316484809E-13</v>
      </c>
      <c r="AJ158" s="14">
        <f>AI158*VLOOKUP('Données projet'!$B$10,Paramètres!$A$1:$I$89,3,0)*VLOOKUP('Données projet'!$B$10,Paramètres!$A$1:$I$89,5,0)</f>
        <v>1.5961632016114892E-13</v>
      </c>
      <c r="AK158" s="14">
        <f t="shared" si="164"/>
        <v>2.2708641912150958E-12</v>
      </c>
      <c r="AL158" s="22">
        <f t="shared" si="165"/>
        <v>4.2330868906469593E-12</v>
      </c>
      <c r="AM158" s="60">
        <f t="shared" si="113"/>
        <v>287.24935502518389</v>
      </c>
      <c r="AN158" s="60">
        <f ca="1">AVERAGE(OFFSET($AM$3,0,0,'Données projet'!$E$10+1,1))-AVERAGE(OFFSET($H$3,0,0,'Données projet'!$E$10+1,1))</f>
        <v>277.7918215389401</v>
      </c>
      <c r="AO158" s="60">
        <f t="shared" si="144"/>
        <v>164.65640238394164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-2.2737367544323206E-13</v>
      </c>
      <c r="BE158" s="14">
        <f>BD158*VLOOKUP('Données projet'!$B$11,Paramètres!$A$1:$I$89,3,0)*VLOOKUP('Données projet'!$B$11,Paramètres!$A$1:$I$89,5,0)</f>
        <v>-2.1636878955177963E-13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366.21371543563254</v>
      </c>
      <c r="BJ158" s="60">
        <f t="shared" si="146"/>
        <v>237.43356317334084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-5.1159076974727213E-13</v>
      </c>
      <c r="BZ158" s="14">
        <f>BY158*VLOOKUP('Données projet'!$B$12,Paramètres!$A$1:$I$89,3,0)*VLOOKUP('Données projet'!$B$12,Paramètres!$A$1:$I$89,5,0)</f>
        <v>-5.3471467253984886E-13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530.79860063513229</v>
      </c>
      <c r="CE158" s="60">
        <f t="shared" si="148"/>
        <v>302.50876440460434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-8.7434273154940449E-13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469.67944008675863</v>
      </c>
      <c r="CZ158" s="60">
        <f t="shared" si="150"/>
        <v>266.11908070867173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-9.6633812063373625E-13</v>
      </c>
      <c r="DP158" s="18">
        <f>DO158*VLOOKUP('Données projet'!$B$14,Paramètres!$A$1:$I$89,3,0)*VLOOKUP('Données projet'!$B$14,Paramètres!$A$1:$I$89,5,0)</f>
        <v>-1.0401663530501537E-12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542.90832990875208</v>
      </c>
      <c r="DU158" s="60">
        <f t="shared" si="152"/>
        <v>304.94365539329362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5.6843418860808015E-14</v>
      </c>
      <c r="EK158" s="18">
        <f>EJ158*VLOOKUP('Données projet'!$B$15,Paramètres!$A$1:$I$89,3,0)*VLOOKUP('Données projet'!$B$15,Paramètres!$A$1:$I$89,5,0)</f>
        <v>4.5224624045658861E-14</v>
      </c>
      <c r="EL158" s="14">
        <f t="shared" si="179"/>
        <v>7.4514601661523691E-13</v>
      </c>
      <c r="EM158" s="22">
        <f t="shared" si="180"/>
        <v>1.3765621991510601E-12</v>
      </c>
      <c r="EN158" s="60">
        <f t="shared" si="128"/>
        <v>287.24935502518105</v>
      </c>
      <c r="EO158" s="60">
        <f ca="1">AVERAGE(OFFSET($EN$3,0,0,'Données projet'!$E$15+1,1))-AVERAGE(OFFSET($H$3,0,0,'Données projet'!$E$15+1,1))</f>
        <v>273.72403794510291</v>
      </c>
      <c r="EP158" s="60">
        <f t="shared" si="154"/>
        <v>292.00185554564109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5.6843418860808015E-14</v>
      </c>
      <c r="FF158" s="18">
        <f>FE158*VLOOKUP('Données projet'!$B$16,Paramètres!$A$1:$I$89,3,0)*VLOOKUP('Données projet'!$B$16,Paramètres!$A$1:$I$89,5,0)</f>
        <v>4.4337866711430253E-14</v>
      </c>
      <c r="FG158" s="14">
        <f t="shared" si="182"/>
        <v>7.3222115536967035E-13</v>
      </c>
      <c r="FH158" s="22">
        <f t="shared" si="183"/>
        <v>1.3525069634579169E-12</v>
      </c>
      <c r="FI158" s="60">
        <f t="shared" si="131"/>
        <v>287.24935502518105</v>
      </c>
      <c r="FJ158" s="60">
        <f ca="1">AVERAGE(OFFSET($FI$3,0,0,'Données projet'!$E$16+1,1))-AVERAGE(OFFSET($H$3,0,0,'Données projet'!$E$16+1,1))</f>
        <v>309.21625451786218</v>
      </c>
      <c r="FK158" s="60">
        <f t="shared" si="156"/>
        <v>302.59481222418219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>
        <f>FZ158*VLOOKUP('Données projet'!$B$17,Paramètres!$A$1:$I$89,3,0)*VLOOKUP('Données projet'!$B$17,Paramètres!$A$1:$I$89,5,0)</f>
        <v>0</v>
      </c>
      <c r="GB158" s="14" t="e">
        <f t="shared" si="185"/>
        <v>#NUM!</v>
      </c>
      <c r="GC158" s="22" t="e">
        <f t="shared" si="186"/>
        <v>#NUM!</v>
      </c>
      <c r="GD158" s="60" t="e">
        <f t="shared" si="134"/>
        <v>#NUM!</v>
      </c>
      <c r="GE158" s="60">
        <f ca="1">AVERAGE(OFFSET($GD$3,0,0,'Données projet'!$E$17+1,1))-AVERAGE(OFFSET($H$3,0,0,'Données projet'!$E$17+1,1))</f>
        <v>216.36762889365235</v>
      </c>
      <c r="GF158" s="60">
        <f t="shared" si="158"/>
        <v>333.29599352215496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1.1356827158661009</v>
      </c>
      <c r="GM158" s="23">
        <f>EXP(-LN(2)/25)*GM157+(1-EXP(-LN(2)/25))/(LN(2)/25)*Calculateur!GH158*Calculateur!GJ158*VLOOKUP('Données projet'!$B$17,Paramètres!$A$1:$I$89,3,0)*0.475*44/12</f>
        <v>0.30466917598312016</v>
      </c>
      <c r="GN158" s="23">
        <f>EXP(-LN(2)/2)*GN157+(1-EXP(-LN(2)/2))/(LN(2)/2)*GH158*GK158*VLOOKUP('Données projet'!$B$17,Paramètres!$A$1:$I$89,3,0)*0.475*44/12</f>
        <v>4.4840057352429328E-19</v>
      </c>
      <c r="GO158" s="23">
        <f t="shared" si="187"/>
        <v>1.4403518918492211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4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-9.3464223027694966E-13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496.33873798282525</v>
      </c>
      <c r="T159" s="60">
        <f t="shared" si="142"/>
        <v>280.25465074992246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3.4106051316484809E-13</v>
      </c>
      <c r="AJ159" s="14">
        <f>AI159*VLOOKUP('Données projet'!$B$10,Paramètres!$A$1:$I$89,3,0)*VLOOKUP('Données projet'!$B$10,Paramètres!$A$1:$I$89,5,0)</f>
        <v>1.5961632016114892E-13</v>
      </c>
      <c r="AK159" s="14">
        <f t="shared" si="164"/>
        <v>2.2708641912150958E-12</v>
      </c>
      <c r="AL159" s="22">
        <f t="shared" si="165"/>
        <v>4.2330868906469593E-12</v>
      </c>
      <c r="AM159" s="60">
        <f t="shared" si="113"/>
        <v>287.35489844709252</v>
      </c>
      <c r="AN159" s="60">
        <f ca="1">AVERAGE(OFFSET($AM$3,0,0,'Données projet'!$E$10+1,1))-AVERAGE(OFFSET($H$3,0,0,'Données projet'!$E$10+1,1))</f>
        <v>277.7918215389401</v>
      </c>
      <c r="AO159" s="60">
        <f t="shared" si="144"/>
        <v>164.65640238394164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-2.2737367544323206E-13</v>
      </c>
      <c r="BE159" s="14">
        <f>BD159*VLOOKUP('Données projet'!$B$11,Paramètres!$A$1:$I$89,3,0)*VLOOKUP('Données projet'!$B$11,Paramètres!$A$1:$I$89,5,0)</f>
        <v>-2.1636878955177963E-13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366.21371543563254</v>
      </c>
      <c r="BJ159" s="60">
        <f t="shared" si="146"/>
        <v>237.43356317334084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-5.1159076974727213E-13</v>
      </c>
      <c r="BZ159" s="14">
        <f>BY159*VLOOKUP('Données projet'!$B$12,Paramètres!$A$1:$I$89,3,0)*VLOOKUP('Données projet'!$B$12,Paramètres!$A$1:$I$89,5,0)</f>
        <v>-5.3471467253984886E-13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530.79860063513229</v>
      </c>
      <c r="CE159" s="60">
        <f t="shared" si="148"/>
        <v>302.50876440460434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-8.7434273154940449E-13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469.67944008675863</v>
      </c>
      <c r="CZ159" s="60">
        <f t="shared" si="150"/>
        <v>266.11908070867173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-9.6633812063373625E-13</v>
      </c>
      <c r="DP159" s="18">
        <f>DO159*VLOOKUP('Données projet'!$B$14,Paramètres!$A$1:$I$89,3,0)*VLOOKUP('Données projet'!$B$14,Paramètres!$A$1:$I$89,5,0)</f>
        <v>-1.0401663530501537E-12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542.90832990875208</v>
      </c>
      <c r="DU159" s="60">
        <f t="shared" si="152"/>
        <v>304.94365539329362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5.6843418860808015E-14</v>
      </c>
      <c r="EK159" s="18">
        <f>EJ159*VLOOKUP('Données projet'!$B$15,Paramètres!$A$1:$I$89,3,0)*VLOOKUP('Données projet'!$B$15,Paramètres!$A$1:$I$89,5,0)</f>
        <v>4.5224624045658861E-14</v>
      </c>
      <c r="EL159" s="14">
        <f t="shared" si="179"/>
        <v>7.4514601661523691E-13</v>
      </c>
      <c r="EM159" s="22">
        <f t="shared" si="180"/>
        <v>1.3765621991510601E-12</v>
      </c>
      <c r="EN159" s="60">
        <f t="shared" si="128"/>
        <v>287.35489844708968</v>
      </c>
      <c r="EO159" s="60">
        <f ca="1">AVERAGE(OFFSET($EN$3,0,0,'Données projet'!$E$15+1,1))-AVERAGE(OFFSET($H$3,0,0,'Données projet'!$E$15+1,1))</f>
        <v>273.72403794510291</v>
      </c>
      <c r="EP159" s="60">
        <f t="shared" si="154"/>
        <v>292.00185554564109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5.6843418860808015E-14</v>
      </c>
      <c r="FF159" s="18">
        <f>FE159*VLOOKUP('Données projet'!$B$16,Paramètres!$A$1:$I$89,3,0)*VLOOKUP('Données projet'!$B$16,Paramètres!$A$1:$I$89,5,0)</f>
        <v>4.4337866711430253E-14</v>
      </c>
      <c r="FG159" s="14">
        <f t="shared" si="182"/>
        <v>7.3222115536967035E-13</v>
      </c>
      <c r="FH159" s="22">
        <f t="shared" si="183"/>
        <v>1.3525069634579169E-12</v>
      </c>
      <c r="FI159" s="60">
        <f t="shared" si="131"/>
        <v>287.35489844708968</v>
      </c>
      <c r="FJ159" s="60">
        <f ca="1">AVERAGE(OFFSET($FI$3,0,0,'Données projet'!$E$16+1,1))-AVERAGE(OFFSET($H$3,0,0,'Données projet'!$E$16+1,1))</f>
        <v>309.21625451786218</v>
      </c>
      <c r="FK159" s="60">
        <f t="shared" si="156"/>
        <v>302.59481222418219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>
        <f>FZ159*VLOOKUP('Données projet'!$B$17,Paramètres!$A$1:$I$89,3,0)*VLOOKUP('Données projet'!$B$17,Paramètres!$A$1:$I$89,5,0)</f>
        <v>0</v>
      </c>
      <c r="GB159" s="14" t="e">
        <f t="shared" si="185"/>
        <v>#NUM!</v>
      </c>
      <c r="GC159" s="22" t="e">
        <f t="shared" si="186"/>
        <v>#NUM!</v>
      </c>
      <c r="GD159" s="60" t="e">
        <f t="shared" si="134"/>
        <v>#NUM!</v>
      </c>
      <c r="GE159" s="60">
        <f ca="1">AVERAGE(OFFSET($GD$3,0,0,'Données projet'!$E$17+1,1))-AVERAGE(OFFSET($H$3,0,0,'Données projet'!$E$17+1,1))</f>
        <v>216.36762889365235</v>
      </c>
      <c r="GF159" s="60">
        <f t="shared" si="158"/>
        <v>333.29599352215496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1.1134126705060252</v>
      </c>
      <c r="GM159" s="23">
        <f>EXP(-LN(2)/25)*GM158+(1-EXP(-LN(2)/25))/(LN(2)/25)*Calculateur!GH159*Calculateur!GJ159*VLOOKUP('Données projet'!$B$17,Paramètres!$A$1:$I$89,3,0)*0.475*44/12</f>
        <v>0.29633798134400607</v>
      </c>
      <c r="GN159" s="23">
        <f>EXP(-LN(2)/2)*GN158+(1-EXP(-LN(2)/2))/(LN(2)/2)*GH159*GK159*VLOOKUP('Données projet'!$B$17,Paramètres!$A$1:$I$89,3,0)*0.475*44/12</f>
        <v>3.1706708622696487E-19</v>
      </c>
      <c r="GO159" s="23">
        <f t="shared" si="187"/>
        <v>1.4097506518500313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4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-9.3464223027694966E-13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496.33873798282525</v>
      </c>
      <c r="T160" s="60">
        <f t="shared" si="142"/>
        <v>280.25465074992246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3.4106051316484809E-13</v>
      </c>
      <c r="AJ160" s="14">
        <f>AI160*VLOOKUP('Données projet'!$B$10,Paramètres!$A$1:$I$89,3,0)*VLOOKUP('Données projet'!$B$10,Paramètres!$A$1:$I$89,5,0)</f>
        <v>1.5961632016114892E-13</v>
      </c>
      <c r="AK160" s="14">
        <f t="shared" si="164"/>
        <v>2.2708641912150958E-12</v>
      </c>
      <c r="AL160" s="22">
        <f t="shared" si="165"/>
        <v>4.2330868906469593E-12</v>
      </c>
      <c r="AM160" s="60">
        <f t="shared" si="113"/>
        <v>287.45861092659078</v>
      </c>
      <c r="AN160" s="60">
        <f ca="1">AVERAGE(OFFSET($AM$3,0,0,'Données projet'!$E$10+1,1))-AVERAGE(OFFSET($H$3,0,0,'Données projet'!$E$10+1,1))</f>
        <v>277.7918215389401</v>
      </c>
      <c r="AO160" s="60">
        <f t="shared" si="144"/>
        <v>164.65640238394164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-2.2737367544323206E-13</v>
      </c>
      <c r="BE160" s="14">
        <f>BD160*VLOOKUP('Données projet'!$B$11,Paramètres!$A$1:$I$89,3,0)*VLOOKUP('Données projet'!$B$11,Paramètres!$A$1:$I$89,5,0)</f>
        <v>-2.1636878955177963E-13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366.21371543563254</v>
      </c>
      <c r="BJ160" s="60">
        <f t="shared" si="146"/>
        <v>237.43356317334084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-5.1159076974727213E-13</v>
      </c>
      <c r="BZ160" s="14">
        <f>BY160*VLOOKUP('Données projet'!$B$12,Paramètres!$A$1:$I$89,3,0)*VLOOKUP('Données projet'!$B$12,Paramètres!$A$1:$I$89,5,0)</f>
        <v>-5.3471467253984886E-13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530.79860063513229</v>
      </c>
      <c r="CE160" s="60">
        <f t="shared" si="148"/>
        <v>302.50876440460434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-8.7434273154940449E-13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469.67944008675863</v>
      </c>
      <c r="CZ160" s="60">
        <f t="shared" si="150"/>
        <v>266.11908070867173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-9.6633812063373625E-13</v>
      </c>
      <c r="DP160" s="18">
        <f>DO160*VLOOKUP('Données projet'!$B$14,Paramètres!$A$1:$I$89,3,0)*VLOOKUP('Données projet'!$B$14,Paramètres!$A$1:$I$89,5,0)</f>
        <v>-1.0401663530501537E-12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542.90832990875208</v>
      </c>
      <c r="DU160" s="60">
        <f t="shared" si="152"/>
        <v>304.94365539329362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5.6843418860808015E-14</v>
      </c>
      <c r="EK160" s="18">
        <f>EJ160*VLOOKUP('Données projet'!$B$15,Paramètres!$A$1:$I$89,3,0)*VLOOKUP('Données projet'!$B$15,Paramètres!$A$1:$I$89,5,0)</f>
        <v>4.5224624045658861E-14</v>
      </c>
      <c r="EL160" s="14">
        <f t="shared" si="179"/>
        <v>7.4514601661523691E-13</v>
      </c>
      <c r="EM160" s="22">
        <f t="shared" si="180"/>
        <v>1.3765621991510601E-12</v>
      </c>
      <c r="EN160" s="60">
        <f t="shared" si="128"/>
        <v>287.45861092658794</v>
      </c>
      <c r="EO160" s="60">
        <f ca="1">AVERAGE(OFFSET($EN$3,0,0,'Données projet'!$E$15+1,1))-AVERAGE(OFFSET($H$3,0,0,'Données projet'!$E$15+1,1))</f>
        <v>273.72403794510291</v>
      </c>
      <c r="EP160" s="60">
        <f t="shared" si="154"/>
        <v>292.00185554564109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5.6843418860808015E-14</v>
      </c>
      <c r="FF160" s="18">
        <f>FE160*VLOOKUP('Données projet'!$B$16,Paramètres!$A$1:$I$89,3,0)*VLOOKUP('Données projet'!$B$16,Paramètres!$A$1:$I$89,5,0)</f>
        <v>4.4337866711430253E-14</v>
      </c>
      <c r="FG160" s="14">
        <f t="shared" si="182"/>
        <v>7.3222115536967035E-13</v>
      </c>
      <c r="FH160" s="22">
        <f t="shared" si="183"/>
        <v>1.3525069634579169E-12</v>
      </c>
      <c r="FI160" s="60">
        <f t="shared" si="131"/>
        <v>287.45861092658794</v>
      </c>
      <c r="FJ160" s="60">
        <f ca="1">AVERAGE(OFFSET($FI$3,0,0,'Données projet'!$E$16+1,1))-AVERAGE(OFFSET($H$3,0,0,'Données projet'!$E$16+1,1))</f>
        <v>309.21625451786218</v>
      </c>
      <c r="FK160" s="60">
        <f t="shared" si="156"/>
        <v>302.59481222418219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>
        <f>FZ160*VLOOKUP('Données projet'!$B$17,Paramètres!$A$1:$I$89,3,0)*VLOOKUP('Données projet'!$B$17,Paramètres!$A$1:$I$89,5,0)</f>
        <v>0</v>
      </c>
      <c r="GB160" s="14" t="e">
        <f t="shared" si="185"/>
        <v>#NUM!</v>
      </c>
      <c r="GC160" s="22" t="e">
        <f t="shared" si="186"/>
        <v>#NUM!</v>
      </c>
      <c r="GD160" s="60" t="e">
        <f t="shared" si="134"/>
        <v>#NUM!</v>
      </c>
      <c r="GE160" s="60">
        <f ca="1">AVERAGE(OFFSET($GD$3,0,0,'Données projet'!$E$17+1,1))-AVERAGE(OFFSET($H$3,0,0,'Données projet'!$E$17+1,1))</f>
        <v>216.36762889365235</v>
      </c>
      <c r="GF160" s="60">
        <f t="shared" si="158"/>
        <v>333.29599352215496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1.0915793271520742</v>
      </c>
      <c r="GM160" s="23">
        <f>EXP(-LN(2)/25)*GM159+(1-EXP(-LN(2)/25))/(LN(2)/25)*Calculateur!GH160*Calculateur!GJ160*VLOOKUP('Données projet'!$B$17,Paramètres!$A$1:$I$89,3,0)*0.475*44/12</f>
        <v>0.28823460366041709</v>
      </c>
      <c r="GN160" s="23">
        <f>EXP(-LN(2)/2)*GN159+(1-EXP(-LN(2)/2))/(LN(2)/2)*GH160*GK160*VLOOKUP('Données projet'!$B$17,Paramètres!$A$1:$I$89,3,0)*0.475*44/12</f>
        <v>2.2420028676214664E-19</v>
      </c>
      <c r="GO160" s="23">
        <f t="shared" si="187"/>
        <v>1.3798139308124913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4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-9.3464223027694966E-13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496.33873798282525</v>
      </c>
      <c r="T161" s="60">
        <f t="shared" si="142"/>
        <v>280.25465074992246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3.4106051316484809E-13</v>
      </c>
      <c r="AJ161" s="14">
        <f>AI161*VLOOKUP('Données projet'!$B$10,Paramètres!$A$1:$I$89,3,0)*VLOOKUP('Données projet'!$B$10,Paramètres!$A$1:$I$89,5,0)</f>
        <v>1.5961632016114892E-13</v>
      </c>
      <c r="AK161" s="14">
        <f t="shared" si="164"/>
        <v>2.2708641912150958E-12</v>
      </c>
      <c r="AL161" s="22">
        <f t="shared" si="165"/>
        <v>4.2330868906469593E-12</v>
      </c>
      <c r="AM161" s="60">
        <f t="shared" si="113"/>
        <v>287.5605242264362</v>
      </c>
      <c r="AN161" s="60">
        <f ca="1">AVERAGE(OFFSET($AM$3,0,0,'Données projet'!$E$10+1,1))-AVERAGE(OFFSET($H$3,0,0,'Données projet'!$E$10+1,1))</f>
        <v>277.7918215389401</v>
      </c>
      <c r="AO161" s="60">
        <f t="shared" si="144"/>
        <v>164.65640238394164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-2.2737367544323206E-13</v>
      </c>
      <c r="BE161" s="14">
        <f>BD161*VLOOKUP('Données projet'!$B$11,Paramètres!$A$1:$I$89,3,0)*VLOOKUP('Données projet'!$B$11,Paramètres!$A$1:$I$89,5,0)</f>
        <v>-2.1636878955177963E-13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366.21371543563254</v>
      </c>
      <c r="BJ161" s="60">
        <f t="shared" si="146"/>
        <v>237.43356317334084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-5.1159076974727213E-13</v>
      </c>
      <c r="BZ161" s="14">
        <f>BY161*VLOOKUP('Données projet'!$B$12,Paramètres!$A$1:$I$89,3,0)*VLOOKUP('Données projet'!$B$12,Paramètres!$A$1:$I$89,5,0)</f>
        <v>-5.3471467253984886E-13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530.79860063513229</v>
      </c>
      <c r="CE161" s="60">
        <f t="shared" si="148"/>
        <v>302.50876440460434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-8.7434273154940449E-13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469.67944008675863</v>
      </c>
      <c r="CZ161" s="60">
        <f t="shared" si="150"/>
        <v>266.11908070867173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-9.6633812063373625E-13</v>
      </c>
      <c r="DP161" s="18">
        <f>DO161*VLOOKUP('Données projet'!$B$14,Paramètres!$A$1:$I$89,3,0)*VLOOKUP('Données projet'!$B$14,Paramètres!$A$1:$I$89,5,0)</f>
        <v>-1.0401663530501537E-12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542.90832990875208</v>
      </c>
      <c r="DU161" s="60">
        <f t="shared" si="152"/>
        <v>304.94365539329362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5.6843418860808015E-14</v>
      </c>
      <c r="EK161" s="18">
        <f>EJ161*VLOOKUP('Données projet'!$B$15,Paramètres!$A$1:$I$89,3,0)*VLOOKUP('Données projet'!$B$15,Paramètres!$A$1:$I$89,5,0)</f>
        <v>4.5224624045658861E-14</v>
      </c>
      <c r="EL161" s="14">
        <f t="shared" si="179"/>
        <v>7.4514601661523691E-13</v>
      </c>
      <c r="EM161" s="22">
        <f t="shared" si="180"/>
        <v>1.3765621991510601E-12</v>
      </c>
      <c r="EN161" s="60">
        <f t="shared" si="128"/>
        <v>287.56052422643336</v>
      </c>
      <c r="EO161" s="60">
        <f ca="1">AVERAGE(OFFSET($EN$3,0,0,'Données projet'!$E$15+1,1))-AVERAGE(OFFSET($H$3,0,0,'Données projet'!$E$15+1,1))</f>
        <v>273.72403794510291</v>
      </c>
      <c r="EP161" s="60">
        <f t="shared" si="154"/>
        <v>292.00185554564109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5.6843418860808015E-14</v>
      </c>
      <c r="FF161" s="18">
        <f>FE161*VLOOKUP('Données projet'!$B$16,Paramètres!$A$1:$I$89,3,0)*VLOOKUP('Données projet'!$B$16,Paramètres!$A$1:$I$89,5,0)</f>
        <v>4.4337866711430253E-14</v>
      </c>
      <c r="FG161" s="14">
        <f t="shared" si="182"/>
        <v>7.3222115536967035E-13</v>
      </c>
      <c r="FH161" s="22">
        <f t="shared" si="183"/>
        <v>1.3525069634579169E-12</v>
      </c>
      <c r="FI161" s="60">
        <f t="shared" si="131"/>
        <v>287.56052422643336</v>
      </c>
      <c r="FJ161" s="60">
        <f ca="1">AVERAGE(OFFSET($FI$3,0,0,'Données projet'!$E$16+1,1))-AVERAGE(OFFSET($H$3,0,0,'Données projet'!$E$16+1,1))</f>
        <v>309.21625451786218</v>
      </c>
      <c r="FK161" s="60">
        <f t="shared" si="156"/>
        <v>302.59481222418219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>
        <f>FZ161*VLOOKUP('Données projet'!$B$17,Paramètres!$A$1:$I$89,3,0)*VLOOKUP('Données projet'!$B$17,Paramètres!$A$1:$I$89,5,0)</f>
        <v>0</v>
      </c>
      <c r="GB161" s="14" t="e">
        <f t="shared" si="185"/>
        <v>#NUM!</v>
      </c>
      <c r="GC161" s="22" t="e">
        <f t="shared" si="186"/>
        <v>#NUM!</v>
      </c>
      <c r="GD161" s="60" t="e">
        <f t="shared" si="134"/>
        <v>#NUM!</v>
      </c>
      <c r="GE161" s="60">
        <f ca="1">AVERAGE(OFFSET($GD$3,0,0,'Données projet'!$E$17+1,1))-AVERAGE(OFFSET($H$3,0,0,'Données projet'!$E$17+1,1))</f>
        <v>216.36762889365235</v>
      </c>
      <c r="GF161" s="60">
        <f t="shared" si="158"/>
        <v>333.29599352215496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1.0701741223442696</v>
      </c>
      <c r="GM161" s="23">
        <f>EXP(-LN(2)/25)*GM160+(1-EXP(-LN(2)/25))/(LN(2)/25)*Calculateur!GH161*Calculateur!GJ161*VLOOKUP('Données projet'!$B$17,Paramètres!$A$1:$I$89,3,0)*0.475*44/12</f>
        <v>0.28035281326572392</v>
      </c>
      <c r="GN161" s="23">
        <f>EXP(-LN(2)/2)*GN160+(1-EXP(-LN(2)/2))/(LN(2)/2)*GH161*GK161*VLOOKUP('Données projet'!$B$17,Paramètres!$A$1:$I$89,3,0)*0.475*44/12</f>
        <v>1.5853354311348243E-19</v>
      </c>
      <c r="GO161" s="23">
        <f t="shared" si="187"/>
        <v>1.3505269356099934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4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-9.3464223027694966E-13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496.33873798282525</v>
      </c>
      <c r="T162" s="60">
        <f t="shared" si="142"/>
        <v>280.25465074992246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3.4106051316484809E-13</v>
      </c>
      <c r="AJ162" s="14">
        <f>AI162*VLOOKUP('Données projet'!$B$10,Paramètres!$A$1:$I$89,3,0)*VLOOKUP('Données projet'!$B$10,Paramètres!$A$1:$I$89,5,0)</f>
        <v>1.5961632016114892E-13</v>
      </c>
      <c r="AK162" s="14">
        <f t="shared" si="164"/>
        <v>2.2708641912150958E-12</v>
      </c>
      <c r="AL162" s="22">
        <f t="shared" si="165"/>
        <v>4.2330868906469593E-12</v>
      </c>
      <c r="AM162" s="60">
        <f t="shared" si="113"/>
        <v>287.66066955837317</v>
      </c>
      <c r="AN162" s="60">
        <f ca="1">AVERAGE(OFFSET($AM$3,0,0,'Données projet'!$E$10+1,1))-AVERAGE(OFFSET($H$3,0,0,'Données projet'!$E$10+1,1))</f>
        <v>277.7918215389401</v>
      </c>
      <c r="AO162" s="60">
        <f t="shared" si="144"/>
        <v>164.65640238394164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-2.2737367544323206E-13</v>
      </c>
      <c r="BE162" s="14">
        <f>BD162*VLOOKUP('Données projet'!$B$11,Paramètres!$A$1:$I$89,3,0)*VLOOKUP('Données projet'!$B$11,Paramètres!$A$1:$I$89,5,0)</f>
        <v>-2.1636878955177963E-13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366.21371543563254</v>
      </c>
      <c r="BJ162" s="60">
        <f t="shared" si="146"/>
        <v>237.43356317334084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-5.1159076974727213E-13</v>
      </c>
      <c r="BZ162" s="14">
        <f>BY162*VLOOKUP('Données projet'!$B$12,Paramètres!$A$1:$I$89,3,0)*VLOOKUP('Données projet'!$B$12,Paramètres!$A$1:$I$89,5,0)</f>
        <v>-5.3471467253984886E-13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530.79860063513229</v>
      </c>
      <c r="CE162" s="60">
        <f t="shared" si="148"/>
        <v>302.50876440460434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-8.7434273154940449E-13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469.67944008675863</v>
      </c>
      <c r="CZ162" s="60">
        <f t="shared" si="150"/>
        <v>266.11908070867173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-9.6633812063373625E-13</v>
      </c>
      <c r="DP162" s="18">
        <f>DO162*VLOOKUP('Données projet'!$B$14,Paramètres!$A$1:$I$89,3,0)*VLOOKUP('Données projet'!$B$14,Paramètres!$A$1:$I$89,5,0)</f>
        <v>-1.0401663530501537E-12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542.90832990875208</v>
      </c>
      <c r="DU162" s="60">
        <f t="shared" si="152"/>
        <v>304.94365539329362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5.6843418860808015E-14</v>
      </c>
      <c r="EK162" s="18">
        <f>EJ162*VLOOKUP('Données projet'!$B$15,Paramètres!$A$1:$I$89,3,0)*VLOOKUP('Données projet'!$B$15,Paramètres!$A$1:$I$89,5,0)</f>
        <v>4.5224624045658861E-14</v>
      </c>
      <c r="EL162" s="14">
        <f t="shared" si="179"/>
        <v>7.4514601661523691E-13</v>
      </c>
      <c r="EM162" s="22">
        <f t="shared" si="180"/>
        <v>1.3765621991510601E-12</v>
      </c>
      <c r="EN162" s="60">
        <f t="shared" si="128"/>
        <v>287.66066955837033</v>
      </c>
      <c r="EO162" s="60">
        <f ca="1">AVERAGE(OFFSET($EN$3,0,0,'Données projet'!$E$15+1,1))-AVERAGE(OFFSET($H$3,0,0,'Données projet'!$E$15+1,1))</f>
        <v>273.72403794510291</v>
      </c>
      <c r="EP162" s="60">
        <f t="shared" si="154"/>
        <v>292.00185554564109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5.6843418860808015E-14</v>
      </c>
      <c r="FF162" s="18">
        <f>FE162*VLOOKUP('Données projet'!$B$16,Paramètres!$A$1:$I$89,3,0)*VLOOKUP('Données projet'!$B$16,Paramètres!$A$1:$I$89,5,0)</f>
        <v>4.4337866711430253E-14</v>
      </c>
      <c r="FG162" s="14">
        <f t="shared" si="182"/>
        <v>7.3222115536967035E-13</v>
      </c>
      <c r="FH162" s="22">
        <f t="shared" si="183"/>
        <v>1.3525069634579169E-12</v>
      </c>
      <c r="FI162" s="60">
        <f t="shared" si="131"/>
        <v>287.66066955837033</v>
      </c>
      <c r="FJ162" s="60">
        <f ca="1">AVERAGE(OFFSET($FI$3,0,0,'Données projet'!$E$16+1,1))-AVERAGE(OFFSET($H$3,0,0,'Données projet'!$E$16+1,1))</f>
        <v>309.21625451786218</v>
      </c>
      <c r="FK162" s="60">
        <f t="shared" si="156"/>
        <v>302.59481222418219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>
        <f>FZ162*VLOOKUP('Données projet'!$B$17,Paramètres!$A$1:$I$89,3,0)*VLOOKUP('Données projet'!$B$17,Paramètres!$A$1:$I$89,5,0)</f>
        <v>0</v>
      </c>
      <c r="GB162" s="14" t="e">
        <f t="shared" si="185"/>
        <v>#NUM!</v>
      </c>
      <c r="GC162" s="22" t="e">
        <f t="shared" si="186"/>
        <v>#NUM!</v>
      </c>
      <c r="GD162" s="60" t="e">
        <f t="shared" si="134"/>
        <v>#NUM!</v>
      </c>
      <c r="GE162" s="60">
        <f ca="1">AVERAGE(OFFSET($GD$3,0,0,'Données projet'!$E$17+1,1))-AVERAGE(OFFSET($H$3,0,0,'Données projet'!$E$17+1,1))</f>
        <v>216.36762889365235</v>
      </c>
      <c r="GF162" s="60">
        <f t="shared" si="158"/>
        <v>333.29599352215496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1.0491886605468601</v>
      </c>
      <c r="GM162" s="23">
        <f>EXP(-LN(2)/25)*GM161+(1-EXP(-LN(2)/25))/(LN(2)/25)*Calculateur!GH162*Calculateur!GJ162*VLOOKUP('Données projet'!$B$17,Paramètres!$A$1:$I$89,3,0)*0.475*44/12</f>
        <v>0.27268655084385901</v>
      </c>
      <c r="GN162" s="23">
        <f>EXP(-LN(2)/2)*GN161+(1-EXP(-LN(2)/2))/(LN(2)/2)*GH162*GK162*VLOOKUP('Données projet'!$B$17,Paramètres!$A$1:$I$89,3,0)*0.475*44/12</f>
        <v>1.1210014338107332E-19</v>
      </c>
      <c r="GO162" s="23">
        <f t="shared" si="187"/>
        <v>1.3218752113907191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4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-9.3464223027694966E-13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496.33873798282525</v>
      </c>
      <c r="T163" s="60">
        <f t="shared" si="142"/>
        <v>280.25465074992246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3.4106051316484809E-13</v>
      </c>
      <c r="AJ163" s="14">
        <f>AI163*VLOOKUP('Données projet'!$B$10,Paramètres!$A$1:$I$89,3,0)*VLOOKUP('Données projet'!$B$10,Paramètres!$A$1:$I$89,5,0)</f>
        <v>1.5961632016114892E-13</v>
      </c>
      <c r="AK163" s="14">
        <f t="shared" si="164"/>
        <v>2.2708641912150958E-12</v>
      </c>
      <c r="AL163" s="22">
        <f t="shared" si="165"/>
        <v>4.2330868906469593E-12</v>
      </c>
      <c r="AM163" s="60">
        <f t="shared" si="113"/>
        <v>287.75907759269256</v>
      </c>
      <c r="AN163" s="60">
        <f ca="1">AVERAGE(OFFSET($AM$3,0,0,'Données projet'!$E$10+1,1))-AVERAGE(OFFSET($H$3,0,0,'Données projet'!$E$10+1,1))</f>
        <v>277.7918215389401</v>
      </c>
      <c r="AO163" s="60">
        <f t="shared" si="144"/>
        <v>164.65640238394164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-2.2737367544323206E-13</v>
      </c>
      <c r="BE163" s="14">
        <f>BD163*VLOOKUP('Données projet'!$B$11,Paramètres!$A$1:$I$89,3,0)*VLOOKUP('Données projet'!$B$11,Paramètres!$A$1:$I$89,5,0)</f>
        <v>-2.1636878955177963E-13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366.21371543563254</v>
      </c>
      <c r="BJ163" s="60">
        <f t="shared" si="146"/>
        <v>237.43356317334084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-5.1159076974727213E-13</v>
      </c>
      <c r="BZ163" s="14">
        <f>BY163*VLOOKUP('Données projet'!$B$12,Paramètres!$A$1:$I$89,3,0)*VLOOKUP('Données projet'!$B$12,Paramètres!$A$1:$I$89,5,0)</f>
        <v>-5.3471467253984886E-13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530.79860063513229</v>
      </c>
      <c r="CE163" s="60">
        <f t="shared" si="148"/>
        <v>302.50876440460434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-8.7434273154940449E-13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469.67944008675863</v>
      </c>
      <c r="CZ163" s="60">
        <f t="shared" si="150"/>
        <v>266.11908070867173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-9.6633812063373625E-13</v>
      </c>
      <c r="DP163" s="18">
        <f>DO163*VLOOKUP('Données projet'!$B$14,Paramètres!$A$1:$I$89,3,0)*VLOOKUP('Données projet'!$B$14,Paramètres!$A$1:$I$89,5,0)</f>
        <v>-1.0401663530501537E-12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542.90832990875208</v>
      </c>
      <c r="DU163" s="60">
        <f t="shared" si="152"/>
        <v>304.94365539329362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5.6843418860808015E-14</v>
      </c>
      <c r="EK163" s="18">
        <f>EJ163*VLOOKUP('Données projet'!$B$15,Paramètres!$A$1:$I$89,3,0)*VLOOKUP('Données projet'!$B$15,Paramètres!$A$1:$I$89,5,0)</f>
        <v>4.5224624045658861E-14</v>
      </c>
      <c r="EL163" s="14">
        <f t="shared" si="179"/>
        <v>7.4514601661523691E-13</v>
      </c>
      <c r="EM163" s="22">
        <f t="shared" si="180"/>
        <v>1.3765621991510601E-12</v>
      </c>
      <c r="EN163" s="60">
        <f t="shared" si="128"/>
        <v>287.75907759268972</v>
      </c>
      <c r="EO163" s="60">
        <f ca="1">AVERAGE(OFFSET($EN$3,0,0,'Données projet'!$E$15+1,1))-AVERAGE(OFFSET($H$3,0,0,'Données projet'!$E$15+1,1))</f>
        <v>273.72403794510291</v>
      </c>
      <c r="EP163" s="60">
        <f t="shared" si="154"/>
        <v>292.00185554564109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5.6843418860808015E-14</v>
      </c>
      <c r="FF163" s="18">
        <f>FE163*VLOOKUP('Données projet'!$B$16,Paramètres!$A$1:$I$89,3,0)*VLOOKUP('Données projet'!$B$16,Paramètres!$A$1:$I$89,5,0)</f>
        <v>4.4337866711430253E-14</v>
      </c>
      <c r="FG163" s="14">
        <f t="shared" si="182"/>
        <v>7.3222115536967035E-13</v>
      </c>
      <c r="FH163" s="22">
        <f t="shared" si="183"/>
        <v>1.3525069634579169E-12</v>
      </c>
      <c r="FI163" s="60">
        <f t="shared" si="131"/>
        <v>287.75907759268972</v>
      </c>
      <c r="FJ163" s="60">
        <f ca="1">AVERAGE(OFFSET($FI$3,0,0,'Données projet'!$E$16+1,1))-AVERAGE(OFFSET($H$3,0,0,'Données projet'!$E$16+1,1))</f>
        <v>309.21625451786218</v>
      </c>
      <c r="FK163" s="60">
        <f t="shared" si="156"/>
        <v>302.59481222418219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>
        <f>FZ163*VLOOKUP('Données projet'!$B$17,Paramètres!$A$1:$I$89,3,0)*VLOOKUP('Données projet'!$B$17,Paramètres!$A$1:$I$89,5,0)</f>
        <v>0</v>
      </c>
      <c r="GB163" s="14" t="e">
        <f t="shared" si="185"/>
        <v>#NUM!</v>
      </c>
      <c r="GC163" s="22" t="e">
        <f t="shared" si="186"/>
        <v>#NUM!</v>
      </c>
      <c r="GD163" s="60" t="e">
        <f t="shared" si="134"/>
        <v>#NUM!</v>
      </c>
      <c r="GE163" s="60">
        <f ca="1">AVERAGE(OFFSET($GD$3,0,0,'Données projet'!$E$17+1,1))-AVERAGE(OFFSET($H$3,0,0,'Données projet'!$E$17+1,1))</f>
        <v>216.36762889365235</v>
      </c>
      <c r="GF163" s="60">
        <f t="shared" si="158"/>
        <v>333.29599352215496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1.02861471085543</v>
      </c>
      <c r="GM163" s="23">
        <f>EXP(-LN(2)/25)*GM162+(1-EXP(-LN(2)/25))/(LN(2)/25)*Calculateur!GH163*Calculateur!GJ163*VLOOKUP('Données projet'!$B$17,Paramètres!$A$1:$I$89,3,0)*0.475*44/12</f>
        <v>0.26522992277107121</v>
      </c>
      <c r="GN163" s="23">
        <f>EXP(-LN(2)/2)*GN162+(1-EXP(-LN(2)/2))/(LN(2)/2)*GH163*GK163*VLOOKUP('Données projet'!$B$17,Paramètres!$A$1:$I$89,3,0)*0.475*44/12</f>
        <v>7.9266771556741217E-20</v>
      </c>
      <c r="GO163" s="23">
        <f t="shared" si="187"/>
        <v>1.2938446336265013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4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-9.3464223027694966E-13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496.33873798282525</v>
      </c>
      <c r="T164" s="60">
        <f t="shared" si="142"/>
        <v>280.25465074992246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3.4106051316484809E-13</v>
      </c>
      <c r="AJ164" s="14">
        <f>AI164*VLOOKUP('Données projet'!$B$10,Paramètres!$A$1:$I$89,3,0)*VLOOKUP('Données projet'!$B$10,Paramètres!$A$1:$I$89,5,0)</f>
        <v>1.5961632016114892E-13</v>
      </c>
      <c r="AK164" s="14">
        <f t="shared" si="164"/>
        <v>2.2708641912150958E-12</v>
      </c>
      <c r="AL164" s="22">
        <f t="shared" si="165"/>
        <v>4.2330868906469593E-12</v>
      </c>
      <c r="AM164" s="60">
        <f t="shared" si="113"/>
        <v>287.85577846762391</v>
      </c>
      <c r="AN164" s="60">
        <f ca="1">AVERAGE(OFFSET($AM$3,0,0,'Données projet'!$E$10+1,1))-AVERAGE(OFFSET($H$3,0,0,'Données projet'!$E$10+1,1))</f>
        <v>277.7918215389401</v>
      </c>
      <c r="AO164" s="60">
        <f t="shared" si="144"/>
        <v>164.65640238394164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-2.2737367544323206E-13</v>
      </c>
      <c r="BE164" s="14">
        <f>BD164*VLOOKUP('Données projet'!$B$11,Paramètres!$A$1:$I$89,3,0)*VLOOKUP('Données projet'!$B$11,Paramètres!$A$1:$I$89,5,0)</f>
        <v>-2.1636878955177963E-13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366.21371543563254</v>
      </c>
      <c r="BJ164" s="60">
        <f t="shared" si="146"/>
        <v>237.43356317334084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-5.1159076974727213E-13</v>
      </c>
      <c r="BZ164" s="14">
        <f>BY164*VLOOKUP('Données projet'!$B$12,Paramètres!$A$1:$I$89,3,0)*VLOOKUP('Données projet'!$B$12,Paramètres!$A$1:$I$89,5,0)</f>
        <v>-5.3471467253984886E-13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530.79860063513229</v>
      </c>
      <c r="CE164" s="60">
        <f t="shared" si="148"/>
        <v>302.50876440460434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-8.7434273154940449E-13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469.67944008675863</v>
      </c>
      <c r="CZ164" s="60">
        <f t="shared" si="150"/>
        <v>266.11908070867173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-9.6633812063373625E-13</v>
      </c>
      <c r="DP164" s="18">
        <f>DO164*VLOOKUP('Données projet'!$B$14,Paramètres!$A$1:$I$89,3,0)*VLOOKUP('Données projet'!$B$14,Paramètres!$A$1:$I$89,5,0)</f>
        <v>-1.0401663530501537E-12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542.90832990875208</v>
      </c>
      <c r="DU164" s="60">
        <f t="shared" si="152"/>
        <v>304.94365539329362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5.6843418860808015E-14</v>
      </c>
      <c r="EK164" s="18">
        <f>EJ164*VLOOKUP('Données projet'!$B$15,Paramètres!$A$1:$I$89,3,0)*VLOOKUP('Données projet'!$B$15,Paramètres!$A$1:$I$89,5,0)</f>
        <v>4.5224624045658861E-14</v>
      </c>
      <c r="EL164" s="14">
        <f t="shared" si="179"/>
        <v>7.4514601661523691E-13</v>
      </c>
      <c r="EM164" s="22">
        <f t="shared" si="180"/>
        <v>1.3765621991510601E-12</v>
      </c>
      <c r="EN164" s="60">
        <f t="shared" si="128"/>
        <v>287.85577846762106</v>
      </c>
      <c r="EO164" s="60">
        <f ca="1">AVERAGE(OFFSET($EN$3,0,0,'Données projet'!$E$15+1,1))-AVERAGE(OFFSET($H$3,0,0,'Données projet'!$E$15+1,1))</f>
        <v>273.72403794510291</v>
      </c>
      <c r="EP164" s="60">
        <f t="shared" si="154"/>
        <v>292.00185554564109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5.6843418860808015E-14</v>
      </c>
      <c r="FF164" s="18">
        <f>FE164*VLOOKUP('Données projet'!$B$16,Paramètres!$A$1:$I$89,3,0)*VLOOKUP('Données projet'!$B$16,Paramètres!$A$1:$I$89,5,0)</f>
        <v>4.4337866711430253E-14</v>
      </c>
      <c r="FG164" s="14">
        <f t="shared" si="182"/>
        <v>7.3222115536967035E-13</v>
      </c>
      <c r="FH164" s="22">
        <f t="shared" si="183"/>
        <v>1.3525069634579169E-12</v>
      </c>
      <c r="FI164" s="60">
        <f t="shared" si="131"/>
        <v>287.85577846762106</v>
      </c>
      <c r="FJ164" s="60">
        <f ca="1">AVERAGE(OFFSET($FI$3,0,0,'Données projet'!$E$16+1,1))-AVERAGE(OFFSET($H$3,0,0,'Données projet'!$E$16+1,1))</f>
        <v>309.21625451786218</v>
      </c>
      <c r="FK164" s="60">
        <f t="shared" si="156"/>
        <v>302.59481222418219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>
        <f>FZ164*VLOOKUP('Données projet'!$B$17,Paramètres!$A$1:$I$89,3,0)*VLOOKUP('Données projet'!$B$17,Paramètres!$A$1:$I$89,5,0)</f>
        <v>0</v>
      </c>
      <c r="GB164" s="14" t="e">
        <f t="shared" si="185"/>
        <v>#NUM!</v>
      </c>
      <c r="GC164" s="22" t="e">
        <f t="shared" si="186"/>
        <v>#NUM!</v>
      </c>
      <c r="GD164" s="60" t="e">
        <f t="shared" si="134"/>
        <v>#NUM!</v>
      </c>
      <c r="GE164" s="60">
        <f ca="1">AVERAGE(OFFSET($GD$3,0,0,'Données projet'!$E$17+1,1))-AVERAGE(OFFSET($H$3,0,0,'Données projet'!$E$17+1,1))</f>
        <v>216.36762889365235</v>
      </c>
      <c r="GF164" s="60">
        <f t="shared" si="158"/>
        <v>333.29599352215496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1.0084442037685788</v>
      </c>
      <c r="GM164" s="23">
        <f>EXP(-LN(2)/25)*GM163+(1-EXP(-LN(2)/25))/(LN(2)/25)*Calculateur!GH164*Calculateur!GJ164*VLOOKUP('Données projet'!$B$17,Paramètres!$A$1:$I$89,3,0)*0.475*44/12</f>
        <v>0.2579771965850608</v>
      </c>
      <c r="GN164" s="23">
        <f>EXP(-LN(2)/2)*GN163+(1-EXP(-LN(2)/2))/(LN(2)/2)*GH164*GK164*VLOOKUP('Données projet'!$B$17,Paramètres!$A$1:$I$89,3,0)*0.475*44/12</f>
        <v>5.605007169053666E-20</v>
      </c>
      <c r="GO164" s="23">
        <f t="shared" si="187"/>
        <v>1.2664214003536396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4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-9.3464223027694966E-13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496.33873798282525</v>
      </c>
      <c r="T165" s="60">
        <f t="shared" si="142"/>
        <v>280.25465074992246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3.4106051316484809E-13</v>
      </c>
      <c r="AJ165" s="14">
        <f>AI165*VLOOKUP('Données projet'!$B$10,Paramètres!$A$1:$I$89,3,0)*VLOOKUP('Données projet'!$B$10,Paramètres!$A$1:$I$89,5,0)</f>
        <v>1.5961632016114892E-13</v>
      </c>
      <c r="AK165" s="14">
        <f t="shared" si="164"/>
        <v>2.2708641912150958E-12</v>
      </c>
      <c r="AL165" s="22">
        <f t="shared" si="165"/>
        <v>4.2330868906469593E-12</v>
      </c>
      <c r="AM165" s="60">
        <f t="shared" si="113"/>
        <v>287.95080179856592</v>
      </c>
      <c r="AN165" s="60">
        <f ca="1">AVERAGE(OFFSET($AM$3,0,0,'Données projet'!$E$10+1,1))-AVERAGE(OFFSET($H$3,0,0,'Données projet'!$E$10+1,1))</f>
        <v>277.7918215389401</v>
      </c>
      <c r="AO165" s="60">
        <f t="shared" si="144"/>
        <v>164.65640238394164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-2.2737367544323206E-13</v>
      </c>
      <c r="BE165" s="14">
        <f>BD165*VLOOKUP('Données projet'!$B$11,Paramètres!$A$1:$I$89,3,0)*VLOOKUP('Données projet'!$B$11,Paramètres!$A$1:$I$89,5,0)</f>
        <v>-2.1636878955177963E-13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366.21371543563254</v>
      </c>
      <c r="BJ165" s="60">
        <f t="shared" si="146"/>
        <v>237.43356317334084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-5.1159076974727213E-13</v>
      </c>
      <c r="BZ165" s="14">
        <f>BY165*VLOOKUP('Données projet'!$B$12,Paramètres!$A$1:$I$89,3,0)*VLOOKUP('Données projet'!$B$12,Paramètres!$A$1:$I$89,5,0)</f>
        <v>-5.3471467253984886E-13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530.79860063513229</v>
      </c>
      <c r="CE165" s="60">
        <f t="shared" si="148"/>
        <v>302.50876440460434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-8.7434273154940449E-13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469.67944008675863</v>
      </c>
      <c r="CZ165" s="60">
        <f t="shared" si="150"/>
        <v>266.11908070867173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-9.6633812063373625E-13</v>
      </c>
      <c r="DP165" s="18">
        <f>DO165*VLOOKUP('Données projet'!$B$14,Paramètres!$A$1:$I$89,3,0)*VLOOKUP('Données projet'!$B$14,Paramètres!$A$1:$I$89,5,0)</f>
        <v>-1.0401663530501537E-12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542.90832990875208</v>
      </c>
      <c r="DU165" s="60">
        <f t="shared" si="152"/>
        <v>304.94365539329362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5.6843418860808015E-14</v>
      </c>
      <c r="EK165" s="18">
        <f>EJ165*VLOOKUP('Données projet'!$B$15,Paramètres!$A$1:$I$89,3,0)*VLOOKUP('Données projet'!$B$15,Paramètres!$A$1:$I$89,5,0)</f>
        <v>4.5224624045658861E-14</v>
      </c>
      <c r="EL165" s="14">
        <f t="shared" si="179"/>
        <v>7.4514601661523691E-13</v>
      </c>
      <c r="EM165" s="22">
        <f t="shared" si="180"/>
        <v>1.3765621991510601E-12</v>
      </c>
      <c r="EN165" s="60">
        <f t="shared" si="128"/>
        <v>287.95080179856308</v>
      </c>
      <c r="EO165" s="60">
        <f ca="1">AVERAGE(OFFSET($EN$3,0,0,'Données projet'!$E$15+1,1))-AVERAGE(OFFSET($H$3,0,0,'Données projet'!$E$15+1,1))</f>
        <v>273.72403794510291</v>
      </c>
      <c r="EP165" s="60">
        <f t="shared" si="154"/>
        <v>292.00185554564109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5.6843418860808015E-14</v>
      </c>
      <c r="FF165" s="18">
        <f>FE165*VLOOKUP('Données projet'!$B$16,Paramètres!$A$1:$I$89,3,0)*VLOOKUP('Données projet'!$B$16,Paramètres!$A$1:$I$89,5,0)</f>
        <v>4.4337866711430253E-14</v>
      </c>
      <c r="FG165" s="14">
        <f t="shared" si="182"/>
        <v>7.3222115536967035E-13</v>
      </c>
      <c r="FH165" s="22">
        <f t="shared" si="183"/>
        <v>1.3525069634579169E-12</v>
      </c>
      <c r="FI165" s="60">
        <f t="shared" si="131"/>
        <v>287.95080179856308</v>
      </c>
      <c r="FJ165" s="60">
        <f ca="1">AVERAGE(OFFSET($FI$3,0,0,'Données projet'!$E$16+1,1))-AVERAGE(OFFSET($H$3,0,0,'Données projet'!$E$16+1,1))</f>
        <v>309.21625451786218</v>
      </c>
      <c r="FK165" s="60">
        <f t="shared" si="156"/>
        <v>302.59481222418219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>
        <f>FZ165*VLOOKUP('Données projet'!$B$17,Paramètres!$A$1:$I$89,3,0)*VLOOKUP('Données projet'!$B$17,Paramètres!$A$1:$I$89,5,0)</f>
        <v>0</v>
      </c>
      <c r="GB165" s="14" t="e">
        <f t="shared" si="185"/>
        <v>#NUM!</v>
      </c>
      <c r="GC165" s="22" t="e">
        <f t="shared" si="186"/>
        <v>#NUM!</v>
      </c>
      <c r="GD165" s="60" t="e">
        <f t="shared" si="134"/>
        <v>#NUM!</v>
      </c>
      <c r="GE165" s="60">
        <f ca="1">AVERAGE(OFFSET($GD$3,0,0,'Données projet'!$E$17+1,1))-AVERAGE(OFFSET($H$3,0,0,'Données projet'!$E$17+1,1))</f>
        <v>216.36762889365235</v>
      </c>
      <c r="GF165" s="60">
        <f t="shared" si="158"/>
        <v>333.29599352215496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0.98866922802290613</v>
      </c>
      <c r="GM165" s="23">
        <f>EXP(-LN(2)/25)*GM164+(1-EXP(-LN(2)/25))/(LN(2)/25)*Calculateur!GH165*Calculateur!GJ165*VLOOKUP('Données projet'!$B$17,Paramètres!$A$1:$I$89,3,0)*0.475*44/12</f>
        <v>0.25092279657801114</v>
      </c>
      <c r="GN165" s="23">
        <f>EXP(-LN(2)/2)*GN164+(1-EXP(-LN(2)/2))/(LN(2)/2)*GH165*GK165*VLOOKUP('Données projet'!$B$17,Paramètres!$A$1:$I$89,3,0)*0.475*44/12</f>
        <v>3.9633385778370609E-20</v>
      </c>
      <c r="GO165" s="23">
        <f t="shared" si="187"/>
        <v>1.2395920246009173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4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-9.3464223027694966E-13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496.33873798282525</v>
      </c>
      <c r="T166" s="60">
        <f t="shared" si="142"/>
        <v>280.25465074992246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3.4106051316484809E-13</v>
      </c>
      <c r="AJ166" s="14">
        <f>AI166*VLOOKUP('Données projet'!$B$10,Paramètres!$A$1:$I$89,3,0)*VLOOKUP('Données projet'!$B$10,Paramètres!$A$1:$I$89,5,0)</f>
        <v>1.5961632016114892E-13</v>
      </c>
      <c r="AK166" s="14">
        <f t="shared" si="164"/>
        <v>2.2708641912150958E-12</v>
      </c>
      <c r="AL166" s="22">
        <f t="shared" si="165"/>
        <v>4.2330868906469593E-12</v>
      </c>
      <c r="AM166" s="60">
        <f t="shared" si="113"/>
        <v>288.04417668715644</v>
      </c>
      <c r="AN166" s="60">
        <f ca="1">AVERAGE(OFFSET($AM$3,0,0,'Données projet'!$E$10+1,1))-AVERAGE(OFFSET($H$3,0,0,'Données projet'!$E$10+1,1))</f>
        <v>277.7918215389401</v>
      </c>
      <c r="AO166" s="60">
        <f t="shared" si="144"/>
        <v>164.65640238394164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-2.2737367544323206E-13</v>
      </c>
      <c r="BE166" s="14">
        <f>BD166*VLOOKUP('Données projet'!$B$11,Paramètres!$A$1:$I$89,3,0)*VLOOKUP('Données projet'!$B$11,Paramètres!$A$1:$I$89,5,0)</f>
        <v>-2.1636878955177963E-13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366.21371543563254</v>
      </c>
      <c r="BJ166" s="60">
        <f t="shared" si="146"/>
        <v>237.43356317334084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-5.1159076974727213E-13</v>
      </c>
      <c r="BZ166" s="14">
        <f>BY166*VLOOKUP('Données projet'!$B$12,Paramètres!$A$1:$I$89,3,0)*VLOOKUP('Données projet'!$B$12,Paramètres!$A$1:$I$89,5,0)</f>
        <v>-5.3471467253984886E-13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530.79860063513229</v>
      </c>
      <c r="CE166" s="60">
        <f t="shared" si="148"/>
        <v>302.50876440460434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-8.7434273154940449E-13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469.67944008675863</v>
      </c>
      <c r="CZ166" s="60">
        <f t="shared" si="150"/>
        <v>266.11908070867173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-9.6633812063373625E-13</v>
      </c>
      <c r="DP166" s="18">
        <f>DO166*VLOOKUP('Données projet'!$B$14,Paramètres!$A$1:$I$89,3,0)*VLOOKUP('Données projet'!$B$14,Paramètres!$A$1:$I$89,5,0)</f>
        <v>-1.0401663530501537E-12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542.90832990875208</v>
      </c>
      <c r="DU166" s="60">
        <f t="shared" si="152"/>
        <v>304.94365539329362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5.6843418860808015E-14</v>
      </c>
      <c r="EK166" s="18">
        <f>EJ166*VLOOKUP('Données projet'!$B$15,Paramètres!$A$1:$I$89,3,0)*VLOOKUP('Données projet'!$B$15,Paramètres!$A$1:$I$89,5,0)</f>
        <v>4.5224624045658861E-14</v>
      </c>
      <c r="EL166" s="14">
        <f t="shared" si="179"/>
        <v>7.4514601661523691E-13</v>
      </c>
      <c r="EM166" s="22">
        <f t="shared" si="180"/>
        <v>1.3765621991510601E-12</v>
      </c>
      <c r="EN166" s="60">
        <f t="shared" si="128"/>
        <v>288.04417668715359</v>
      </c>
      <c r="EO166" s="60">
        <f ca="1">AVERAGE(OFFSET($EN$3,0,0,'Données projet'!$E$15+1,1))-AVERAGE(OFFSET($H$3,0,0,'Données projet'!$E$15+1,1))</f>
        <v>273.72403794510291</v>
      </c>
      <c r="EP166" s="60">
        <f t="shared" si="154"/>
        <v>292.00185554564109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5.6843418860808015E-14</v>
      </c>
      <c r="FF166" s="18">
        <f>FE166*VLOOKUP('Données projet'!$B$16,Paramètres!$A$1:$I$89,3,0)*VLOOKUP('Données projet'!$B$16,Paramètres!$A$1:$I$89,5,0)</f>
        <v>4.4337866711430253E-14</v>
      </c>
      <c r="FG166" s="14">
        <f t="shared" si="182"/>
        <v>7.3222115536967035E-13</v>
      </c>
      <c r="FH166" s="22">
        <f t="shared" si="183"/>
        <v>1.3525069634579169E-12</v>
      </c>
      <c r="FI166" s="60">
        <f t="shared" si="131"/>
        <v>288.04417668715359</v>
      </c>
      <c r="FJ166" s="60">
        <f ca="1">AVERAGE(OFFSET($FI$3,0,0,'Données projet'!$E$16+1,1))-AVERAGE(OFFSET($H$3,0,0,'Données projet'!$E$16+1,1))</f>
        <v>309.21625451786218</v>
      </c>
      <c r="FK166" s="60">
        <f t="shared" si="156"/>
        <v>302.59481222418219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>
        <f>FZ166*VLOOKUP('Données projet'!$B$17,Paramètres!$A$1:$I$89,3,0)*VLOOKUP('Données projet'!$B$17,Paramètres!$A$1:$I$89,5,0)</f>
        <v>0</v>
      </c>
      <c r="GB166" s="14" t="e">
        <f t="shared" si="185"/>
        <v>#NUM!</v>
      </c>
      <c r="GC166" s="22" t="e">
        <f t="shared" si="186"/>
        <v>#NUM!</v>
      </c>
      <c r="GD166" s="60" t="e">
        <f t="shared" si="134"/>
        <v>#NUM!</v>
      </c>
      <c r="GE166" s="60">
        <f ca="1">AVERAGE(OFFSET($GD$3,0,0,'Données projet'!$E$17+1,1))-AVERAGE(OFFSET($H$3,0,0,'Données projet'!$E$17+1,1))</f>
        <v>216.36762889365235</v>
      </c>
      <c r="GF166" s="60">
        <f t="shared" si="158"/>
        <v>333.29599352215496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0.96928202749006187</v>
      </c>
      <c r="GM166" s="23">
        <f>EXP(-LN(2)/25)*GM165+(1-EXP(-LN(2)/25))/(LN(2)/25)*Calculateur!GH166*Calculateur!GJ166*VLOOKUP('Données projet'!$B$17,Paramètres!$A$1:$I$89,3,0)*0.475*44/12</f>
        <v>0.24406129951012906</v>
      </c>
      <c r="GN166" s="23">
        <f>EXP(-LN(2)/2)*GN165+(1-EXP(-LN(2)/2))/(LN(2)/2)*GH166*GK166*VLOOKUP('Données projet'!$B$17,Paramètres!$A$1:$I$89,3,0)*0.475*44/12</f>
        <v>2.802503584526833E-20</v>
      </c>
      <c r="GO166" s="23">
        <f t="shared" si="187"/>
        <v>1.213343327000191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4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-9.3464223027694966E-13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496.33873798282525</v>
      </c>
      <c r="T167" s="60">
        <f t="shared" si="142"/>
        <v>280.25465074992246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3.4106051316484809E-13</v>
      </c>
      <c r="AJ167" s="14">
        <f>AI167*VLOOKUP('Données projet'!$B$10,Paramètres!$A$1:$I$89,3,0)*VLOOKUP('Données projet'!$B$10,Paramètres!$A$1:$I$89,5,0)</f>
        <v>1.5961632016114892E-13</v>
      </c>
      <c r="AK167" s="14">
        <f t="shared" si="164"/>
        <v>2.2708641912150958E-12</v>
      </c>
      <c r="AL167" s="22">
        <f t="shared" si="165"/>
        <v>4.2330868906469593E-12</v>
      </c>
      <c r="AM167" s="60">
        <f t="shared" si="113"/>
        <v>288.13593173018489</v>
      </c>
      <c r="AN167" s="60">
        <f ca="1">AVERAGE(OFFSET($AM$3,0,0,'Données projet'!$E$10+1,1))-AVERAGE(OFFSET($H$3,0,0,'Données projet'!$E$10+1,1))</f>
        <v>277.7918215389401</v>
      </c>
      <c r="AO167" s="60">
        <f t="shared" si="144"/>
        <v>164.65640238394164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-2.2737367544323206E-13</v>
      </c>
      <c r="BE167" s="14">
        <f>BD167*VLOOKUP('Données projet'!$B$11,Paramètres!$A$1:$I$89,3,0)*VLOOKUP('Données projet'!$B$11,Paramètres!$A$1:$I$89,5,0)</f>
        <v>-2.1636878955177963E-13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366.21371543563254</v>
      </c>
      <c r="BJ167" s="60">
        <f t="shared" si="146"/>
        <v>237.43356317334084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-5.1159076974727213E-13</v>
      </c>
      <c r="BZ167" s="14">
        <f>BY167*VLOOKUP('Données projet'!$B$12,Paramètres!$A$1:$I$89,3,0)*VLOOKUP('Données projet'!$B$12,Paramètres!$A$1:$I$89,5,0)</f>
        <v>-5.3471467253984886E-13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530.79860063513229</v>
      </c>
      <c r="CE167" s="60">
        <f t="shared" si="148"/>
        <v>302.50876440460434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-8.7434273154940449E-13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469.67944008675863</v>
      </c>
      <c r="CZ167" s="60">
        <f t="shared" si="150"/>
        <v>266.11908070867173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-9.6633812063373625E-13</v>
      </c>
      <c r="DP167" s="18">
        <f>DO167*VLOOKUP('Données projet'!$B$14,Paramètres!$A$1:$I$89,3,0)*VLOOKUP('Données projet'!$B$14,Paramètres!$A$1:$I$89,5,0)</f>
        <v>-1.0401663530501537E-12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542.90832990875208</v>
      </c>
      <c r="DU167" s="60">
        <f t="shared" si="152"/>
        <v>304.94365539329362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5.6843418860808015E-14</v>
      </c>
      <c r="EK167" s="18">
        <f>EJ167*VLOOKUP('Données projet'!$B$15,Paramètres!$A$1:$I$89,3,0)*VLOOKUP('Données projet'!$B$15,Paramètres!$A$1:$I$89,5,0)</f>
        <v>4.5224624045658861E-14</v>
      </c>
      <c r="EL167" s="14">
        <f t="shared" si="179"/>
        <v>7.4514601661523691E-13</v>
      </c>
      <c r="EM167" s="22">
        <f t="shared" si="180"/>
        <v>1.3765621991510601E-12</v>
      </c>
      <c r="EN167" s="60">
        <f t="shared" si="128"/>
        <v>288.13593173018205</v>
      </c>
      <c r="EO167" s="60">
        <f ca="1">AVERAGE(OFFSET($EN$3,0,0,'Données projet'!$E$15+1,1))-AVERAGE(OFFSET($H$3,0,0,'Données projet'!$E$15+1,1))</f>
        <v>273.72403794510291</v>
      </c>
      <c r="EP167" s="60">
        <f t="shared" si="154"/>
        <v>292.00185554564109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5.6843418860808015E-14</v>
      </c>
      <c r="FF167" s="18">
        <f>FE167*VLOOKUP('Données projet'!$B$16,Paramètres!$A$1:$I$89,3,0)*VLOOKUP('Données projet'!$B$16,Paramètres!$A$1:$I$89,5,0)</f>
        <v>4.4337866711430253E-14</v>
      </c>
      <c r="FG167" s="14">
        <f t="shared" si="182"/>
        <v>7.3222115536967035E-13</v>
      </c>
      <c r="FH167" s="22">
        <f t="shared" si="183"/>
        <v>1.3525069634579169E-12</v>
      </c>
      <c r="FI167" s="60">
        <f t="shared" si="131"/>
        <v>288.13593173018205</v>
      </c>
      <c r="FJ167" s="60">
        <f ca="1">AVERAGE(OFFSET($FI$3,0,0,'Données projet'!$E$16+1,1))-AVERAGE(OFFSET($H$3,0,0,'Données projet'!$E$16+1,1))</f>
        <v>309.21625451786218</v>
      </c>
      <c r="FK167" s="60">
        <f t="shared" si="156"/>
        <v>302.59481222418219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>
        <f>FZ167*VLOOKUP('Données projet'!$B$17,Paramètres!$A$1:$I$89,3,0)*VLOOKUP('Données projet'!$B$17,Paramètres!$A$1:$I$89,5,0)</f>
        <v>0</v>
      </c>
      <c r="GB167" s="14" t="e">
        <f t="shared" si="185"/>
        <v>#NUM!</v>
      </c>
      <c r="GC167" s="22" t="e">
        <f t="shared" si="186"/>
        <v>#NUM!</v>
      </c>
      <c r="GD167" s="60" t="e">
        <f t="shared" si="134"/>
        <v>#NUM!</v>
      </c>
      <c r="GE167" s="60">
        <f ca="1">AVERAGE(OFFSET($GD$3,0,0,'Données projet'!$E$17+1,1))-AVERAGE(OFFSET($H$3,0,0,'Données projet'!$E$17+1,1))</f>
        <v>216.36762889365235</v>
      </c>
      <c r="GF167" s="60">
        <f t="shared" si="158"/>
        <v>333.29599352215496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0.950274998134642</v>
      </c>
      <c r="GM167" s="23">
        <f>EXP(-LN(2)/25)*GM166+(1-EXP(-LN(2)/25))/(LN(2)/25)*Calculateur!GH167*Calculateur!GJ167*VLOOKUP('Données projet'!$B$17,Paramètres!$A$1:$I$89,3,0)*0.475*44/12</f>
        <v>0.23738743044039864</v>
      </c>
      <c r="GN167" s="23">
        <f>EXP(-LN(2)/2)*GN166+(1-EXP(-LN(2)/2))/(LN(2)/2)*GH167*GK167*VLOOKUP('Données projet'!$B$17,Paramètres!$A$1:$I$89,3,0)*0.475*44/12</f>
        <v>1.9816692889185304E-20</v>
      </c>
      <c r="GO167" s="23">
        <f t="shared" si="187"/>
        <v>1.1876624285750406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4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-9.3464223027694966E-13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496.33873798282525</v>
      </c>
      <c r="T168" s="60">
        <f t="shared" si="142"/>
        <v>280.25465074992246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3.4106051316484809E-13</v>
      </c>
      <c r="AJ168" s="14">
        <f>AI168*VLOOKUP('Données projet'!$B$10,Paramètres!$A$1:$I$89,3,0)*VLOOKUP('Données projet'!$B$10,Paramètres!$A$1:$I$89,5,0)</f>
        <v>1.5961632016114892E-13</v>
      </c>
      <c r="AK168" s="14">
        <f t="shared" si="164"/>
        <v>2.2708641912150958E-12</v>
      </c>
      <c r="AL168" s="22">
        <f t="shared" si="165"/>
        <v>4.2330868906469593E-12</v>
      </c>
      <c r="AM168" s="60">
        <f t="shared" si="113"/>
        <v>288.22609502835036</v>
      </c>
      <c r="AN168" s="60">
        <f ca="1">AVERAGE(OFFSET($AM$3,0,0,'Données projet'!$E$10+1,1))-AVERAGE(OFFSET($H$3,0,0,'Données projet'!$E$10+1,1))</f>
        <v>277.7918215389401</v>
      </c>
      <c r="AO168" s="60">
        <f t="shared" si="144"/>
        <v>164.65640238394164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-2.2737367544323206E-13</v>
      </c>
      <c r="BE168" s="14">
        <f>BD168*VLOOKUP('Données projet'!$B$11,Paramètres!$A$1:$I$89,3,0)*VLOOKUP('Données projet'!$B$11,Paramètres!$A$1:$I$89,5,0)</f>
        <v>-2.1636878955177963E-13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366.21371543563254</v>
      </c>
      <c r="BJ168" s="60">
        <f t="shared" si="146"/>
        <v>237.43356317334084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-5.1159076974727213E-13</v>
      </c>
      <c r="BZ168" s="14">
        <f>BY168*VLOOKUP('Données projet'!$B$12,Paramètres!$A$1:$I$89,3,0)*VLOOKUP('Données projet'!$B$12,Paramètres!$A$1:$I$89,5,0)</f>
        <v>-5.3471467253984886E-13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530.79860063513229</v>
      </c>
      <c r="CE168" s="60">
        <f t="shared" si="148"/>
        <v>302.50876440460434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-8.7434273154940449E-13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469.67944008675863</v>
      </c>
      <c r="CZ168" s="60">
        <f t="shared" si="150"/>
        <v>266.11908070867173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-9.6633812063373625E-13</v>
      </c>
      <c r="DP168" s="18">
        <f>DO168*VLOOKUP('Données projet'!$B$14,Paramètres!$A$1:$I$89,3,0)*VLOOKUP('Données projet'!$B$14,Paramètres!$A$1:$I$89,5,0)</f>
        <v>-1.0401663530501537E-12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542.90832990875208</v>
      </c>
      <c r="DU168" s="60">
        <f t="shared" si="152"/>
        <v>304.94365539329362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5.6843418860808015E-14</v>
      </c>
      <c r="EK168" s="18">
        <f>EJ168*VLOOKUP('Données projet'!$B$15,Paramètres!$A$1:$I$89,3,0)*VLOOKUP('Données projet'!$B$15,Paramètres!$A$1:$I$89,5,0)</f>
        <v>4.5224624045658861E-14</v>
      </c>
      <c r="EL168" s="14">
        <f t="shared" si="179"/>
        <v>7.4514601661523691E-13</v>
      </c>
      <c r="EM168" s="22">
        <f t="shared" si="180"/>
        <v>1.3765621991510601E-12</v>
      </c>
      <c r="EN168" s="60">
        <f t="shared" si="128"/>
        <v>288.22609502834752</v>
      </c>
      <c r="EO168" s="60">
        <f ca="1">AVERAGE(OFFSET($EN$3,0,0,'Données projet'!$E$15+1,1))-AVERAGE(OFFSET($H$3,0,0,'Données projet'!$E$15+1,1))</f>
        <v>273.72403794510291</v>
      </c>
      <c r="EP168" s="60">
        <f t="shared" si="154"/>
        <v>292.00185554564109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5.6843418860808015E-14</v>
      </c>
      <c r="FF168" s="18">
        <f>FE168*VLOOKUP('Données projet'!$B$16,Paramètres!$A$1:$I$89,3,0)*VLOOKUP('Données projet'!$B$16,Paramètres!$A$1:$I$89,5,0)</f>
        <v>4.4337866711430253E-14</v>
      </c>
      <c r="FG168" s="14">
        <f t="shared" si="182"/>
        <v>7.3222115536967035E-13</v>
      </c>
      <c r="FH168" s="22">
        <f t="shared" si="183"/>
        <v>1.3525069634579169E-12</v>
      </c>
      <c r="FI168" s="60">
        <f t="shared" si="131"/>
        <v>288.22609502834752</v>
      </c>
      <c r="FJ168" s="60">
        <f ca="1">AVERAGE(OFFSET($FI$3,0,0,'Données projet'!$E$16+1,1))-AVERAGE(OFFSET($H$3,0,0,'Données projet'!$E$16+1,1))</f>
        <v>309.21625451786218</v>
      </c>
      <c r="FK168" s="60">
        <f t="shared" si="156"/>
        <v>302.59481222418219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>
        <f>FZ168*VLOOKUP('Données projet'!$B$17,Paramètres!$A$1:$I$89,3,0)*VLOOKUP('Données projet'!$B$17,Paramètres!$A$1:$I$89,5,0)</f>
        <v>0</v>
      </c>
      <c r="GB168" s="14" t="e">
        <f t="shared" si="185"/>
        <v>#NUM!</v>
      </c>
      <c r="GC168" s="22" t="e">
        <f t="shared" si="186"/>
        <v>#NUM!</v>
      </c>
      <c r="GD168" s="60" t="e">
        <f t="shared" si="134"/>
        <v>#NUM!</v>
      </c>
      <c r="GE168" s="60">
        <f ca="1">AVERAGE(OFFSET($GD$3,0,0,'Données projet'!$E$17+1,1))-AVERAGE(OFFSET($H$3,0,0,'Données projet'!$E$17+1,1))</f>
        <v>216.36762889365235</v>
      </c>
      <c r="GF168" s="60">
        <f t="shared" si="158"/>
        <v>333.29599352215496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0.9316406850317388</v>
      </c>
      <c r="GM168" s="23">
        <f>EXP(-LN(2)/25)*GM167+(1-EXP(-LN(2)/25))/(LN(2)/25)*Calculateur!GH168*Calculateur!GJ168*VLOOKUP('Données projet'!$B$17,Paramètres!$A$1:$I$89,3,0)*0.475*44/12</f>
        <v>0.23089605867134352</v>
      </c>
      <c r="GN168" s="23">
        <f>EXP(-LN(2)/2)*GN167+(1-EXP(-LN(2)/2))/(LN(2)/2)*GH168*GK168*VLOOKUP('Données projet'!$B$17,Paramètres!$A$1:$I$89,3,0)*0.475*44/12</f>
        <v>1.4012517922634165E-20</v>
      </c>
      <c r="GO168" s="23">
        <f t="shared" si="187"/>
        <v>1.1625367437030822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4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-9.3464223027694966E-13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496.33873798282525</v>
      </c>
      <c r="T169" s="60">
        <f t="shared" si="142"/>
        <v>280.25465074992246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3.4106051316484809E-13</v>
      </c>
      <c r="AJ169" s="14">
        <f>AI169*VLOOKUP('Données projet'!$B$10,Paramètres!$A$1:$I$89,3,0)*VLOOKUP('Données projet'!$B$10,Paramètres!$A$1:$I$89,5,0)</f>
        <v>1.5961632016114892E-13</v>
      </c>
      <c r="AK169" s="14">
        <f t="shared" si="164"/>
        <v>2.2708641912150958E-12</v>
      </c>
      <c r="AL169" s="22">
        <f t="shared" si="165"/>
        <v>4.2330868906469593E-12</v>
      </c>
      <c r="AM169" s="60">
        <f t="shared" si="113"/>
        <v>288.31469419486763</v>
      </c>
      <c r="AN169" s="60">
        <f ca="1">AVERAGE(OFFSET($AM$3,0,0,'Données projet'!$E$10+1,1))-AVERAGE(OFFSET($H$3,0,0,'Données projet'!$E$10+1,1))</f>
        <v>277.7918215389401</v>
      </c>
      <c r="AO169" s="60">
        <f t="shared" si="144"/>
        <v>164.65640238394164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-2.2737367544323206E-13</v>
      </c>
      <c r="BE169" s="14">
        <f>BD169*VLOOKUP('Données projet'!$B$11,Paramètres!$A$1:$I$89,3,0)*VLOOKUP('Données projet'!$B$11,Paramètres!$A$1:$I$89,5,0)</f>
        <v>-2.1636878955177963E-13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366.21371543563254</v>
      </c>
      <c r="BJ169" s="60">
        <f t="shared" si="146"/>
        <v>237.43356317334084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-5.1159076974727213E-13</v>
      </c>
      <c r="BZ169" s="14">
        <f>BY169*VLOOKUP('Données projet'!$B$12,Paramètres!$A$1:$I$89,3,0)*VLOOKUP('Données projet'!$B$12,Paramètres!$A$1:$I$89,5,0)</f>
        <v>-5.3471467253984886E-13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530.79860063513229</v>
      </c>
      <c r="CE169" s="60">
        <f t="shared" si="148"/>
        <v>302.50876440460434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-8.7434273154940449E-13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469.67944008675863</v>
      </c>
      <c r="CZ169" s="60">
        <f t="shared" si="150"/>
        <v>266.11908070867173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-9.6633812063373625E-13</v>
      </c>
      <c r="DP169" s="18">
        <f>DO169*VLOOKUP('Données projet'!$B$14,Paramètres!$A$1:$I$89,3,0)*VLOOKUP('Données projet'!$B$14,Paramètres!$A$1:$I$89,5,0)</f>
        <v>-1.0401663530501537E-12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542.90832990875208</v>
      </c>
      <c r="DU169" s="60">
        <f t="shared" si="152"/>
        <v>304.94365539329362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5.6843418860808015E-14</v>
      </c>
      <c r="EK169" s="18">
        <f>EJ169*VLOOKUP('Données projet'!$B$15,Paramètres!$A$1:$I$89,3,0)*VLOOKUP('Données projet'!$B$15,Paramètres!$A$1:$I$89,5,0)</f>
        <v>4.5224624045658861E-14</v>
      </c>
      <c r="EL169" s="14">
        <f t="shared" si="179"/>
        <v>7.4514601661523691E-13</v>
      </c>
      <c r="EM169" s="22">
        <f t="shared" si="180"/>
        <v>1.3765621991510601E-12</v>
      </c>
      <c r="EN169" s="60">
        <f t="shared" si="128"/>
        <v>288.31469419486479</v>
      </c>
      <c r="EO169" s="60">
        <f ca="1">AVERAGE(OFFSET($EN$3,0,0,'Données projet'!$E$15+1,1))-AVERAGE(OFFSET($H$3,0,0,'Données projet'!$E$15+1,1))</f>
        <v>273.72403794510291</v>
      </c>
      <c r="EP169" s="60">
        <f t="shared" si="154"/>
        <v>292.00185554564109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5.6843418860808015E-14</v>
      </c>
      <c r="FF169" s="18">
        <f>FE169*VLOOKUP('Données projet'!$B$16,Paramètres!$A$1:$I$89,3,0)*VLOOKUP('Données projet'!$B$16,Paramètres!$A$1:$I$89,5,0)</f>
        <v>4.4337866711430253E-14</v>
      </c>
      <c r="FG169" s="14">
        <f t="shared" si="182"/>
        <v>7.3222115536967035E-13</v>
      </c>
      <c r="FH169" s="22">
        <f t="shared" si="183"/>
        <v>1.3525069634579169E-12</v>
      </c>
      <c r="FI169" s="60">
        <f t="shared" si="131"/>
        <v>288.31469419486479</v>
      </c>
      <c r="FJ169" s="60">
        <f ca="1">AVERAGE(OFFSET($FI$3,0,0,'Données projet'!$E$16+1,1))-AVERAGE(OFFSET($H$3,0,0,'Données projet'!$E$16+1,1))</f>
        <v>309.21625451786218</v>
      </c>
      <c r="FK169" s="60">
        <f t="shared" si="156"/>
        <v>302.59481222418219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>
        <f>FZ169*VLOOKUP('Données projet'!$B$17,Paramètres!$A$1:$I$89,3,0)*VLOOKUP('Données projet'!$B$17,Paramètres!$A$1:$I$89,5,0)</f>
        <v>0</v>
      </c>
      <c r="GB169" s="14" t="e">
        <f t="shared" si="185"/>
        <v>#NUM!</v>
      </c>
      <c r="GC169" s="22" t="e">
        <f t="shared" si="186"/>
        <v>#NUM!</v>
      </c>
      <c r="GD169" s="60" t="e">
        <f t="shared" si="134"/>
        <v>#NUM!</v>
      </c>
      <c r="GE169" s="60">
        <f ca="1">AVERAGE(OFFSET($GD$3,0,0,'Données projet'!$E$17+1,1))-AVERAGE(OFFSET($H$3,0,0,'Données projet'!$E$17+1,1))</f>
        <v>216.36762889365235</v>
      </c>
      <c r="GF169" s="60">
        <f t="shared" si="158"/>
        <v>333.29599352215496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0.91337177944297476</v>
      </c>
      <c r="GM169" s="23">
        <f>EXP(-LN(2)/25)*GM168+(1-EXP(-LN(2)/25))/(LN(2)/25)*Calculateur!GH169*Calculateur!GJ169*VLOOKUP('Données projet'!$B$17,Paramètres!$A$1:$I$89,3,0)*0.475*44/12</f>
        <v>0.22458219380467964</v>
      </c>
      <c r="GN169" s="23">
        <f>EXP(-LN(2)/2)*GN168+(1-EXP(-LN(2)/2))/(LN(2)/2)*GH169*GK169*VLOOKUP('Données projet'!$B$17,Paramètres!$A$1:$I$89,3,0)*0.475*44/12</f>
        <v>9.9083464445926521E-21</v>
      </c>
      <c r="GO169" s="23">
        <f t="shared" si="187"/>
        <v>1.1379539732476545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4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-9.3464223027694966E-13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496.33873798282525</v>
      </c>
      <c r="T170" s="60">
        <f t="shared" si="142"/>
        <v>280.25465074992246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3.4106051316484809E-13</v>
      </c>
      <c r="AJ170" s="14">
        <f>AI170*VLOOKUP('Données projet'!$B$10,Paramètres!$A$1:$I$89,3,0)*VLOOKUP('Données projet'!$B$10,Paramètres!$A$1:$I$89,5,0)</f>
        <v>1.5961632016114892E-13</v>
      </c>
      <c r="AK170" s="14">
        <f t="shared" si="164"/>
        <v>2.2708641912150958E-12</v>
      </c>
      <c r="AL170" s="22">
        <f t="shared" si="165"/>
        <v>4.2330868906469593E-12</v>
      </c>
      <c r="AM170" s="60">
        <f t="shared" si="113"/>
        <v>288.40175636392382</v>
      </c>
      <c r="AN170" s="60">
        <f ca="1">AVERAGE(OFFSET($AM$3,0,0,'Données projet'!$E$10+1,1))-AVERAGE(OFFSET($H$3,0,0,'Données projet'!$E$10+1,1))</f>
        <v>277.7918215389401</v>
      </c>
      <c r="AO170" s="60">
        <f t="shared" si="144"/>
        <v>164.65640238394164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-2.2737367544323206E-13</v>
      </c>
      <c r="BE170" s="14">
        <f>BD170*VLOOKUP('Données projet'!$B$11,Paramètres!$A$1:$I$89,3,0)*VLOOKUP('Données projet'!$B$11,Paramètres!$A$1:$I$89,5,0)</f>
        <v>-2.1636878955177963E-13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366.21371543563254</v>
      </c>
      <c r="BJ170" s="60">
        <f t="shared" si="146"/>
        <v>237.43356317334084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-5.1159076974727213E-13</v>
      </c>
      <c r="BZ170" s="14">
        <f>BY170*VLOOKUP('Données projet'!$B$12,Paramètres!$A$1:$I$89,3,0)*VLOOKUP('Données projet'!$B$12,Paramètres!$A$1:$I$89,5,0)</f>
        <v>-5.3471467253984886E-13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530.79860063513229</v>
      </c>
      <c r="CE170" s="60">
        <f t="shared" si="148"/>
        <v>302.50876440460434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-8.7434273154940449E-13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469.67944008675863</v>
      </c>
      <c r="CZ170" s="60">
        <f t="shared" si="150"/>
        <v>266.11908070867173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-9.6633812063373625E-13</v>
      </c>
      <c r="DP170" s="18">
        <f>DO170*VLOOKUP('Données projet'!$B$14,Paramètres!$A$1:$I$89,3,0)*VLOOKUP('Données projet'!$B$14,Paramètres!$A$1:$I$89,5,0)</f>
        <v>-1.0401663530501537E-12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542.90832990875208</v>
      </c>
      <c r="DU170" s="60">
        <f t="shared" si="152"/>
        <v>304.94365539329362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5.6843418860808015E-14</v>
      </c>
      <c r="EK170" s="18">
        <f>EJ170*VLOOKUP('Données projet'!$B$15,Paramètres!$A$1:$I$89,3,0)*VLOOKUP('Données projet'!$B$15,Paramètres!$A$1:$I$89,5,0)</f>
        <v>4.5224624045658861E-14</v>
      </c>
      <c r="EL170" s="14">
        <f t="shared" si="179"/>
        <v>7.4514601661523691E-13</v>
      </c>
      <c r="EM170" s="22">
        <f t="shared" si="180"/>
        <v>1.3765621991510601E-12</v>
      </c>
      <c r="EN170" s="60">
        <f t="shared" si="128"/>
        <v>288.40175636392098</v>
      </c>
      <c r="EO170" s="60">
        <f ca="1">AVERAGE(OFFSET($EN$3,0,0,'Données projet'!$E$15+1,1))-AVERAGE(OFFSET($H$3,0,0,'Données projet'!$E$15+1,1))</f>
        <v>273.72403794510291</v>
      </c>
      <c r="EP170" s="60">
        <f t="shared" si="154"/>
        <v>292.00185554564109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5.6843418860808015E-14</v>
      </c>
      <c r="FF170" s="18">
        <f>FE170*VLOOKUP('Données projet'!$B$16,Paramètres!$A$1:$I$89,3,0)*VLOOKUP('Données projet'!$B$16,Paramètres!$A$1:$I$89,5,0)</f>
        <v>4.4337866711430253E-14</v>
      </c>
      <c r="FG170" s="14">
        <f t="shared" si="182"/>
        <v>7.3222115536967035E-13</v>
      </c>
      <c r="FH170" s="22">
        <f t="shared" si="183"/>
        <v>1.3525069634579169E-12</v>
      </c>
      <c r="FI170" s="60">
        <f t="shared" si="131"/>
        <v>288.40175636392098</v>
      </c>
      <c r="FJ170" s="60">
        <f ca="1">AVERAGE(OFFSET($FI$3,0,0,'Données projet'!$E$16+1,1))-AVERAGE(OFFSET($H$3,0,0,'Données projet'!$E$16+1,1))</f>
        <v>309.21625451786218</v>
      </c>
      <c r="FK170" s="60">
        <f t="shared" si="156"/>
        <v>302.59481222418219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>
        <f>FZ170*VLOOKUP('Données projet'!$B$17,Paramètres!$A$1:$I$89,3,0)*VLOOKUP('Données projet'!$B$17,Paramètres!$A$1:$I$89,5,0)</f>
        <v>0</v>
      </c>
      <c r="GB170" s="14" t="e">
        <f t="shared" si="185"/>
        <v>#NUM!</v>
      </c>
      <c r="GC170" s="22" t="e">
        <f t="shared" si="186"/>
        <v>#NUM!</v>
      </c>
      <c r="GD170" s="60" t="e">
        <f t="shared" si="134"/>
        <v>#NUM!</v>
      </c>
      <c r="GE170" s="60">
        <f ca="1">AVERAGE(OFFSET($GD$3,0,0,'Données projet'!$E$17+1,1))-AVERAGE(OFFSET($H$3,0,0,'Données projet'!$E$17+1,1))</f>
        <v>216.36762889365235</v>
      </c>
      <c r="GF170" s="60">
        <f t="shared" si="158"/>
        <v>333.29599352215496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0.89546111594987421</v>
      </c>
      <c r="GM170" s="23">
        <f>EXP(-LN(2)/25)*GM169+(1-EXP(-LN(2)/25))/(LN(2)/25)*Calculateur!GH170*Calculateur!GJ170*VLOOKUP('Données projet'!$B$17,Paramètres!$A$1:$I$89,3,0)*0.475*44/12</f>
        <v>0.21844098190482639</v>
      </c>
      <c r="GN170" s="23">
        <f>EXP(-LN(2)/2)*GN169+(1-EXP(-LN(2)/2))/(LN(2)/2)*GH170*GK170*VLOOKUP('Données projet'!$B$17,Paramètres!$A$1:$I$89,3,0)*0.475*44/12</f>
        <v>7.0062589613170825E-21</v>
      </c>
      <c r="GO170" s="23">
        <f t="shared" si="187"/>
        <v>1.1139020978547005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4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-9.3464223027694966E-13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496.33873798282525</v>
      </c>
      <c r="T171" s="60">
        <f t="shared" si="142"/>
        <v>280.25465074992246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3.4106051316484809E-13</v>
      </c>
      <c r="AJ171" s="14">
        <f>AI171*VLOOKUP('Données projet'!$B$10,Paramètres!$A$1:$I$89,3,0)*VLOOKUP('Données projet'!$B$10,Paramètres!$A$1:$I$89,5,0)</f>
        <v>1.5961632016114892E-13</v>
      </c>
      <c r="AK171" s="14">
        <f t="shared" si="164"/>
        <v>2.2708641912150958E-12</v>
      </c>
      <c r="AL171" s="22">
        <f t="shared" si="165"/>
        <v>4.2330868906469593E-12</v>
      </c>
      <c r="AM171" s="60">
        <f t="shared" si="113"/>
        <v>288.48730819898873</v>
      </c>
      <c r="AN171" s="60">
        <f ca="1">AVERAGE(OFFSET($AM$3,0,0,'Données projet'!$E$10+1,1))-AVERAGE(OFFSET($H$3,0,0,'Données projet'!$E$10+1,1))</f>
        <v>277.7918215389401</v>
      </c>
      <c r="AO171" s="60">
        <f t="shared" si="144"/>
        <v>164.65640238394164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-2.2737367544323206E-13</v>
      </c>
      <c r="BE171" s="14">
        <f>BD171*VLOOKUP('Données projet'!$B$11,Paramètres!$A$1:$I$89,3,0)*VLOOKUP('Données projet'!$B$11,Paramètres!$A$1:$I$89,5,0)</f>
        <v>-2.1636878955177963E-13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366.21371543563254</v>
      </c>
      <c r="BJ171" s="60">
        <f t="shared" si="146"/>
        <v>237.43356317334084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-5.1159076974727213E-13</v>
      </c>
      <c r="BZ171" s="14">
        <f>BY171*VLOOKUP('Données projet'!$B$12,Paramètres!$A$1:$I$89,3,0)*VLOOKUP('Données projet'!$B$12,Paramètres!$A$1:$I$89,5,0)</f>
        <v>-5.3471467253984886E-13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530.79860063513229</v>
      </c>
      <c r="CE171" s="60">
        <f t="shared" si="148"/>
        <v>302.50876440460434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-8.7434273154940449E-13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469.67944008675863</v>
      </c>
      <c r="CZ171" s="60">
        <f t="shared" si="150"/>
        <v>266.11908070867173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-9.6633812063373625E-13</v>
      </c>
      <c r="DP171" s="18">
        <f>DO171*VLOOKUP('Données projet'!$B$14,Paramètres!$A$1:$I$89,3,0)*VLOOKUP('Données projet'!$B$14,Paramètres!$A$1:$I$89,5,0)</f>
        <v>-1.0401663530501537E-12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542.90832990875208</v>
      </c>
      <c r="DU171" s="60">
        <f t="shared" si="152"/>
        <v>304.94365539329362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5.6843418860808015E-14</v>
      </c>
      <c r="EK171" s="18">
        <f>EJ171*VLOOKUP('Données projet'!$B$15,Paramètres!$A$1:$I$89,3,0)*VLOOKUP('Données projet'!$B$15,Paramètres!$A$1:$I$89,5,0)</f>
        <v>4.5224624045658861E-14</v>
      </c>
      <c r="EL171" s="14">
        <f t="shared" si="179"/>
        <v>7.4514601661523691E-13</v>
      </c>
      <c r="EM171" s="22">
        <f t="shared" si="180"/>
        <v>1.3765621991510601E-12</v>
      </c>
      <c r="EN171" s="60">
        <f t="shared" si="128"/>
        <v>288.48730819898589</v>
      </c>
      <c r="EO171" s="60">
        <f ca="1">AVERAGE(OFFSET($EN$3,0,0,'Données projet'!$E$15+1,1))-AVERAGE(OFFSET($H$3,0,0,'Données projet'!$E$15+1,1))</f>
        <v>273.72403794510291</v>
      </c>
      <c r="EP171" s="60">
        <f t="shared" si="154"/>
        <v>292.00185554564109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5.6843418860808015E-14</v>
      </c>
      <c r="FF171" s="18">
        <f>FE171*VLOOKUP('Données projet'!$B$16,Paramètres!$A$1:$I$89,3,0)*VLOOKUP('Données projet'!$B$16,Paramètres!$A$1:$I$89,5,0)</f>
        <v>4.4337866711430253E-14</v>
      </c>
      <c r="FG171" s="14">
        <f t="shared" si="182"/>
        <v>7.3222115536967035E-13</v>
      </c>
      <c r="FH171" s="22">
        <f t="shared" si="183"/>
        <v>1.3525069634579169E-12</v>
      </c>
      <c r="FI171" s="60">
        <f t="shared" si="131"/>
        <v>288.48730819898589</v>
      </c>
      <c r="FJ171" s="60">
        <f ca="1">AVERAGE(OFFSET($FI$3,0,0,'Données projet'!$E$16+1,1))-AVERAGE(OFFSET($H$3,0,0,'Données projet'!$E$16+1,1))</f>
        <v>309.21625451786218</v>
      </c>
      <c r="FK171" s="60">
        <f t="shared" si="156"/>
        <v>302.59481222418219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>
        <f>FZ171*VLOOKUP('Données projet'!$B$17,Paramètres!$A$1:$I$89,3,0)*VLOOKUP('Données projet'!$B$17,Paramètres!$A$1:$I$89,5,0)</f>
        <v>0</v>
      </c>
      <c r="GB171" s="14" t="e">
        <f t="shared" si="185"/>
        <v>#NUM!</v>
      </c>
      <c r="GC171" s="22" t="e">
        <f t="shared" si="186"/>
        <v>#NUM!</v>
      </c>
      <c r="GD171" s="60" t="e">
        <f t="shared" si="134"/>
        <v>#NUM!</v>
      </c>
      <c r="GE171" s="60">
        <f ca="1">AVERAGE(OFFSET($GD$3,0,0,'Données projet'!$E$17+1,1))-AVERAGE(OFFSET($H$3,0,0,'Données projet'!$E$17+1,1))</f>
        <v>216.36762889365235</v>
      </c>
      <c r="GF171" s="60">
        <f t="shared" si="158"/>
        <v>333.29599352215496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0.8779016696434474</v>
      </c>
      <c r="GM171" s="23">
        <f>EXP(-LN(2)/25)*GM170+(1-EXP(-LN(2)/25))/(LN(2)/25)*Calculateur!GH171*Calculateur!GJ171*VLOOKUP('Données projet'!$B$17,Paramètres!$A$1:$I$89,3,0)*0.475*44/12</f>
        <v>0.21246770176732693</v>
      </c>
      <c r="GN171" s="23">
        <f>EXP(-LN(2)/2)*GN170+(1-EXP(-LN(2)/2))/(LN(2)/2)*GH171*GK171*VLOOKUP('Données projet'!$B$17,Paramètres!$A$1:$I$89,3,0)*0.475*44/12</f>
        <v>4.9541732222963261E-21</v>
      </c>
      <c r="GO171" s="23">
        <f t="shared" si="187"/>
        <v>1.0903693714107743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4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-9.3464223027694966E-13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496.33873798282525</v>
      </c>
      <c r="T172" s="60">
        <f t="shared" si="142"/>
        <v>280.25465074992246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3.4106051316484809E-13</v>
      </c>
      <c r="AJ172" s="14">
        <f>AI172*VLOOKUP('Données projet'!$B$10,Paramètres!$A$1:$I$89,3,0)*VLOOKUP('Données projet'!$B$10,Paramètres!$A$1:$I$89,5,0)</f>
        <v>1.5961632016114892E-13</v>
      </c>
      <c r="AK172" s="14">
        <f t="shared" si="164"/>
        <v>2.2708641912150958E-12</v>
      </c>
      <c r="AL172" s="22">
        <f t="shared" si="165"/>
        <v>4.2330868906469593E-12</v>
      </c>
      <c r="AM172" s="60">
        <f t="shared" si="113"/>
        <v>288.57137590098063</v>
      </c>
      <c r="AN172" s="60">
        <f ca="1">AVERAGE(OFFSET($AM$3,0,0,'Données projet'!$E$10+1,1))-AVERAGE(OFFSET($H$3,0,0,'Données projet'!$E$10+1,1))</f>
        <v>277.7918215389401</v>
      </c>
      <c r="AO172" s="60">
        <f t="shared" si="144"/>
        <v>164.65640238394164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-2.2737367544323206E-13</v>
      </c>
      <c r="BE172" s="14">
        <f>BD172*VLOOKUP('Données projet'!$B$11,Paramètres!$A$1:$I$89,3,0)*VLOOKUP('Données projet'!$B$11,Paramètres!$A$1:$I$89,5,0)</f>
        <v>-2.1636878955177963E-13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366.21371543563254</v>
      </c>
      <c r="BJ172" s="60">
        <f t="shared" si="146"/>
        <v>237.43356317334084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-5.1159076974727213E-13</v>
      </c>
      <c r="BZ172" s="14">
        <f>BY172*VLOOKUP('Données projet'!$B$12,Paramètres!$A$1:$I$89,3,0)*VLOOKUP('Données projet'!$B$12,Paramètres!$A$1:$I$89,5,0)</f>
        <v>-5.3471467253984886E-13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530.79860063513229</v>
      </c>
      <c r="CE172" s="60">
        <f t="shared" si="148"/>
        <v>302.50876440460434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-8.7434273154940449E-13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469.67944008675863</v>
      </c>
      <c r="CZ172" s="60">
        <f t="shared" si="150"/>
        <v>266.11908070867173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-9.6633812063373625E-13</v>
      </c>
      <c r="DP172" s="18">
        <f>DO172*VLOOKUP('Données projet'!$B$14,Paramètres!$A$1:$I$89,3,0)*VLOOKUP('Données projet'!$B$14,Paramètres!$A$1:$I$89,5,0)</f>
        <v>-1.0401663530501537E-12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542.90832990875208</v>
      </c>
      <c r="DU172" s="60">
        <f t="shared" si="152"/>
        <v>304.94365539329362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5.6843418860808015E-14</v>
      </c>
      <c r="EK172" s="18">
        <f>EJ172*VLOOKUP('Données projet'!$B$15,Paramètres!$A$1:$I$89,3,0)*VLOOKUP('Données projet'!$B$15,Paramètres!$A$1:$I$89,5,0)</f>
        <v>4.5224624045658861E-14</v>
      </c>
      <c r="EL172" s="14">
        <f t="shared" si="179"/>
        <v>7.4514601661523691E-13</v>
      </c>
      <c r="EM172" s="22">
        <f t="shared" si="180"/>
        <v>1.3765621991510601E-12</v>
      </c>
      <c r="EN172" s="60">
        <f t="shared" si="128"/>
        <v>288.57137590097778</v>
      </c>
      <c r="EO172" s="60">
        <f ca="1">AVERAGE(OFFSET($EN$3,0,0,'Données projet'!$E$15+1,1))-AVERAGE(OFFSET($H$3,0,0,'Données projet'!$E$15+1,1))</f>
        <v>273.72403794510291</v>
      </c>
      <c r="EP172" s="60">
        <f t="shared" si="154"/>
        <v>292.00185554564109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5.6843418860808015E-14</v>
      </c>
      <c r="FF172" s="18">
        <f>FE172*VLOOKUP('Données projet'!$B$16,Paramètres!$A$1:$I$89,3,0)*VLOOKUP('Données projet'!$B$16,Paramètres!$A$1:$I$89,5,0)</f>
        <v>4.4337866711430253E-14</v>
      </c>
      <c r="FG172" s="14">
        <f t="shared" si="182"/>
        <v>7.3222115536967035E-13</v>
      </c>
      <c r="FH172" s="22">
        <f t="shared" si="183"/>
        <v>1.3525069634579169E-12</v>
      </c>
      <c r="FI172" s="60">
        <f t="shared" si="131"/>
        <v>288.57137590097778</v>
      </c>
      <c r="FJ172" s="60">
        <f ca="1">AVERAGE(OFFSET($FI$3,0,0,'Données projet'!$E$16+1,1))-AVERAGE(OFFSET($H$3,0,0,'Données projet'!$E$16+1,1))</f>
        <v>309.21625451786218</v>
      </c>
      <c r="FK172" s="60">
        <f t="shared" si="156"/>
        <v>302.59481222418219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>
        <f>FZ172*VLOOKUP('Données projet'!$B$17,Paramètres!$A$1:$I$89,3,0)*VLOOKUP('Données projet'!$B$17,Paramètres!$A$1:$I$89,5,0)</f>
        <v>0</v>
      </c>
      <c r="GB172" s="14" t="e">
        <f t="shared" si="185"/>
        <v>#NUM!</v>
      </c>
      <c r="GC172" s="22" t="e">
        <f t="shared" si="186"/>
        <v>#NUM!</v>
      </c>
      <c r="GD172" s="60" t="e">
        <f t="shared" si="134"/>
        <v>#NUM!</v>
      </c>
      <c r="GE172" s="60">
        <f ca="1">AVERAGE(OFFSET($GD$3,0,0,'Données projet'!$E$17+1,1))-AVERAGE(OFFSET($H$3,0,0,'Données projet'!$E$17+1,1))</f>
        <v>216.36762889365235</v>
      </c>
      <c r="GF172" s="60">
        <f t="shared" si="158"/>
        <v>333.29599352215496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0.86068655336888489</v>
      </c>
      <c r="GM172" s="23">
        <f>EXP(-LN(2)/25)*GM171+(1-EXP(-LN(2)/25))/(LN(2)/25)*Calculateur!GH172*Calculateur!GJ172*VLOOKUP('Données projet'!$B$17,Paramètres!$A$1:$I$89,3,0)*0.475*44/12</f>
        <v>0.20665776128930854</v>
      </c>
      <c r="GN172" s="23">
        <f>EXP(-LN(2)/2)*GN171+(1-EXP(-LN(2)/2))/(LN(2)/2)*GH172*GK172*VLOOKUP('Données projet'!$B$17,Paramètres!$A$1:$I$89,3,0)*0.475*44/12</f>
        <v>3.5031294806585413E-21</v>
      </c>
      <c r="GO172" s="23">
        <f t="shared" si="187"/>
        <v>1.0673443146581933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4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-9.3464223027694966E-13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496.33873798282525</v>
      </c>
      <c r="T173" s="60">
        <f t="shared" si="142"/>
        <v>280.25465074992246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3.4106051316484809E-13</v>
      </c>
      <c r="AJ173" s="14">
        <f>AI173*VLOOKUP('Données projet'!$B$10,Paramètres!$A$1:$I$89,3,0)*VLOOKUP('Données projet'!$B$10,Paramètres!$A$1:$I$89,5,0)</f>
        <v>1.5961632016114892E-13</v>
      </c>
      <c r="AK173" s="14">
        <f t="shared" si="164"/>
        <v>2.2708641912150958E-12</v>
      </c>
      <c r="AL173" s="22">
        <f t="shared" si="165"/>
        <v>4.2330868906469593E-12</v>
      </c>
      <c r="AM173" s="60">
        <f t="shared" si="113"/>
        <v>288.6539852162901</v>
      </c>
      <c r="AN173" s="60">
        <f ca="1">AVERAGE(OFFSET($AM$3,0,0,'Données projet'!$E$10+1,1))-AVERAGE(OFFSET($H$3,0,0,'Données projet'!$E$10+1,1))</f>
        <v>277.7918215389401</v>
      </c>
      <c r="AO173" s="60">
        <f t="shared" si="144"/>
        <v>164.65640238394164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-2.2737367544323206E-13</v>
      </c>
      <c r="BE173" s="14">
        <f>BD173*VLOOKUP('Données projet'!$B$11,Paramètres!$A$1:$I$89,3,0)*VLOOKUP('Données projet'!$B$11,Paramètres!$A$1:$I$89,5,0)</f>
        <v>-2.1636878955177963E-13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366.21371543563254</v>
      </c>
      <c r="BJ173" s="60">
        <f t="shared" si="146"/>
        <v>237.43356317334084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-5.1159076974727213E-13</v>
      </c>
      <c r="BZ173" s="14">
        <f>BY173*VLOOKUP('Données projet'!$B$12,Paramètres!$A$1:$I$89,3,0)*VLOOKUP('Données projet'!$B$12,Paramètres!$A$1:$I$89,5,0)</f>
        <v>-5.3471467253984886E-13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530.79860063513229</v>
      </c>
      <c r="CE173" s="60">
        <f t="shared" si="148"/>
        <v>302.50876440460434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-8.7434273154940449E-13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469.67944008675863</v>
      </c>
      <c r="CZ173" s="60">
        <f t="shared" si="150"/>
        <v>266.11908070867173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-9.6633812063373625E-13</v>
      </c>
      <c r="DP173" s="18">
        <f>DO173*VLOOKUP('Données projet'!$B$14,Paramètres!$A$1:$I$89,3,0)*VLOOKUP('Données projet'!$B$14,Paramètres!$A$1:$I$89,5,0)</f>
        <v>-1.0401663530501537E-12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542.90832990875208</v>
      </c>
      <c r="DU173" s="60">
        <f t="shared" si="152"/>
        <v>304.94365539329362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5.6843418860808015E-14</v>
      </c>
      <c r="EK173" s="18">
        <f>EJ173*VLOOKUP('Données projet'!$B$15,Paramètres!$A$1:$I$89,3,0)*VLOOKUP('Données projet'!$B$15,Paramètres!$A$1:$I$89,5,0)</f>
        <v>4.5224624045658861E-14</v>
      </c>
      <c r="EL173" s="14">
        <f t="shared" si="179"/>
        <v>7.4514601661523691E-13</v>
      </c>
      <c r="EM173" s="22">
        <f t="shared" si="180"/>
        <v>1.3765621991510601E-12</v>
      </c>
      <c r="EN173" s="60">
        <f t="shared" si="128"/>
        <v>288.65398521628725</v>
      </c>
      <c r="EO173" s="60">
        <f ca="1">AVERAGE(OFFSET($EN$3,0,0,'Données projet'!$E$15+1,1))-AVERAGE(OFFSET($H$3,0,0,'Données projet'!$E$15+1,1))</f>
        <v>273.72403794510291</v>
      </c>
      <c r="EP173" s="60">
        <f t="shared" si="154"/>
        <v>292.00185554564109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5.6843418860808015E-14</v>
      </c>
      <c r="FF173" s="18">
        <f>FE173*VLOOKUP('Données projet'!$B$16,Paramètres!$A$1:$I$89,3,0)*VLOOKUP('Données projet'!$B$16,Paramètres!$A$1:$I$89,5,0)</f>
        <v>4.4337866711430253E-14</v>
      </c>
      <c r="FG173" s="14">
        <f t="shared" si="182"/>
        <v>7.3222115536967035E-13</v>
      </c>
      <c r="FH173" s="22">
        <f t="shared" si="183"/>
        <v>1.3525069634579169E-12</v>
      </c>
      <c r="FI173" s="60">
        <f t="shared" si="131"/>
        <v>288.65398521628725</v>
      </c>
      <c r="FJ173" s="60">
        <f ca="1">AVERAGE(OFFSET($FI$3,0,0,'Données projet'!$E$16+1,1))-AVERAGE(OFFSET($H$3,0,0,'Données projet'!$E$16+1,1))</f>
        <v>309.21625451786218</v>
      </c>
      <c r="FK173" s="60">
        <f t="shared" si="156"/>
        <v>302.59481222418219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>
        <f>FZ173*VLOOKUP('Données projet'!$B$17,Paramètres!$A$1:$I$89,3,0)*VLOOKUP('Données projet'!$B$17,Paramètres!$A$1:$I$89,5,0)</f>
        <v>0</v>
      </c>
      <c r="GB173" s="14" t="e">
        <f t="shared" si="185"/>
        <v>#NUM!</v>
      </c>
      <c r="GC173" s="22" t="e">
        <f t="shared" si="186"/>
        <v>#NUM!</v>
      </c>
      <c r="GD173" s="60" t="e">
        <f t="shared" si="134"/>
        <v>#NUM!</v>
      </c>
      <c r="GE173" s="60">
        <f ca="1">AVERAGE(OFFSET($GD$3,0,0,'Données projet'!$E$17+1,1))-AVERAGE(OFFSET($H$3,0,0,'Données projet'!$E$17+1,1))</f>
        <v>216.36762889365235</v>
      </c>
      <c r="GF173" s="60">
        <f t="shared" si="158"/>
        <v>333.29599352215496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0.84380901502428241</v>
      </c>
      <c r="GM173" s="23">
        <f>EXP(-LN(2)/25)*GM172+(1-EXP(-LN(2)/25))/(LN(2)/25)*Calculateur!GH173*Calculateur!GJ173*VLOOKUP('Données projet'!$B$17,Paramètres!$A$1:$I$89,3,0)*0.475*44/12</f>
        <v>0.20100669393919307</v>
      </c>
      <c r="GN173" s="23">
        <f>EXP(-LN(2)/2)*GN172+(1-EXP(-LN(2)/2))/(LN(2)/2)*GH173*GK173*VLOOKUP('Données projet'!$B$17,Paramètres!$A$1:$I$89,3,0)*0.475*44/12</f>
        <v>2.477086611148163E-21</v>
      </c>
      <c r="GO173" s="23">
        <f t="shared" si="187"/>
        <v>1.0448157089634755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4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-9.3464223027694966E-13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496.33873798282525</v>
      </c>
      <c r="T174" s="60">
        <f t="shared" si="142"/>
        <v>280.25465074992246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3.4106051316484809E-13</v>
      </c>
      <c r="AJ174" s="14">
        <f>AI174*VLOOKUP('Données projet'!$B$10,Paramètres!$A$1:$I$89,3,0)*VLOOKUP('Données projet'!$B$10,Paramètres!$A$1:$I$89,5,0)</f>
        <v>1.5961632016114892E-13</v>
      </c>
      <c r="AK174" s="14">
        <f t="shared" si="164"/>
        <v>2.2708641912150958E-12</v>
      </c>
      <c r="AL174" s="22">
        <f t="shared" si="165"/>
        <v>4.2330868906469593E-12</v>
      </c>
      <c r="AM174" s="60">
        <f t="shared" si="113"/>
        <v>288.73516144466572</v>
      </c>
      <c r="AN174" s="60">
        <f ca="1">AVERAGE(OFFSET($AM$3,0,0,'Données projet'!$E$10+1,1))-AVERAGE(OFFSET($H$3,0,0,'Données projet'!$E$10+1,1))</f>
        <v>277.7918215389401</v>
      </c>
      <c r="AO174" s="60">
        <f t="shared" si="144"/>
        <v>164.65640238394164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-2.2737367544323206E-13</v>
      </c>
      <c r="BE174" s="14">
        <f>BD174*VLOOKUP('Données projet'!$B$11,Paramètres!$A$1:$I$89,3,0)*VLOOKUP('Données projet'!$B$11,Paramètres!$A$1:$I$89,5,0)</f>
        <v>-2.1636878955177963E-13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366.21371543563254</v>
      </c>
      <c r="BJ174" s="60">
        <f t="shared" si="146"/>
        <v>237.43356317334084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-5.1159076974727213E-13</v>
      </c>
      <c r="BZ174" s="14">
        <f>BY174*VLOOKUP('Données projet'!$B$12,Paramètres!$A$1:$I$89,3,0)*VLOOKUP('Données projet'!$B$12,Paramètres!$A$1:$I$89,5,0)</f>
        <v>-5.3471467253984886E-13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530.79860063513229</v>
      </c>
      <c r="CE174" s="60">
        <f t="shared" si="148"/>
        <v>302.50876440460434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-8.7434273154940449E-13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469.67944008675863</v>
      </c>
      <c r="CZ174" s="60">
        <f t="shared" si="150"/>
        <v>266.11908070867173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-9.6633812063373625E-13</v>
      </c>
      <c r="DP174" s="18">
        <f>DO174*VLOOKUP('Données projet'!$B$14,Paramètres!$A$1:$I$89,3,0)*VLOOKUP('Données projet'!$B$14,Paramètres!$A$1:$I$89,5,0)</f>
        <v>-1.0401663530501537E-12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542.90832990875208</v>
      </c>
      <c r="DU174" s="60">
        <f t="shared" si="152"/>
        <v>304.94365539329362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5.6843418860808015E-14</v>
      </c>
      <c r="EK174" s="18">
        <f>EJ174*VLOOKUP('Données projet'!$B$15,Paramètres!$A$1:$I$89,3,0)*VLOOKUP('Données projet'!$B$15,Paramètres!$A$1:$I$89,5,0)</f>
        <v>4.5224624045658861E-14</v>
      </c>
      <c r="EL174" s="14">
        <f t="shared" si="179"/>
        <v>7.4514601661523691E-13</v>
      </c>
      <c r="EM174" s="22">
        <f t="shared" si="180"/>
        <v>1.3765621991510601E-12</v>
      </c>
      <c r="EN174" s="60">
        <f t="shared" si="128"/>
        <v>288.73516144466288</v>
      </c>
      <c r="EO174" s="60">
        <f ca="1">AVERAGE(OFFSET($EN$3,0,0,'Données projet'!$E$15+1,1))-AVERAGE(OFFSET($H$3,0,0,'Données projet'!$E$15+1,1))</f>
        <v>273.72403794510291</v>
      </c>
      <c r="EP174" s="60">
        <f t="shared" si="154"/>
        <v>292.00185554564109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5.6843418860808015E-14</v>
      </c>
      <c r="FF174" s="18">
        <f>FE174*VLOOKUP('Données projet'!$B$16,Paramètres!$A$1:$I$89,3,0)*VLOOKUP('Données projet'!$B$16,Paramètres!$A$1:$I$89,5,0)</f>
        <v>4.4337866711430253E-14</v>
      </c>
      <c r="FG174" s="14">
        <f t="shared" si="182"/>
        <v>7.3222115536967035E-13</v>
      </c>
      <c r="FH174" s="22">
        <f t="shared" si="183"/>
        <v>1.3525069634579169E-12</v>
      </c>
      <c r="FI174" s="60">
        <f t="shared" si="131"/>
        <v>288.73516144466288</v>
      </c>
      <c r="FJ174" s="60">
        <f ca="1">AVERAGE(OFFSET($FI$3,0,0,'Données projet'!$E$16+1,1))-AVERAGE(OFFSET($H$3,0,0,'Données projet'!$E$16+1,1))</f>
        <v>309.21625451786218</v>
      </c>
      <c r="FK174" s="60">
        <f t="shared" si="156"/>
        <v>302.59481222418219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>
        <f>FZ174*VLOOKUP('Données projet'!$B$17,Paramètres!$A$1:$I$89,3,0)*VLOOKUP('Données projet'!$B$17,Paramètres!$A$1:$I$89,5,0)</f>
        <v>0</v>
      </c>
      <c r="GB174" s="14" t="e">
        <f t="shared" si="185"/>
        <v>#NUM!</v>
      </c>
      <c r="GC174" s="22" t="e">
        <f t="shared" si="186"/>
        <v>#NUM!</v>
      </c>
      <c r="GD174" s="60" t="e">
        <f t="shared" si="134"/>
        <v>#NUM!</v>
      </c>
      <c r="GE174" s="60">
        <f ca="1">AVERAGE(OFFSET($GD$3,0,0,'Données projet'!$E$17+1,1))-AVERAGE(OFFSET($H$3,0,0,'Données projet'!$E$17+1,1))</f>
        <v>216.36762889365235</v>
      </c>
      <c r="GF174" s="60">
        <f t="shared" si="158"/>
        <v>333.29599352215496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0.82726243491233564</v>
      </c>
      <c r="GM174" s="23">
        <f>EXP(-LN(2)/25)*GM173+(1-EXP(-LN(2)/25))/(LN(2)/25)*Calculateur!GH174*Calculateur!GJ174*VLOOKUP('Données projet'!$B$17,Paramètres!$A$1:$I$89,3,0)*0.475*44/12</f>
        <v>0.19551015532294322</v>
      </c>
      <c r="GN174" s="23">
        <f>EXP(-LN(2)/2)*GN173+(1-EXP(-LN(2)/2))/(LN(2)/2)*GH174*GK174*VLOOKUP('Données projet'!$B$17,Paramètres!$A$1:$I$89,3,0)*0.475*44/12</f>
        <v>1.7515647403292706E-21</v>
      </c>
      <c r="GO174" s="23">
        <f t="shared" si="187"/>
        <v>1.0227725902352789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4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-9.3464223027694966E-13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496.33873798282525</v>
      </c>
      <c r="T175" s="60">
        <f t="shared" si="142"/>
        <v>280.25465074992246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3.4106051316484809E-13</v>
      </c>
      <c r="AJ175" s="14">
        <f>AI175*VLOOKUP('Données projet'!$B$10,Paramètres!$A$1:$I$89,3,0)*VLOOKUP('Données projet'!$B$10,Paramètres!$A$1:$I$89,5,0)</f>
        <v>1.5961632016114892E-13</v>
      </c>
      <c r="AK175" s="14">
        <f t="shared" si="164"/>
        <v>2.2708641912150958E-12</v>
      </c>
      <c r="AL175" s="22">
        <f t="shared" si="165"/>
        <v>4.2330868906469593E-12</v>
      </c>
      <c r="AM175" s="60">
        <f t="shared" si="113"/>
        <v>288.81492944696186</v>
      </c>
      <c r="AN175" s="60">
        <f ca="1">AVERAGE(OFFSET($AM$3,0,0,'Données projet'!$E$10+1,1))-AVERAGE(OFFSET($H$3,0,0,'Données projet'!$E$10+1,1))</f>
        <v>277.7918215389401</v>
      </c>
      <c r="AO175" s="60">
        <f t="shared" si="144"/>
        <v>164.65640238394164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-2.2737367544323206E-13</v>
      </c>
      <c r="BE175" s="14">
        <f>BD175*VLOOKUP('Données projet'!$B$11,Paramètres!$A$1:$I$89,3,0)*VLOOKUP('Données projet'!$B$11,Paramètres!$A$1:$I$89,5,0)</f>
        <v>-2.1636878955177963E-13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366.21371543563254</v>
      </c>
      <c r="BJ175" s="60">
        <f t="shared" si="146"/>
        <v>237.43356317334084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-5.1159076974727213E-13</v>
      </c>
      <c r="BZ175" s="14">
        <f>BY175*VLOOKUP('Données projet'!$B$12,Paramètres!$A$1:$I$89,3,0)*VLOOKUP('Données projet'!$B$12,Paramètres!$A$1:$I$89,5,0)</f>
        <v>-5.3471467253984886E-13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530.79860063513229</v>
      </c>
      <c r="CE175" s="60">
        <f t="shared" si="148"/>
        <v>302.50876440460434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-8.7434273154940449E-13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469.67944008675863</v>
      </c>
      <c r="CZ175" s="60">
        <f t="shared" si="150"/>
        <v>266.11908070867173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-9.6633812063373625E-13</v>
      </c>
      <c r="DP175" s="18">
        <f>DO175*VLOOKUP('Données projet'!$B$14,Paramètres!$A$1:$I$89,3,0)*VLOOKUP('Données projet'!$B$14,Paramètres!$A$1:$I$89,5,0)</f>
        <v>-1.0401663530501537E-12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542.90832990875208</v>
      </c>
      <c r="DU175" s="60">
        <f t="shared" si="152"/>
        <v>304.94365539329362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5.6843418860808015E-14</v>
      </c>
      <c r="EK175" s="18">
        <f>EJ175*VLOOKUP('Données projet'!$B$15,Paramètres!$A$1:$I$89,3,0)*VLOOKUP('Données projet'!$B$15,Paramètres!$A$1:$I$89,5,0)</f>
        <v>4.5224624045658861E-14</v>
      </c>
      <c r="EL175" s="14">
        <f t="shared" si="179"/>
        <v>7.4514601661523691E-13</v>
      </c>
      <c r="EM175" s="22">
        <f t="shared" si="180"/>
        <v>1.3765621991510601E-12</v>
      </c>
      <c r="EN175" s="60">
        <f t="shared" si="128"/>
        <v>288.81492944695901</v>
      </c>
      <c r="EO175" s="60">
        <f ca="1">AVERAGE(OFFSET($EN$3,0,0,'Données projet'!$E$15+1,1))-AVERAGE(OFFSET($H$3,0,0,'Données projet'!$E$15+1,1))</f>
        <v>273.72403794510291</v>
      </c>
      <c r="EP175" s="60">
        <f t="shared" si="154"/>
        <v>292.00185554564109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5.6843418860808015E-14</v>
      </c>
      <c r="FF175" s="18">
        <f>FE175*VLOOKUP('Données projet'!$B$16,Paramètres!$A$1:$I$89,3,0)*VLOOKUP('Données projet'!$B$16,Paramètres!$A$1:$I$89,5,0)</f>
        <v>4.4337866711430253E-14</v>
      </c>
      <c r="FG175" s="14">
        <f t="shared" si="182"/>
        <v>7.3222115536967035E-13</v>
      </c>
      <c r="FH175" s="22">
        <f t="shared" si="183"/>
        <v>1.3525069634579169E-12</v>
      </c>
      <c r="FI175" s="60">
        <f t="shared" si="131"/>
        <v>288.81492944695901</v>
      </c>
      <c r="FJ175" s="60">
        <f ca="1">AVERAGE(OFFSET($FI$3,0,0,'Données projet'!$E$16+1,1))-AVERAGE(OFFSET($H$3,0,0,'Données projet'!$E$16+1,1))</f>
        <v>309.21625451786218</v>
      </c>
      <c r="FK175" s="60">
        <f t="shared" si="156"/>
        <v>302.59481222418219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>
        <f>FZ175*VLOOKUP('Données projet'!$B$17,Paramètres!$A$1:$I$89,3,0)*VLOOKUP('Données projet'!$B$17,Paramètres!$A$1:$I$89,5,0)</f>
        <v>0</v>
      </c>
      <c r="GB175" s="14" t="e">
        <f t="shared" si="185"/>
        <v>#NUM!</v>
      </c>
      <c r="GC175" s="22" t="e">
        <f t="shared" si="186"/>
        <v>#NUM!</v>
      </c>
      <c r="GD175" s="60" t="e">
        <f t="shared" si="134"/>
        <v>#NUM!</v>
      </c>
      <c r="GE175" s="60">
        <f ca="1">AVERAGE(OFFSET($GD$3,0,0,'Données projet'!$E$17+1,1))-AVERAGE(OFFSET($H$3,0,0,'Données projet'!$E$17+1,1))</f>
        <v>216.36762889365235</v>
      </c>
      <c r="GF175" s="60">
        <f t="shared" si="158"/>
        <v>333.29599352215496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0.8110403231439669</v>
      </c>
      <c r="GM175" s="23">
        <f>EXP(-LN(2)/25)*GM174+(1-EXP(-LN(2)/25))/(LN(2)/25)*Calculateur!GH175*Calculateur!GJ175*VLOOKUP('Données projet'!$B$17,Paramètres!$A$1:$I$89,3,0)*0.475*44/12</f>
        <v>0.19016391984420511</v>
      </c>
      <c r="GN175" s="23">
        <f>EXP(-LN(2)/2)*GN174+(1-EXP(-LN(2)/2))/(LN(2)/2)*GH175*GK175*VLOOKUP('Données projet'!$B$17,Paramètres!$A$1:$I$89,3,0)*0.475*44/12</f>
        <v>1.2385433055740815E-21</v>
      </c>
      <c r="GO175" s="23">
        <f t="shared" si="187"/>
        <v>1.001204242988172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4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-9.3464223027694966E-13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496.33873798282525</v>
      </c>
      <c r="T176" s="60">
        <f t="shared" si="142"/>
        <v>280.25465074992246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3.4106051316484809E-13</v>
      </c>
      <c r="AJ176" s="14">
        <f>AI176*VLOOKUP('Données projet'!$B$10,Paramètres!$A$1:$I$89,3,0)*VLOOKUP('Données projet'!$B$10,Paramètres!$A$1:$I$89,5,0)</f>
        <v>1.5961632016114892E-13</v>
      </c>
      <c r="AK176" s="14">
        <f t="shared" si="164"/>
        <v>2.2708641912150958E-12</v>
      </c>
      <c r="AL176" s="22">
        <f t="shared" si="165"/>
        <v>4.2330868906469593E-12</v>
      </c>
      <c r="AM176" s="60">
        <f t="shared" si="113"/>
        <v>288.89331365275268</v>
      </c>
      <c r="AN176" s="60">
        <f ca="1">AVERAGE(OFFSET($AM$3,0,0,'Données projet'!$E$10+1,1))-AVERAGE(OFFSET($H$3,0,0,'Données projet'!$E$10+1,1))</f>
        <v>277.7918215389401</v>
      </c>
      <c r="AO176" s="60">
        <f t="shared" si="144"/>
        <v>164.65640238394164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-2.2737367544323206E-13</v>
      </c>
      <c r="BE176" s="14">
        <f>BD176*VLOOKUP('Données projet'!$B$11,Paramètres!$A$1:$I$89,3,0)*VLOOKUP('Données projet'!$B$11,Paramètres!$A$1:$I$89,5,0)</f>
        <v>-2.1636878955177963E-13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366.21371543563254</v>
      </c>
      <c r="BJ176" s="60">
        <f t="shared" si="146"/>
        <v>237.43356317334084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-5.1159076974727213E-13</v>
      </c>
      <c r="BZ176" s="14">
        <f>BY176*VLOOKUP('Données projet'!$B$12,Paramètres!$A$1:$I$89,3,0)*VLOOKUP('Données projet'!$B$12,Paramètres!$A$1:$I$89,5,0)</f>
        <v>-5.3471467253984886E-13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530.79860063513229</v>
      </c>
      <c r="CE176" s="60">
        <f t="shared" si="148"/>
        <v>302.50876440460434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-8.7434273154940449E-13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469.67944008675863</v>
      </c>
      <c r="CZ176" s="60">
        <f t="shared" si="150"/>
        <v>266.11908070867173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-9.6633812063373625E-13</v>
      </c>
      <c r="DP176" s="18">
        <f>DO176*VLOOKUP('Données projet'!$B$14,Paramètres!$A$1:$I$89,3,0)*VLOOKUP('Données projet'!$B$14,Paramètres!$A$1:$I$89,5,0)</f>
        <v>-1.0401663530501537E-12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542.90832990875208</v>
      </c>
      <c r="DU176" s="60">
        <f t="shared" si="152"/>
        <v>304.94365539329362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5.6843418860808015E-14</v>
      </c>
      <c r="EK176" s="18">
        <f>EJ176*VLOOKUP('Données projet'!$B$15,Paramètres!$A$1:$I$89,3,0)*VLOOKUP('Données projet'!$B$15,Paramètres!$A$1:$I$89,5,0)</f>
        <v>4.5224624045658861E-14</v>
      </c>
      <c r="EL176" s="14">
        <f t="shared" si="179"/>
        <v>7.4514601661523691E-13</v>
      </c>
      <c r="EM176" s="22">
        <f t="shared" si="180"/>
        <v>1.3765621991510601E-12</v>
      </c>
      <c r="EN176" s="60">
        <f t="shared" si="128"/>
        <v>288.89331365274984</v>
      </c>
      <c r="EO176" s="60">
        <f ca="1">AVERAGE(OFFSET($EN$3,0,0,'Données projet'!$E$15+1,1))-AVERAGE(OFFSET($H$3,0,0,'Données projet'!$E$15+1,1))</f>
        <v>273.72403794510291</v>
      </c>
      <c r="EP176" s="60">
        <f t="shared" si="154"/>
        <v>292.00185554564109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5.6843418860808015E-14</v>
      </c>
      <c r="FF176" s="18">
        <f>FE176*VLOOKUP('Données projet'!$B$16,Paramètres!$A$1:$I$89,3,0)*VLOOKUP('Données projet'!$B$16,Paramètres!$A$1:$I$89,5,0)</f>
        <v>4.4337866711430253E-14</v>
      </c>
      <c r="FG176" s="14">
        <f t="shared" si="182"/>
        <v>7.3222115536967035E-13</v>
      </c>
      <c r="FH176" s="22">
        <f t="shared" si="183"/>
        <v>1.3525069634579169E-12</v>
      </c>
      <c r="FI176" s="60">
        <f t="shared" si="131"/>
        <v>288.89331365274984</v>
      </c>
      <c r="FJ176" s="60">
        <f ca="1">AVERAGE(OFFSET($FI$3,0,0,'Données projet'!$E$16+1,1))-AVERAGE(OFFSET($H$3,0,0,'Données projet'!$E$16+1,1))</f>
        <v>309.21625451786218</v>
      </c>
      <c r="FK176" s="60">
        <f t="shared" si="156"/>
        <v>302.59481222418219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>
        <f>FZ176*VLOOKUP('Données projet'!$B$17,Paramètres!$A$1:$I$89,3,0)*VLOOKUP('Données projet'!$B$17,Paramètres!$A$1:$I$89,5,0)</f>
        <v>0</v>
      </c>
      <c r="GB176" s="14" t="e">
        <f t="shared" si="185"/>
        <v>#NUM!</v>
      </c>
      <c r="GC176" s="22" t="e">
        <f t="shared" si="186"/>
        <v>#NUM!</v>
      </c>
      <c r="GD176" s="60" t="e">
        <f t="shared" si="134"/>
        <v>#NUM!</v>
      </c>
      <c r="GE176" s="60">
        <f ca="1">AVERAGE(OFFSET($GD$3,0,0,'Données projet'!$E$17+1,1))-AVERAGE(OFFSET($H$3,0,0,'Données projet'!$E$17+1,1))</f>
        <v>216.36762889365235</v>
      </c>
      <c r="GF176" s="60">
        <f t="shared" si="158"/>
        <v>333.29599352215496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0.7951363170928647</v>
      </c>
      <c r="GM176" s="23">
        <f>EXP(-LN(2)/25)*GM175+(1-EXP(-LN(2)/25))/(LN(2)/25)*Calculateur!GH176*Calculateur!GJ176*VLOOKUP('Données projet'!$B$17,Paramètres!$A$1:$I$89,3,0)*0.475*44/12</f>
        <v>0.18496387745577941</v>
      </c>
      <c r="GN176" s="23">
        <f>EXP(-LN(2)/2)*GN175+(1-EXP(-LN(2)/2))/(LN(2)/2)*GH176*GK176*VLOOKUP('Données projet'!$B$17,Paramètres!$A$1:$I$89,3,0)*0.475*44/12</f>
        <v>8.7578237016463531E-22</v>
      </c>
      <c r="GO176" s="23">
        <f t="shared" si="187"/>
        <v>0.98010019454864405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4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-9.3464223027694966E-13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496.33873798282525</v>
      </c>
      <c r="T177" s="60">
        <f t="shared" si="142"/>
        <v>280.25465074992246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3.4106051316484809E-13</v>
      </c>
      <c r="AJ177" s="14">
        <f>AI177*VLOOKUP('Données projet'!$B$10,Paramètres!$A$1:$I$89,3,0)*VLOOKUP('Données projet'!$B$10,Paramètres!$A$1:$I$89,5,0)</f>
        <v>1.5961632016114892E-13</v>
      </c>
      <c r="AK177" s="14">
        <f t="shared" si="164"/>
        <v>2.2708641912150958E-12</v>
      </c>
      <c r="AL177" s="22">
        <f t="shared" si="165"/>
        <v>4.2330868906469593E-12</v>
      </c>
      <c r="AM177" s="60">
        <f t="shared" si="113"/>
        <v>288.97033806781394</v>
      </c>
      <c r="AN177" s="60">
        <f ca="1">AVERAGE(OFFSET($AM$3,0,0,'Données projet'!$E$10+1,1))-AVERAGE(OFFSET($H$3,0,0,'Données projet'!$E$10+1,1))</f>
        <v>277.7918215389401</v>
      </c>
      <c r="AO177" s="60">
        <f t="shared" si="144"/>
        <v>164.65640238394164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-2.2737367544323206E-13</v>
      </c>
      <c r="BE177" s="14">
        <f>BD177*VLOOKUP('Données projet'!$B$11,Paramètres!$A$1:$I$89,3,0)*VLOOKUP('Données projet'!$B$11,Paramètres!$A$1:$I$89,5,0)</f>
        <v>-2.1636878955177963E-13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366.21371543563254</v>
      </c>
      <c r="BJ177" s="60">
        <f t="shared" si="146"/>
        <v>237.43356317334084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-5.1159076974727213E-13</v>
      </c>
      <c r="BZ177" s="14">
        <f>BY177*VLOOKUP('Données projet'!$B$12,Paramètres!$A$1:$I$89,3,0)*VLOOKUP('Données projet'!$B$12,Paramètres!$A$1:$I$89,5,0)</f>
        <v>-5.3471467253984886E-13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530.79860063513229</v>
      </c>
      <c r="CE177" s="60">
        <f t="shared" si="148"/>
        <v>302.50876440460434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-8.7434273154940449E-13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469.67944008675863</v>
      </c>
      <c r="CZ177" s="60">
        <f t="shared" si="150"/>
        <v>266.11908070867173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-9.6633812063373625E-13</v>
      </c>
      <c r="DP177" s="18">
        <f>DO177*VLOOKUP('Données projet'!$B$14,Paramètres!$A$1:$I$89,3,0)*VLOOKUP('Données projet'!$B$14,Paramètres!$A$1:$I$89,5,0)</f>
        <v>-1.0401663530501537E-12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542.90832990875208</v>
      </c>
      <c r="DU177" s="60">
        <f t="shared" si="152"/>
        <v>304.94365539329362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5.6843418860808015E-14</v>
      </c>
      <c r="EK177" s="18">
        <f>EJ177*VLOOKUP('Données projet'!$B$15,Paramètres!$A$1:$I$89,3,0)*VLOOKUP('Données projet'!$B$15,Paramètres!$A$1:$I$89,5,0)</f>
        <v>4.5224624045658861E-14</v>
      </c>
      <c r="EL177" s="14">
        <f t="shared" si="179"/>
        <v>7.4514601661523691E-13</v>
      </c>
      <c r="EM177" s="22">
        <f t="shared" si="180"/>
        <v>1.3765621991510601E-12</v>
      </c>
      <c r="EN177" s="60">
        <f t="shared" si="128"/>
        <v>288.9703380678111</v>
      </c>
      <c r="EO177" s="60">
        <f ca="1">AVERAGE(OFFSET($EN$3,0,0,'Données projet'!$E$15+1,1))-AVERAGE(OFFSET($H$3,0,0,'Données projet'!$E$15+1,1))</f>
        <v>273.72403794510291</v>
      </c>
      <c r="EP177" s="60">
        <f t="shared" si="154"/>
        <v>292.00185554564109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5.6843418860808015E-14</v>
      </c>
      <c r="FF177" s="18">
        <f>FE177*VLOOKUP('Données projet'!$B$16,Paramètres!$A$1:$I$89,3,0)*VLOOKUP('Données projet'!$B$16,Paramètres!$A$1:$I$89,5,0)</f>
        <v>4.4337866711430253E-14</v>
      </c>
      <c r="FG177" s="14">
        <f t="shared" si="182"/>
        <v>7.3222115536967035E-13</v>
      </c>
      <c r="FH177" s="22">
        <f t="shared" si="183"/>
        <v>1.3525069634579169E-12</v>
      </c>
      <c r="FI177" s="60">
        <f t="shared" si="131"/>
        <v>288.9703380678111</v>
      </c>
      <c r="FJ177" s="60">
        <f ca="1">AVERAGE(OFFSET($FI$3,0,0,'Données projet'!$E$16+1,1))-AVERAGE(OFFSET($H$3,0,0,'Données projet'!$E$16+1,1))</f>
        <v>309.21625451786218</v>
      </c>
      <c r="FK177" s="60">
        <f t="shared" si="156"/>
        <v>302.59481222418219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>
        <f>FZ177*VLOOKUP('Données projet'!$B$17,Paramètres!$A$1:$I$89,3,0)*VLOOKUP('Données projet'!$B$17,Paramètres!$A$1:$I$89,5,0)</f>
        <v>0</v>
      </c>
      <c r="GB177" s="14" t="e">
        <f t="shared" si="185"/>
        <v>#NUM!</v>
      </c>
      <c r="GC177" s="22" t="e">
        <f t="shared" si="186"/>
        <v>#NUM!</v>
      </c>
      <c r="GD177" s="60" t="e">
        <f t="shared" si="134"/>
        <v>#NUM!</v>
      </c>
      <c r="GE177" s="60">
        <f ca="1">AVERAGE(OFFSET($GD$3,0,0,'Données projet'!$E$17+1,1))-AVERAGE(OFFSET($H$3,0,0,'Données projet'!$E$17+1,1))</f>
        <v>216.36762889365235</v>
      </c>
      <c r="GF177" s="60">
        <f t="shared" si="158"/>
        <v>333.29599352215496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0.77954417889993877</v>
      </c>
      <c r="GM177" s="23">
        <f>EXP(-LN(2)/25)*GM176+(1-EXP(-LN(2)/25))/(LN(2)/25)*Calculateur!GH177*Calculateur!GJ177*VLOOKUP('Données projet'!$B$17,Paramètres!$A$1:$I$89,3,0)*0.475*44/12</f>
        <v>0.17990603049992354</v>
      </c>
      <c r="GN177" s="23">
        <f>EXP(-LN(2)/2)*GN176+(1-EXP(-LN(2)/2))/(LN(2)/2)*GH177*GK177*VLOOKUP('Données projet'!$B$17,Paramètres!$A$1:$I$89,3,0)*0.475*44/12</f>
        <v>6.1927165278704076E-22</v>
      </c>
      <c r="GO177" s="23">
        <f t="shared" si="187"/>
        <v>0.95945020939986225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4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-9.3464223027694966E-13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496.33873798282525</v>
      </c>
      <c r="T178" s="60">
        <f t="shared" si="142"/>
        <v>280.25465074992246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3.4106051316484809E-13</v>
      </c>
      <c r="AJ178" s="14">
        <f>AI178*VLOOKUP('Données projet'!$B$10,Paramètres!$A$1:$I$89,3,0)*VLOOKUP('Données projet'!$B$10,Paramètres!$A$1:$I$89,5,0)</f>
        <v>1.5961632016114892E-13</v>
      </c>
      <c r="AK178" s="14">
        <f t="shared" si="164"/>
        <v>2.2708641912150958E-12</v>
      </c>
      <c r="AL178" s="22">
        <f t="shared" si="165"/>
        <v>4.2330868906469593E-12</v>
      </c>
      <c r="AM178" s="60">
        <f t="shared" si="113"/>
        <v>289.04602628147461</v>
      </c>
      <c r="AN178" s="60">
        <f ca="1">AVERAGE(OFFSET($AM$3,0,0,'Données projet'!$E$10+1,1))-AVERAGE(OFFSET($H$3,0,0,'Données projet'!$E$10+1,1))</f>
        <v>277.7918215389401</v>
      </c>
      <c r="AO178" s="60">
        <f t="shared" si="144"/>
        <v>164.65640238394164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-2.2737367544323206E-13</v>
      </c>
      <c r="BE178" s="14">
        <f>BD178*VLOOKUP('Données projet'!$B$11,Paramètres!$A$1:$I$89,3,0)*VLOOKUP('Données projet'!$B$11,Paramètres!$A$1:$I$89,5,0)</f>
        <v>-2.1636878955177963E-13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366.21371543563254</v>
      </c>
      <c r="BJ178" s="60">
        <f t="shared" si="146"/>
        <v>237.43356317334084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-5.1159076974727213E-13</v>
      </c>
      <c r="BZ178" s="14">
        <f>BY178*VLOOKUP('Données projet'!$B$12,Paramètres!$A$1:$I$89,3,0)*VLOOKUP('Données projet'!$B$12,Paramètres!$A$1:$I$89,5,0)</f>
        <v>-5.3471467253984886E-13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530.79860063513229</v>
      </c>
      <c r="CE178" s="60">
        <f t="shared" si="148"/>
        <v>302.50876440460434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-8.7434273154940449E-13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469.67944008675863</v>
      </c>
      <c r="CZ178" s="60">
        <f t="shared" si="150"/>
        <v>266.11908070867173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-9.6633812063373625E-13</v>
      </c>
      <c r="DP178" s="18">
        <f>DO178*VLOOKUP('Données projet'!$B$14,Paramètres!$A$1:$I$89,3,0)*VLOOKUP('Données projet'!$B$14,Paramètres!$A$1:$I$89,5,0)</f>
        <v>-1.0401663530501537E-12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542.90832990875208</v>
      </c>
      <c r="DU178" s="60">
        <f t="shared" si="152"/>
        <v>304.94365539329362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5.6843418860808015E-14</v>
      </c>
      <c r="EK178" s="18">
        <f>EJ178*VLOOKUP('Données projet'!$B$15,Paramètres!$A$1:$I$89,3,0)*VLOOKUP('Données projet'!$B$15,Paramètres!$A$1:$I$89,5,0)</f>
        <v>4.5224624045658861E-14</v>
      </c>
      <c r="EL178" s="14">
        <f t="shared" si="179"/>
        <v>7.4514601661523691E-13</v>
      </c>
      <c r="EM178" s="22">
        <f t="shared" si="180"/>
        <v>1.3765621991510601E-12</v>
      </c>
      <c r="EN178" s="60">
        <f t="shared" si="128"/>
        <v>289.04602628147177</v>
      </c>
      <c r="EO178" s="60">
        <f ca="1">AVERAGE(OFFSET($EN$3,0,0,'Données projet'!$E$15+1,1))-AVERAGE(OFFSET($H$3,0,0,'Données projet'!$E$15+1,1))</f>
        <v>273.72403794510291</v>
      </c>
      <c r="EP178" s="60">
        <f t="shared" si="154"/>
        <v>292.00185554564109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5.6843418860808015E-14</v>
      </c>
      <c r="FF178" s="18">
        <f>FE178*VLOOKUP('Données projet'!$B$16,Paramètres!$A$1:$I$89,3,0)*VLOOKUP('Données projet'!$B$16,Paramètres!$A$1:$I$89,5,0)</f>
        <v>4.4337866711430253E-14</v>
      </c>
      <c r="FG178" s="14">
        <f t="shared" si="182"/>
        <v>7.3222115536967035E-13</v>
      </c>
      <c r="FH178" s="22">
        <f t="shared" si="183"/>
        <v>1.3525069634579169E-12</v>
      </c>
      <c r="FI178" s="60">
        <f t="shared" si="131"/>
        <v>289.04602628147177</v>
      </c>
      <c r="FJ178" s="60">
        <f ca="1">AVERAGE(OFFSET($FI$3,0,0,'Données projet'!$E$16+1,1))-AVERAGE(OFFSET($H$3,0,0,'Données projet'!$E$16+1,1))</f>
        <v>309.21625451786218</v>
      </c>
      <c r="FK178" s="60">
        <f t="shared" si="156"/>
        <v>302.59481222418219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>
        <f>FZ178*VLOOKUP('Données projet'!$B$17,Paramètres!$A$1:$I$89,3,0)*VLOOKUP('Données projet'!$B$17,Paramètres!$A$1:$I$89,5,0)</f>
        <v>0</v>
      </c>
      <c r="GB178" s="14" t="e">
        <f t="shared" si="185"/>
        <v>#NUM!</v>
      </c>
      <c r="GC178" s="22" t="e">
        <f t="shared" si="186"/>
        <v>#NUM!</v>
      </c>
      <c r="GD178" s="60" t="e">
        <f t="shared" si="134"/>
        <v>#NUM!</v>
      </c>
      <c r="GE178" s="60">
        <f ca="1">AVERAGE(OFFSET($GD$3,0,0,'Données projet'!$E$17+1,1))-AVERAGE(OFFSET($H$3,0,0,'Données projet'!$E$17+1,1))</f>
        <v>216.36762889365235</v>
      </c>
      <c r="GF178" s="60">
        <f t="shared" si="158"/>
        <v>333.29599352215496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0.76425779302671082</v>
      </c>
      <c r="GM178" s="23">
        <f>EXP(-LN(2)/25)*GM177+(1-EXP(-LN(2)/25))/(LN(2)/25)*Calculateur!GH178*Calculateur!GJ178*VLOOKUP('Données projet'!$B$17,Paramètres!$A$1:$I$89,3,0)*0.475*44/12</f>
        <v>0.17498649063505617</v>
      </c>
      <c r="GN178" s="23">
        <f>EXP(-LN(2)/2)*GN177+(1-EXP(-LN(2)/2))/(LN(2)/2)*GH178*GK178*VLOOKUP('Données projet'!$B$17,Paramètres!$A$1:$I$89,3,0)*0.475*44/12</f>
        <v>4.3789118508231766E-22</v>
      </c>
      <c r="GO178" s="23">
        <f t="shared" si="187"/>
        <v>0.93924428366176693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4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-9.3464223027694966E-13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496.33873798282525</v>
      </c>
      <c r="T179" s="60">
        <f t="shared" si="142"/>
        <v>280.25465074992246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3.4106051316484809E-13</v>
      </c>
      <c r="AJ179" s="14">
        <f>AI179*VLOOKUP('Données projet'!$B$10,Paramètres!$A$1:$I$89,3,0)*VLOOKUP('Données projet'!$B$10,Paramètres!$A$1:$I$89,5,0)</f>
        <v>1.5961632016114892E-13</v>
      </c>
      <c r="AK179" s="14">
        <f t="shared" si="164"/>
        <v>2.2708641912150958E-12</v>
      </c>
      <c r="AL179" s="22">
        <f t="shared" si="165"/>
        <v>4.2330868906469593E-12</v>
      </c>
      <c r="AM179" s="60">
        <f t="shared" si="113"/>
        <v>289.12040147384181</v>
      </c>
      <c r="AN179" s="60">
        <f ca="1">AVERAGE(OFFSET($AM$3,0,0,'Données projet'!$E$10+1,1))-AVERAGE(OFFSET($H$3,0,0,'Données projet'!$E$10+1,1))</f>
        <v>277.7918215389401</v>
      </c>
      <c r="AO179" s="60">
        <f t="shared" si="144"/>
        <v>164.65640238394164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-2.2737367544323206E-13</v>
      </c>
      <c r="BE179" s="14">
        <f>BD179*VLOOKUP('Données projet'!$B$11,Paramètres!$A$1:$I$89,3,0)*VLOOKUP('Données projet'!$B$11,Paramètres!$A$1:$I$89,5,0)</f>
        <v>-2.1636878955177963E-13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366.21371543563254</v>
      </c>
      <c r="BJ179" s="60">
        <f t="shared" si="146"/>
        <v>237.43356317334084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-5.1159076974727213E-13</v>
      </c>
      <c r="BZ179" s="14">
        <f>BY179*VLOOKUP('Données projet'!$B$12,Paramètres!$A$1:$I$89,3,0)*VLOOKUP('Données projet'!$B$12,Paramètres!$A$1:$I$89,5,0)</f>
        <v>-5.3471467253984886E-13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530.79860063513229</v>
      </c>
      <c r="CE179" s="60">
        <f t="shared" si="148"/>
        <v>302.50876440460434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-8.7434273154940449E-13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469.67944008675863</v>
      </c>
      <c r="CZ179" s="60">
        <f t="shared" si="150"/>
        <v>266.11908070867173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-9.6633812063373625E-13</v>
      </c>
      <c r="DP179" s="18">
        <f>DO179*VLOOKUP('Données projet'!$B$14,Paramètres!$A$1:$I$89,3,0)*VLOOKUP('Données projet'!$B$14,Paramètres!$A$1:$I$89,5,0)</f>
        <v>-1.0401663530501537E-12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542.90832990875208</v>
      </c>
      <c r="DU179" s="60">
        <f t="shared" si="152"/>
        <v>304.94365539329362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5.6843418860808015E-14</v>
      </c>
      <c r="EK179" s="18">
        <f>EJ179*VLOOKUP('Données projet'!$B$15,Paramètres!$A$1:$I$89,3,0)*VLOOKUP('Données projet'!$B$15,Paramètres!$A$1:$I$89,5,0)</f>
        <v>4.5224624045658861E-14</v>
      </c>
      <c r="EL179" s="14">
        <f t="shared" si="179"/>
        <v>7.4514601661523691E-13</v>
      </c>
      <c r="EM179" s="22">
        <f t="shared" si="180"/>
        <v>1.3765621991510601E-12</v>
      </c>
      <c r="EN179" s="60">
        <f t="shared" si="128"/>
        <v>289.12040147383897</v>
      </c>
      <c r="EO179" s="60">
        <f ca="1">AVERAGE(OFFSET($EN$3,0,0,'Données projet'!$E$15+1,1))-AVERAGE(OFFSET($H$3,0,0,'Données projet'!$E$15+1,1))</f>
        <v>273.72403794510291</v>
      </c>
      <c r="EP179" s="60">
        <f t="shared" si="154"/>
        <v>292.00185554564109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5.6843418860808015E-14</v>
      </c>
      <c r="FF179" s="18">
        <f>FE179*VLOOKUP('Données projet'!$B$16,Paramètres!$A$1:$I$89,3,0)*VLOOKUP('Données projet'!$B$16,Paramètres!$A$1:$I$89,5,0)</f>
        <v>4.4337866711430253E-14</v>
      </c>
      <c r="FG179" s="14">
        <f t="shared" si="182"/>
        <v>7.3222115536967035E-13</v>
      </c>
      <c r="FH179" s="22">
        <f t="shared" si="183"/>
        <v>1.3525069634579169E-12</v>
      </c>
      <c r="FI179" s="60">
        <f t="shared" si="131"/>
        <v>289.12040147383897</v>
      </c>
      <c r="FJ179" s="60">
        <f ca="1">AVERAGE(OFFSET($FI$3,0,0,'Données projet'!$E$16+1,1))-AVERAGE(OFFSET($H$3,0,0,'Données projet'!$E$16+1,1))</f>
        <v>309.21625451786218</v>
      </c>
      <c r="FK179" s="60">
        <f t="shared" si="156"/>
        <v>302.59481222418219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>
        <f>FZ179*VLOOKUP('Données projet'!$B$17,Paramètres!$A$1:$I$89,3,0)*VLOOKUP('Données projet'!$B$17,Paramètres!$A$1:$I$89,5,0)</f>
        <v>0</v>
      </c>
      <c r="GB179" s="14" t="e">
        <f t="shared" si="185"/>
        <v>#NUM!</v>
      </c>
      <c r="GC179" s="22" t="e">
        <f t="shared" si="186"/>
        <v>#NUM!</v>
      </c>
      <c r="GD179" s="60" t="e">
        <f t="shared" si="134"/>
        <v>#NUM!</v>
      </c>
      <c r="GE179" s="60">
        <f ca="1">AVERAGE(OFFSET($GD$3,0,0,'Données projet'!$E$17+1,1))-AVERAGE(OFFSET($H$3,0,0,'Données projet'!$E$17+1,1))</f>
        <v>216.36762889365235</v>
      </c>
      <c r="GF179" s="60">
        <f t="shared" si="158"/>
        <v>333.29599352215496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0.74927116385668213</v>
      </c>
      <c r="GM179" s="23">
        <f>EXP(-LN(2)/25)*GM178+(1-EXP(-LN(2)/25))/(LN(2)/25)*Calculateur!GH179*Calculateur!GJ179*VLOOKUP('Données projet'!$B$17,Paramètres!$A$1:$I$89,3,0)*0.475*44/12</f>
        <v>0.17020147584650094</v>
      </c>
      <c r="GN179" s="23">
        <f>EXP(-LN(2)/2)*GN178+(1-EXP(-LN(2)/2))/(LN(2)/2)*GH179*GK179*VLOOKUP('Données projet'!$B$17,Paramètres!$A$1:$I$89,3,0)*0.475*44/12</f>
        <v>3.0963582639352038E-22</v>
      </c>
      <c r="GO179" s="23">
        <f t="shared" si="187"/>
        <v>0.91947263970318305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4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-9.3464223027694966E-13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496.33873798282525</v>
      </c>
      <c r="T180" s="60">
        <f t="shared" si="142"/>
        <v>280.25465074992246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3.4106051316484809E-13</v>
      </c>
      <c r="AJ180" s="14">
        <f>AI180*VLOOKUP('Données projet'!$B$10,Paramètres!$A$1:$I$89,3,0)*VLOOKUP('Données projet'!$B$10,Paramètres!$A$1:$I$89,5,0)</f>
        <v>1.5961632016114892E-13</v>
      </c>
      <c r="AK180" s="14">
        <f t="shared" si="164"/>
        <v>2.2708641912150958E-12</v>
      </c>
      <c r="AL180" s="22">
        <f t="shared" si="165"/>
        <v>4.2330868906469593E-12</v>
      </c>
      <c r="AM180" s="60">
        <f t="shared" si="113"/>
        <v>289.19348642289947</v>
      </c>
      <c r="AN180" s="60">
        <f ca="1">AVERAGE(OFFSET($AM$3,0,0,'Données projet'!$E$10+1,1))-AVERAGE(OFFSET($H$3,0,0,'Données projet'!$E$10+1,1))</f>
        <v>277.7918215389401</v>
      </c>
      <c r="AO180" s="60">
        <f t="shared" si="144"/>
        <v>164.65640238394164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-2.2737367544323206E-13</v>
      </c>
      <c r="BE180" s="14">
        <f>BD180*VLOOKUP('Données projet'!$B$11,Paramètres!$A$1:$I$89,3,0)*VLOOKUP('Données projet'!$B$11,Paramètres!$A$1:$I$89,5,0)</f>
        <v>-2.1636878955177963E-13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366.21371543563254</v>
      </c>
      <c r="BJ180" s="60">
        <f t="shared" si="146"/>
        <v>237.43356317334084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-5.1159076974727213E-13</v>
      </c>
      <c r="BZ180" s="14">
        <f>BY180*VLOOKUP('Données projet'!$B$12,Paramètres!$A$1:$I$89,3,0)*VLOOKUP('Données projet'!$B$12,Paramètres!$A$1:$I$89,5,0)</f>
        <v>-5.3471467253984886E-13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530.79860063513229</v>
      </c>
      <c r="CE180" s="60">
        <f t="shared" si="148"/>
        <v>302.50876440460434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-8.7434273154940449E-13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469.67944008675863</v>
      </c>
      <c r="CZ180" s="60">
        <f t="shared" si="150"/>
        <v>266.11908070867173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-9.6633812063373625E-13</v>
      </c>
      <c r="DP180" s="18">
        <f>DO180*VLOOKUP('Données projet'!$B$14,Paramètres!$A$1:$I$89,3,0)*VLOOKUP('Données projet'!$B$14,Paramètres!$A$1:$I$89,5,0)</f>
        <v>-1.0401663530501537E-12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542.90832990875208</v>
      </c>
      <c r="DU180" s="60">
        <f t="shared" si="152"/>
        <v>304.94365539329362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5.6843418860808015E-14</v>
      </c>
      <c r="EK180" s="18">
        <f>EJ180*VLOOKUP('Données projet'!$B$15,Paramètres!$A$1:$I$89,3,0)*VLOOKUP('Données projet'!$B$15,Paramètres!$A$1:$I$89,5,0)</f>
        <v>4.5224624045658861E-14</v>
      </c>
      <c r="EL180" s="14">
        <f t="shared" si="179"/>
        <v>7.4514601661523691E-13</v>
      </c>
      <c r="EM180" s="22">
        <f t="shared" si="180"/>
        <v>1.3765621991510601E-12</v>
      </c>
      <c r="EN180" s="60">
        <f t="shared" si="128"/>
        <v>289.19348642289663</v>
      </c>
      <c r="EO180" s="60">
        <f ca="1">AVERAGE(OFFSET($EN$3,0,0,'Données projet'!$E$15+1,1))-AVERAGE(OFFSET($H$3,0,0,'Données projet'!$E$15+1,1))</f>
        <v>273.72403794510291</v>
      </c>
      <c r="EP180" s="60">
        <f t="shared" si="154"/>
        <v>292.00185554564109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5.6843418860808015E-14</v>
      </c>
      <c r="FF180" s="18">
        <f>FE180*VLOOKUP('Données projet'!$B$16,Paramètres!$A$1:$I$89,3,0)*VLOOKUP('Données projet'!$B$16,Paramètres!$A$1:$I$89,5,0)</f>
        <v>4.4337866711430253E-14</v>
      </c>
      <c r="FG180" s="14">
        <f t="shared" si="182"/>
        <v>7.3222115536967035E-13</v>
      </c>
      <c r="FH180" s="22">
        <f t="shared" si="183"/>
        <v>1.3525069634579169E-12</v>
      </c>
      <c r="FI180" s="60">
        <f t="shared" si="131"/>
        <v>289.19348642289663</v>
      </c>
      <c r="FJ180" s="60">
        <f ca="1">AVERAGE(OFFSET($FI$3,0,0,'Données projet'!$E$16+1,1))-AVERAGE(OFFSET($H$3,0,0,'Données projet'!$E$16+1,1))</f>
        <v>309.21625451786218</v>
      </c>
      <c r="FK180" s="60">
        <f t="shared" si="156"/>
        <v>302.59481222418219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>
        <f>FZ180*VLOOKUP('Données projet'!$B$17,Paramètres!$A$1:$I$89,3,0)*VLOOKUP('Données projet'!$B$17,Paramètres!$A$1:$I$89,5,0)</f>
        <v>0</v>
      </c>
      <c r="GB180" s="14" t="e">
        <f t="shared" si="185"/>
        <v>#NUM!</v>
      </c>
      <c r="GC180" s="22" t="e">
        <f t="shared" si="186"/>
        <v>#NUM!</v>
      </c>
      <c r="GD180" s="60" t="e">
        <f t="shared" si="134"/>
        <v>#NUM!</v>
      </c>
      <c r="GE180" s="60">
        <f ca="1">AVERAGE(OFFSET($GD$3,0,0,'Données projet'!$E$17+1,1))-AVERAGE(OFFSET($H$3,0,0,'Données projet'!$E$17+1,1))</f>
        <v>216.36762889365235</v>
      </c>
      <c r="GF180" s="60">
        <f t="shared" si="158"/>
        <v>333.29599352215496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0.73457841334373652</v>
      </c>
      <c r="GM180" s="23">
        <f>EXP(-LN(2)/25)*GM179+(1-EXP(-LN(2)/25))/(LN(2)/25)*Calculateur!GH180*Calculateur!GJ180*VLOOKUP('Données projet'!$B$17,Paramètres!$A$1:$I$89,3,0)*0.475*44/12</f>
        <v>0.16554730753897176</v>
      </c>
      <c r="GN180" s="23">
        <f>EXP(-LN(2)/2)*GN179+(1-EXP(-LN(2)/2))/(LN(2)/2)*GH180*GK180*VLOOKUP('Données projet'!$B$17,Paramètres!$A$1:$I$89,3,0)*0.475*44/12</f>
        <v>2.1894559254115883E-22</v>
      </c>
      <c r="GO180" s="23">
        <f t="shared" si="187"/>
        <v>0.90012572088270826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4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-9.3464223027694966E-13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496.33873798282525</v>
      </c>
      <c r="T181" s="60">
        <f t="shared" si="142"/>
        <v>280.25465074992246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3.4106051316484809E-13</v>
      </c>
      <c r="AJ181" s="14">
        <f>AI181*VLOOKUP('Données projet'!$B$10,Paramètres!$A$1:$I$89,3,0)*VLOOKUP('Données projet'!$B$10,Paramètres!$A$1:$I$89,5,0)</f>
        <v>1.5961632016114892E-13</v>
      </c>
      <c r="AK181" s="14">
        <f t="shared" si="164"/>
        <v>2.2708641912150958E-12</v>
      </c>
      <c r="AL181" s="22">
        <f t="shared" si="165"/>
        <v>4.2330868906469593E-12</v>
      </c>
      <c r="AM181" s="60">
        <f t="shared" si="113"/>
        <v>289.26530351148438</v>
      </c>
      <c r="AN181" s="60">
        <f ca="1">AVERAGE(OFFSET($AM$3,0,0,'Données projet'!$E$10+1,1))-AVERAGE(OFFSET($H$3,0,0,'Données projet'!$E$10+1,1))</f>
        <v>277.7918215389401</v>
      </c>
      <c r="AO181" s="60">
        <f t="shared" si="144"/>
        <v>164.65640238394164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-2.2737367544323206E-13</v>
      </c>
      <c r="BE181" s="14">
        <f>BD181*VLOOKUP('Données projet'!$B$11,Paramètres!$A$1:$I$89,3,0)*VLOOKUP('Données projet'!$B$11,Paramètres!$A$1:$I$89,5,0)</f>
        <v>-2.1636878955177963E-13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366.21371543563254</v>
      </c>
      <c r="BJ181" s="60">
        <f t="shared" si="146"/>
        <v>237.43356317334084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-5.1159076974727213E-13</v>
      </c>
      <c r="BZ181" s="14">
        <f>BY181*VLOOKUP('Données projet'!$B$12,Paramètres!$A$1:$I$89,3,0)*VLOOKUP('Données projet'!$B$12,Paramètres!$A$1:$I$89,5,0)</f>
        <v>-5.3471467253984886E-13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530.79860063513229</v>
      </c>
      <c r="CE181" s="60">
        <f t="shared" si="148"/>
        <v>302.50876440460434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-8.7434273154940449E-13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469.67944008675863</v>
      </c>
      <c r="CZ181" s="60">
        <f t="shared" si="150"/>
        <v>266.11908070867173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-9.6633812063373625E-13</v>
      </c>
      <c r="DP181" s="18">
        <f>DO181*VLOOKUP('Données projet'!$B$14,Paramètres!$A$1:$I$89,3,0)*VLOOKUP('Données projet'!$B$14,Paramètres!$A$1:$I$89,5,0)</f>
        <v>-1.0401663530501537E-12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542.90832990875208</v>
      </c>
      <c r="DU181" s="60">
        <f t="shared" si="152"/>
        <v>304.94365539329362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5.6843418860808015E-14</v>
      </c>
      <c r="EK181" s="18">
        <f>EJ181*VLOOKUP('Données projet'!$B$15,Paramètres!$A$1:$I$89,3,0)*VLOOKUP('Données projet'!$B$15,Paramètres!$A$1:$I$89,5,0)</f>
        <v>4.5224624045658861E-14</v>
      </c>
      <c r="EL181" s="14">
        <f t="shared" si="179"/>
        <v>7.4514601661523691E-13</v>
      </c>
      <c r="EM181" s="22">
        <f t="shared" si="180"/>
        <v>1.3765621991510601E-12</v>
      </c>
      <c r="EN181" s="60">
        <f t="shared" si="128"/>
        <v>289.26530351148153</v>
      </c>
      <c r="EO181" s="60">
        <f ca="1">AVERAGE(OFFSET($EN$3,0,0,'Données projet'!$E$15+1,1))-AVERAGE(OFFSET($H$3,0,0,'Données projet'!$E$15+1,1))</f>
        <v>273.72403794510291</v>
      </c>
      <c r="EP181" s="60">
        <f t="shared" si="154"/>
        <v>292.00185554564109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5.6843418860808015E-14</v>
      </c>
      <c r="FF181" s="18">
        <f>FE181*VLOOKUP('Données projet'!$B$16,Paramètres!$A$1:$I$89,3,0)*VLOOKUP('Données projet'!$B$16,Paramètres!$A$1:$I$89,5,0)</f>
        <v>4.4337866711430253E-14</v>
      </c>
      <c r="FG181" s="14">
        <f t="shared" si="182"/>
        <v>7.3222115536967035E-13</v>
      </c>
      <c r="FH181" s="22">
        <f t="shared" si="183"/>
        <v>1.3525069634579169E-12</v>
      </c>
      <c r="FI181" s="60">
        <f t="shared" si="131"/>
        <v>289.26530351148153</v>
      </c>
      <c r="FJ181" s="60">
        <f ca="1">AVERAGE(OFFSET($FI$3,0,0,'Données projet'!$E$16+1,1))-AVERAGE(OFFSET($H$3,0,0,'Données projet'!$E$16+1,1))</f>
        <v>309.21625451786218</v>
      </c>
      <c r="FK181" s="60">
        <f t="shared" si="156"/>
        <v>302.59481222418219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>
        <f>FZ181*VLOOKUP('Données projet'!$B$17,Paramètres!$A$1:$I$89,3,0)*VLOOKUP('Données projet'!$B$17,Paramètres!$A$1:$I$89,5,0)</f>
        <v>0</v>
      </c>
      <c r="GB181" s="14" t="e">
        <f t="shared" si="185"/>
        <v>#NUM!</v>
      </c>
      <c r="GC181" s="22" t="e">
        <f t="shared" si="186"/>
        <v>#NUM!</v>
      </c>
      <c r="GD181" s="60" t="e">
        <f t="shared" si="134"/>
        <v>#NUM!</v>
      </c>
      <c r="GE181" s="60">
        <f ca="1">AVERAGE(OFFSET($GD$3,0,0,'Données projet'!$E$17+1,1))-AVERAGE(OFFSET($H$3,0,0,'Données projet'!$E$17+1,1))</f>
        <v>216.36762889365235</v>
      </c>
      <c r="GF181" s="60">
        <f t="shared" si="158"/>
        <v>333.29599352215496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0.72017377870665689</v>
      </c>
      <c r="GM181" s="23">
        <f>EXP(-LN(2)/25)*GM180+(1-EXP(-LN(2)/25))/(LN(2)/25)*Calculateur!GH181*Calculateur!GJ181*VLOOKUP('Données projet'!$B$17,Paramètres!$A$1:$I$89,3,0)*0.475*44/12</f>
        <v>0.16102040770856405</v>
      </c>
      <c r="GN181" s="23">
        <f>EXP(-LN(2)/2)*GN180+(1-EXP(-LN(2)/2))/(LN(2)/2)*GH181*GK181*VLOOKUP('Données projet'!$B$17,Paramètres!$A$1:$I$89,3,0)*0.475*44/12</f>
        <v>1.5481791319676019E-22</v>
      </c>
      <c r="GO181" s="23">
        <f t="shared" si="187"/>
        <v>0.88119418641522096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4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-9.3464223027694966E-13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496.33873798282525</v>
      </c>
      <c r="T182" s="60">
        <f t="shared" si="142"/>
        <v>280.25465074992246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3.4106051316484809E-13</v>
      </c>
      <c r="AJ182" s="14">
        <f>AI182*VLOOKUP('Données projet'!$B$10,Paramètres!$A$1:$I$89,3,0)*VLOOKUP('Données projet'!$B$10,Paramètres!$A$1:$I$89,5,0)</f>
        <v>1.5961632016114892E-13</v>
      </c>
      <c r="AK182" s="14">
        <f t="shared" si="164"/>
        <v>2.2708641912150958E-12</v>
      </c>
      <c r="AL182" s="22">
        <f t="shared" si="165"/>
        <v>4.2330868906469593E-12</v>
      </c>
      <c r="AM182" s="60">
        <f t="shared" si="113"/>
        <v>289.33587473414133</v>
      </c>
      <c r="AN182" s="60">
        <f ca="1">AVERAGE(OFFSET($AM$3,0,0,'Données projet'!$E$10+1,1))-AVERAGE(OFFSET($H$3,0,0,'Données projet'!$E$10+1,1))</f>
        <v>277.7918215389401</v>
      </c>
      <c r="AO182" s="60">
        <f t="shared" si="144"/>
        <v>164.65640238394164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-2.2737367544323206E-13</v>
      </c>
      <c r="BE182" s="14">
        <f>BD182*VLOOKUP('Données projet'!$B$11,Paramètres!$A$1:$I$89,3,0)*VLOOKUP('Données projet'!$B$11,Paramètres!$A$1:$I$89,5,0)</f>
        <v>-2.1636878955177963E-13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366.21371543563254</v>
      </c>
      <c r="BJ182" s="60">
        <f t="shared" si="146"/>
        <v>237.43356317334084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-5.1159076974727213E-13</v>
      </c>
      <c r="BZ182" s="14">
        <f>BY182*VLOOKUP('Données projet'!$B$12,Paramètres!$A$1:$I$89,3,0)*VLOOKUP('Données projet'!$B$12,Paramètres!$A$1:$I$89,5,0)</f>
        <v>-5.3471467253984886E-13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530.79860063513229</v>
      </c>
      <c r="CE182" s="60">
        <f t="shared" si="148"/>
        <v>302.50876440460434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-8.7434273154940449E-13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469.67944008675863</v>
      </c>
      <c r="CZ182" s="60">
        <f t="shared" si="150"/>
        <v>266.11908070867173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-9.6633812063373625E-13</v>
      </c>
      <c r="DP182" s="18">
        <f>DO182*VLOOKUP('Données projet'!$B$14,Paramètres!$A$1:$I$89,3,0)*VLOOKUP('Données projet'!$B$14,Paramètres!$A$1:$I$89,5,0)</f>
        <v>-1.0401663530501537E-12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542.90832990875208</v>
      </c>
      <c r="DU182" s="60">
        <f t="shared" si="152"/>
        <v>304.94365539329362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5.6843418860808015E-14</v>
      </c>
      <c r="EK182" s="18">
        <f>EJ182*VLOOKUP('Données projet'!$B$15,Paramètres!$A$1:$I$89,3,0)*VLOOKUP('Données projet'!$B$15,Paramètres!$A$1:$I$89,5,0)</f>
        <v>4.5224624045658861E-14</v>
      </c>
      <c r="EL182" s="14">
        <f t="shared" si="179"/>
        <v>7.4514601661523691E-13</v>
      </c>
      <c r="EM182" s="22">
        <f t="shared" si="180"/>
        <v>1.3765621991510601E-12</v>
      </c>
      <c r="EN182" s="60">
        <f t="shared" si="128"/>
        <v>289.33587473413849</v>
      </c>
      <c r="EO182" s="60">
        <f ca="1">AVERAGE(OFFSET($EN$3,0,0,'Données projet'!$E$15+1,1))-AVERAGE(OFFSET($H$3,0,0,'Données projet'!$E$15+1,1))</f>
        <v>273.72403794510291</v>
      </c>
      <c r="EP182" s="60">
        <f t="shared" si="154"/>
        <v>292.00185554564109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5.6843418860808015E-14</v>
      </c>
      <c r="FF182" s="18">
        <f>FE182*VLOOKUP('Données projet'!$B$16,Paramètres!$A$1:$I$89,3,0)*VLOOKUP('Données projet'!$B$16,Paramètres!$A$1:$I$89,5,0)</f>
        <v>4.4337866711430253E-14</v>
      </c>
      <c r="FG182" s="14">
        <f t="shared" si="182"/>
        <v>7.3222115536967035E-13</v>
      </c>
      <c r="FH182" s="22">
        <f t="shared" si="183"/>
        <v>1.3525069634579169E-12</v>
      </c>
      <c r="FI182" s="60">
        <f t="shared" si="131"/>
        <v>289.33587473413849</v>
      </c>
      <c r="FJ182" s="60">
        <f ca="1">AVERAGE(OFFSET($FI$3,0,0,'Données projet'!$E$16+1,1))-AVERAGE(OFFSET($H$3,0,0,'Données projet'!$E$16+1,1))</f>
        <v>309.21625451786218</v>
      </c>
      <c r="FK182" s="60">
        <f t="shared" si="156"/>
        <v>302.59481222418219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>
        <f>FZ182*VLOOKUP('Données projet'!$B$17,Paramètres!$A$1:$I$89,3,0)*VLOOKUP('Données projet'!$B$17,Paramètres!$A$1:$I$89,5,0)</f>
        <v>0</v>
      </c>
      <c r="GB182" s="14" t="e">
        <f t="shared" si="185"/>
        <v>#NUM!</v>
      </c>
      <c r="GC182" s="22" t="e">
        <f t="shared" si="186"/>
        <v>#NUM!</v>
      </c>
      <c r="GD182" s="60" t="e">
        <f t="shared" si="134"/>
        <v>#NUM!</v>
      </c>
      <c r="GE182" s="60">
        <f ca="1">AVERAGE(OFFSET($GD$3,0,0,'Données projet'!$E$17+1,1))-AVERAGE(OFFSET($H$3,0,0,'Données projet'!$E$17+1,1))</f>
        <v>216.36762889365235</v>
      </c>
      <c r="GF182" s="60">
        <f t="shared" si="158"/>
        <v>333.29599352215496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0.70605161016885076</v>
      </c>
      <c r="GM182" s="23">
        <f>EXP(-LN(2)/25)*GM181+(1-EXP(-LN(2)/25))/(LN(2)/25)*Calculateur!GH182*Calculateur!GJ182*VLOOKUP('Données projet'!$B$17,Paramètres!$A$1:$I$89,3,0)*0.475*44/12</f>
        <v>0.15661729619207815</v>
      </c>
      <c r="GN182" s="23">
        <f>EXP(-LN(2)/2)*GN181+(1-EXP(-LN(2)/2))/(LN(2)/2)*GH182*GK182*VLOOKUP('Données projet'!$B$17,Paramètres!$A$1:$I$89,3,0)*0.475*44/12</f>
        <v>1.0947279627057941E-22</v>
      </c>
      <c r="GO182" s="23">
        <f t="shared" si="187"/>
        <v>0.86266890636092897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4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-9.3464223027694966E-13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496.33873798282525</v>
      </c>
      <c r="T183" s="60">
        <f t="shared" si="142"/>
        <v>280.25465074992246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3.4106051316484809E-13</v>
      </c>
      <c r="AJ183" s="14">
        <f>AI183*VLOOKUP('Données projet'!$B$10,Paramètres!$A$1:$I$89,3,0)*VLOOKUP('Données projet'!$B$10,Paramètres!$A$1:$I$89,5,0)</f>
        <v>1.5961632016114892E-13</v>
      </c>
      <c r="AK183" s="14">
        <f t="shared" si="164"/>
        <v>2.2708641912150958E-12</v>
      </c>
      <c r="AL183" s="22">
        <f t="shared" si="165"/>
        <v>4.2330868906469593E-12</v>
      </c>
      <c r="AM183" s="60">
        <f t="shared" si="113"/>
        <v>289.40522170385884</v>
      </c>
      <c r="AN183" s="60">
        <f ca="1">AVERAGE(OFFSET($AM$3,0,0,'Données projet'!$E$10+1,1))-AVERAGE(OFFSET($H$3,0,0,'Données projet'!$E$10+1,1))</f>
        <v>277.7918215389401</v>
      </c>
      <c r="AO183" s="60">
        <f t="shared" si="144"/>
        <v>164.65640238394164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-2.2737367544323206E-13</v>
      </c>
      <c r="BE183" s="14">
        <f>BD183*VLOOKUP('Données projet'!$B$11,Paramètres!$A$1:$I$89,3,0)*VLOOKUP('Données projet'!$B$11,Paramètres!$A$1:$I$89,5,0)</f>
        <v>-2.1636878955177963E-13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366.21371543563254</v>
      </c>
      <c r="BJ183" s="60">
        <f t="shared" si="146"/>
        <v>237.43356317334084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-5.1159076974727213E-13</v>
      </c>
      <c r="BZ183" s="14">
        <f>BY183*VLOOKUP('Données projet'!$B$12,Paramètres!$A$1:$I$89,3,0)*VLOOKUP('Données projet'!$B$12,Paramètres!$A$1:$I$89,5,0)</f>
        <v>-5.3471467253984886E-13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530.79860063513229</v>
      </c>
      <c r="CE183" s="60">
        <f t="shared" si="148"/>
        <v>302.50876440460434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-8.7434273154940449E-13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469.67944008675863</v>
      </c>
      <c r="CZ183" s="60">
        <f t="shared" si="150"/>
        <v>266.11908070867173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-9.6633812063373625E-13</v>
      </c>
      <c r="DP183" s="18">
        <f>DO183*VLOOKUP('Données projet'!$B$14,Paramètres!$A$1:$I$89,3,0)*VLOOKUP('Données projet'!$B$14,Paramètres!$A$1:$I$89,5,0)</f>
        <v>-1.0401663530501537E-12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542.90832990875208</v>
      </c>
      <c r="DU183" s="60">
        <f t="shared" si="152"/>
        <v>304.94365539329362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5.6843418860808015E-14</v>
      </c>
      <c r="EK183" s="18">
        <f>EJ183*VLOOKUP('Données projet'!$B$15,Paramètres!$A$1:$I$89,3,0)*VLOOKUP('Données projet'!$B$15,Paramètres!$A$1:$I$89,5,0)</f>
        <v>4.5224624045658861E-14</v>
      </c>
      <c r="EL183" s="14">
        <f t="shared" si="179"/>
        <v>7.4514601661523691E-13</v>
      </c>
      <c r="EM183" s="22">
        <f t="shared" si="180"/>
        <v>1.3765621991510601E-12</v>
      </c>
      <c r="EN183" s="60">
        <f t="shared" si="128"/>
        <v>289.405221703856</v>
      </c>
      <c r="EO183" s="60">
        <f ca="1">AVERAGE(OFFSET($EN$3,0,0,'Données projet'!$E$15+1,1))-AVERAGE(OFFSET($H$3,0,0,'Données projet'!$E$15+1,1))</f>
        <v>273.72403794510291</v>
      </c>
      <c r="EP183" s="60">
        <f t="shared" si="154"/>
        <v>292.00185554564109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5.6843418860808015E-14</v>
      </c>
      <c r="FF183" s="18">
        <f>FE183*VLOOKUP('Données projet'!$B$16,Paramètres!$A$1:$I$89,3,0)*VLOOKUP('Données projet'!$B$16,Paramètres!$A$1:$I$89,5,0)</f>
        <v>4.4337866711430253E-14</v>
      </c>
      <c r="FG183" s="14">
        <f t="shared" si="182"/>
        <v>7.3222115536967035E-13</v>
      </c>
      <c r="FH183" s="22">
        <f t="shared" si="183"/>
        <v>1.3525069634579169E-12</v>
      </c>
      <c r="FI183" s="60">
        <f t="shared" si="131"/>
        <v>289.405221703856</v>
      </c>
      <c r="FJ183" s="60">
        <f ca="1">AVERAGE(OFFSET($FI$3,0,0,'Données projet'!$E$16+1,1))-AVERAGE(OFFSET($H$3,0,0,'Données projet'!$E$16+1,1))</f>
        <v>309.21625451786218</v>
      </c>
      <c r="FK183" s="60">
        <f t="shared" si="156"/>
        <v>302.59481222418219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>
        <f>FZ183*VLOOKUP('Données projet'!$B$17,Paramètres!$A$1:$I$89,3,0)*VLOOKUP('Données projet'!$B$17,Paramètres!$A$1:$I$89,5,0)</f>
        <v>0</v>
      </c>
      <c r="GB183" s="14" t="e">
        <f t="shared" si="185"/>
        <v>#NUM!</v>
      </c>
      <c r="GC183" s="22" t="e">
        <f t="shared" si="186"/>
        <v>#NUM!</v>
      </c>
      <c r="GD183" s="60" t="e">
        <f t="shared" si="134"/>
        <v>#NUM!</v>
      </c>
      <c r="GE183" s="60">
        <f ca="1">AVERAGE(OFFSET($GD$3,0,0,'Données projet'!$E$17+1,1))-AVERAGE(OFFSET($H$3,0,0,'Données projet'!$E$17+1,1))</f>
        <v>216.36762889365235</v>
      </c>
      <c r="GF183" s="60">
        <f t="shared" si="158"/>
        <v>333.29599352215496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0.69220636874239871</v>
      </c>
      <c r="GM183" s="23">
        <f>EXP(-LN(2)/25)*GM182+(1-EXP(-LN(2)/25))/(LN(2)/25)*Calculateur!GH183*Calculateur!GJ183*VLOOKUP('Données projet'!$B$17,Paramètres!$A$1:$I$89,3,0)*0.475*44/12</f>
        <v>0.15233458799156011</v>
      </c>
      <c r="GN183" s="23">
        <f>EXP(-LN(2)/2)*GN182+(1-EXP(-LN(2)/2))/(LN(2)/2)*GH183*GK183*VLOOKUP('Données projet'!$B$17,Paramètres!$A$1:$I$89,3,0)*0.475*44/12</f>
        <v>7.7408956598380095E-23</v>
      </c>
      <c r="GO183" s="23">
        <f t="shared" si="187"/>
        <v>0.84454095673395879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4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-9.3464223027694966E-13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496.33873798282525</v>
      </c>
      <c r="T184" s="60">
        <f t="shared" si="142"/>
        <v>280.25465074992246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3.4106051316484809E-13</v>
      </c>
      <c r="AJ184" s="14">
        <f>AI184*VLOOKUP('Données projet'!$B$10,Paramètres!$A$1:$I$89,3,0)*VLOOKUP('Données projet'!$B$10,Paramètres!$A$1:$I$89,5,0)</f>
        <v>1.5961632016114892E-13</v>
      </c>
      <c r="AK184" s="14">
        <f t="shared" si="164"/>
        <v>2.2708641912150958E-12</v>
      </c>
      <c r="AL184" s="22">
        <f t="shared" si="165"/>
        <v>4.2330868906469593E-12</v>
      </c>
      <c r="AM184" s="60">
        <f t="shared" si="113"/>
        <v>289.47336565868829</v>
      </c>
      <c r="AN184" s="60">
        <f ca="1">AVERAGE(OFFSET($AM$3,0,0,'Données projet'!$E$10+1,1))-AVERAGE(OFFSET($H$3,0,0,'Données projet'!$E$10+1,1))</f>
        <v>277.7918215389401</v>
      </c>
      <c r="AO184" s="60">
        <f t="shared" si="144"/>
        <v>164.65640238394164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-2.2737367544323206E-13</v>
      </c>
      <c r="BE184" s="14">
        <f>BD184*VLOOKUP('Données projet'!$B$11,Paramètres!$A$1:$I$89,3,0)*VLOOKUP('Données projet'!$B$11,Paramètres!$A$1:$I$89,5,0)</f>
        <v>-2.1636878955177963E-13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366.21371543563254</v>
      </c>
      <c r="BJ184" s="60">
        <f t="shared" si="146"/>
        <v>237.43356317334084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-5.1159076974727213E-13</v>
      </c>
      <c r="BZ184" s="14">
        <f>BY184*VLOOKUP('Données projet'!$B$12,Paramètres!$A$1:$I$89,3,0)*VLOOKUP('Données projet'!$B$12,Paramètres!$A$1:$I$89,5,0)</f>
        <v>-5.3471467253984886E-13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530.79860063513229</v>
      </c>
      <c r="CE184" s="60">
        <f t="shared" si="148"/>
        <v>302.50876440460434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-8.7434273154940449E-13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469.67944008675863</v>
      </c>
      <c r="CZ184" s="60">
        <f t="shared" si="150"/>
        <v>266.11908070867173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-9.6633812063373625E-13</v>
      </c>
      <c r="DP184" s="18">
        <f>DO184*VLOOKUP('Données projet'!$B$14,Paramètres!$A$1:$I$89,3,0)*VLOOKUP('Données projet'!$B$14,Paramètres!$A$1:$I$89,5,0)</f>
        <v>-1.0401663530501537E-12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542.90832990875208</v>
      </c>
      <c r="DU184" s="60">
        <f t="shared" si="152"/>
        <v>304.94365539329362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5.6843418860808015E-14</v>
      </c>
      <c r="EK184" s="18">
        <f>EJ184*VLOOKUP('Données projet'!$B$15,Paramètres!$A$1:$I$89,3,0)*VLOOKUP('Données projet'!$B$15,Paramètres!$A$1:$I$89,5,0)</f>
        <v>4.5224624045658861E-14</v>
      </c>
      <c r="EL184" s="14">
        <f t="shared" si="179"/>
        <v>7.4514601661523691E-13</v>
      </c>
      <c r="EM184" s="22">
        <f t="shared" si="180"/>
        <v>1.3765621991510601E-12</v>
      </c>
      <c r="EN184" s="60">
        <f t="shared" si="128"/>
        <v>289.47336565868545</v>
      </c>
      <c r="EO184" s="60">
        <f ca="1">AVERAGE(OFFSET($EN$3,0,0,'Données projet'!$E$15+1,1))-AVERAGE(OFFSET($H$3,0,0,'Données projet'!$E$15+1,1))</f>
        <v>273.72403794510291</v>
      </c>
      <c r="EP184" s="60">
        <f t="shared" si="154"/>
        <v>292.00185554564109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5.6843418860808015E-14</v>
      </c>
      <c r="FF184" s="18">
        <f>FE184*VLOOKUP('Données projet'!$B$16,Paramètres!$A$1:$I$89,3,0)*VLOOKUP('Données projet'!$B$16,Paramètres!$A$1:$I$89,5,0)</f>
        <v>4.4337866711430253E-14</v>
      </c>
      <c r="FG184" s="14">
        <f t="shared" si="182"/>
        <v>7.3222115536967035E-13</v>
      </c>
      <c r="FH184" s="22">
        <f t="shared" si="183"/>
        <v>1.3525069634579169E-12</v>
      </c>
      <c r="FI184" s="60">
        <f t="shared" si="131"/>
        <v>289.47336565868545</v>
      </c>
      <c r="FJ184" s="60">
        <f ca="1">AVERAGE(OFFSET($FI$3,0,0,'Données projet'!$E$16+1,1))-AVERAGE(OFFSET($H$3,0,0,'Données projet'!$E$16+1,1))</f>
        <v>309.21625451786218</v>
      </c>
      <c r="FK184" s="60">
        <f t="shared" si="156"/>
        <v>302.59481222418219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>
        <f>FZ184*VLOOKUP('Données projet'!$B$17,Paramètres!$A$1:$I$89,3,0)*VLOOKUP('Données projet'!$B$17,Paramètres!$A$1:$I$89,5,0)</f>
        <v>0</v>
      </c>
      <c r="GB184" s="14" t="e">
        <f t="shared" si="185"/>
        <v>#NUM!</v>
      </c>
      <c r="GC184" s="22" t="e">
        <f t="shared" si="186"/>
        <v>#NUM!</v>
      </c>
      <c r="GD184" s="60" t="e">
        <f t="shared" si="134"/>
        <v>#NUM!</v>
      </c>
      <c r="GE184" s="60">
        <f ca="1">AVERAGE(OFFSET($GD$3,0,0,'Données projet'!$E$17+1,1))-AVERAGE(OFFSET($H$3,0,0,'Données projet'!$E$17+1,1))</f>
        <v>216.36762889365235</v>
      </c>
      <c r="GF184" s="60">
        <f t="shared" si="158"/>
        <v>333.29599352215496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0.67863262405555602</v>
      </c>
      <c r="GM184" s="23">
        <f>EXP(-LN(2)/25)*GM183+(1-EXP(-LN(2)/25))/(LN(2)/25)*Calculateur!GH184*Calculateur!GJ184*VLOOKUP('Données projet'!$B$17,Paramètres!$A$1:$I$89,3,0)*0.475*44/12</f>
        <v>0.14816899067200306</v>
      </c>
      <c r="GN184" s="23">
        <f>EXP(-LN(2)/2)*GN183+(1-EXP(-LN(2)/2))/(LN(2)/2)*GH184*GK184*VLOOKUP('Données projet'!$B$17,Paramètres!$A$1:$I$89,3,0)*0.475*44/12</f>
        <v>5.4736398135289707E-23</v>
      </c>
      <c r="GO184" s="23">
        <f t="shared" si="187"/>
        <v>0.82680161472755909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4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-9.3464223027694966E-13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496.33873798282525</v>
      </c>
      <c r="T185" s="60">
        <f t="shared" si="142"/>
        <v>280.25465074992246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3.4106051316484809E-13</v>
      </c>
      <c r="AJ185" s="14">
        <f>AI185*VLOOKUP('Données projet'!$B$10,Paramètres!$A$1:$I$89,3,0)*VLOOKUP('Données projet'!$B$10,Paramètres!$A$1:$I$89,5,0)</f>
        <v>1.5961632016114892E-13</v>
      </c>
      <c r="AK185" s="14">
        <f t="shared" si="164"/>
        <v>2.2708641912150958E-12</v>
      </c>
      <c r="AL185" s="22">
        <f t="shared" si="165"/>
        <v>4.2330868906469593E-12</v>
      </c>
      <c r="AM185" s="60">
        <f t="shared" si="113"/>
        <v>289.54032746824862</v>
      </c>
      <c r="AN185" s="60">
        <f ca="1">AVERAGE(OFFSET($AM$3,0,0,'Données projet'!$E$10+1,1))-AVERAGE(OFFSET($H$3,0,0,'Données projet'!$E$10+1,1))</f>
        <v>277.7918215389401</v>
      </c>
      <c r="AO185" s="60">
        <f t="shared" si="144"/>
        <v>164.65640238394164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-2.2737367544323206E-13</v>
      </c>
      <c r="BE185" s="14">
        <f>BD185*VLOOKUP('Données projet'!$B$11,Paramètres!$A$1:$I$89,3,0)*VLOOKUP('Données projet'!$B$11,Paramètres!$A$1:$I$89,5,0)</f>
        <v>-2.1636878955177963E-13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366.21371543563254</v>
      </c>
      <c r="BJ185" s="60">
        <f t="shared" si="146"/>
        <v>237.43356317334084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-5.1159076974727213E-13</v>
      </c>
      <c r="BZ185" s="14">
        <f>BY185*VLOOKUP('Données projet'!$B$12,Paramètres!$A$1:$I$89,3,0)*VLOOKUP('Données projet'!$B$12,Paramètres!$A$1:$I$89,5,0)</f>
        <v>-5.3471467253984886E-13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530.79860063513229</v>
      </c>
      <c r="CE185" s="60">
        <f t="shared" si="148"/>
        <v>302.50876440460434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-8.7434273154940449E-13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469.67944008675863</v>
      </c>
      <c r="CZ185" s="60">
        <f t="shared" si="150"/>
        <v>266.11908070867173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-9.6633812063373625E-13</v>
      </c>
      <c r="DP185" s="18">
        <f>DO185*VLOOKUP('Données projet'!$B$14,Paramètres!$A$1:$I$89,3,0)*VLOOKUP('Données projet'!$B$14,Paramètres!$A$1:$I$89,5,0)</f>
        <v>-1.0401663530501537E-12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542.90832990875208</v>
      </c>
      <c r="DU185" s="60">
        <f t="shared" si="152"/>
        <v>304.94365539329362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5.6843418860808015E-14</v>
      </c>
      <c r="EK185" s="18">
        <f>EJ185*VLOOKUP('Données projet'!$B$15,Paramètres!$A$1:$I$89,3,0)*VLOOKUP('Données projet'!$B$15,Paramètres!$A$1:$I$89,5,0)</f>
        <v>4.5224624045658861E-14</v>
      </c>
      <c r="EL185" s="14">
        <f t="shared" si="179"/>
        <v>7.4514601661523691E-13</v>
      </c>
      <c r="EM185" s="22">
        <f t="shared" si="180"/>
        <v>1.3765621991510601E-12</v>
      </c>
      <c r="EN185" s="60">
        <f t="shared" si="128"/>
        <v>289.54032746824578</v>
      </c>
      <c r="EO185" s="60">
        <f ca="1">AVERAGE(OFFSET($EN$3,0,0,'Données projet'!$E$15+1,1))-AVERAGE(OFFSET($H$3,0,0,'Données projet'!$E$15+1,1))</f>
        <v>273.72403794510291</v>
      </c>
      <c r="EP185" s="60">
        <f t="shared" si="154"/>
        <v>292.00185554564109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5.6843418860808015E-14</v>
      </c>
      <c r="FF185" s="18">
        <f>FE185*VLOOKUP('Données projet'!$B$16,Paramètres!$A$1:$I$89,3,0)*VLOOKUP('Données projet'!$B$16,Paramètres!$A$1:$I$89,5,0)</f>
        <v>4.4337866711430253E-14</v>
      </c>
      <c r="FG185" s="14">
        <f t="shared" si="182"/>
        <v>7.3222115536967035E-13</v>
      </c>
      <c r="FH185" s="22">
        <f t="shared" si="183"/>
        <v>1.3525069634579169E-12</v>
      </c>
      <c r="FI185" s="60">
        <f t="shared" si="131"/>
        <v>289.54032746824578</v>
      </c>
      <c r="FJ185" s="60">
        <f ca="1">AVERAGE(OFFSET($FI$3,0,0,'Données projet'!$E$16+1,1))-AVERAGE(OFFSET($H$3,0,0,'Données projet'!$E$16+1,1))</f>
        <v>309.21625451786218</v>
      </c>
      <c r="FK185" s="60">
        <f t="shared" si="156"/>
        <v>302.59481222418219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>
        <f>FZ185*VLOOKUP('Données projet'!$B$17,Paramètres!$A$1:$I$89,3,0)*VLOOKUP('Données projet'!$B$17,Paramètres!$A$1:$I$89,5,0)</f>
        <v>0</v>
      </c>
      <c r="GB185" s="14" t="e">
        <f t="shared" si="185"/>
        <v>#NUM!</v>
      </c>
      <c r="GC185" s="22" t="e">
        <f t="shared" si="186"/>
        <v>#NUM!</v>
      </c>
      <c r="GD185" s="60" t="e">
        <f t="shared" si="134"/>
        <v>#NUM!</v>
      </c>
      <c r="GE185" s="60">
        <f ca="1">AVERAGE(OFFSET($GD$3,0,0,'Données projet'!$E$17+1,1))-AVERAGE(OFFSET($H$3,0,0,'Données projet'!$E$17+1,1))</f>
        <v>216.36762889365235</v>
      </c>
      <c r="GF185" s="60">
        <f t="shared" si="158"/>
        <v>333.29599352215496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0.66532505222285554</v>
      </c>
      <c r="GM185" s="23">
        <f>EXP(-LN(2)/25)*GM184+(1-EXP(-LN(2)/25))/(LN(2)/25)*Calculateur!GH185*Calculateur!GJ185*VLOOKUP('Données projet'!$B$17,Paramètres!$A$1:$I$89,3,0)*0.475*44/12</f>
        <v>0.14411730183020857</v>
      </c>
      <c r="GN185" s="23">
        <f>EXP(-LN(2)/2)*GN184+(1-EXP(-LN(2)/2))/(LN(2)/2)*GH185*GK185*VLOOKUP('Données projet'!$B$17,Paramètres!$A$1:$I$89,3,0)*0.475*44/12</f>
        <v>3.8704478299190047E-23</v>
      </c>
      <c r="GO185" s="23">
        <f t="shared" si="187"/>
        <v>0.80944235405306408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4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-9.3464223027694966E-13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496.33873798282525</v>
      </c>
      <c r="T186" s="60">
        <f t="shared" si="142"/>
        <v>280.25465074992246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3.4106051316484809E-13</v>
      </c>
      <c r="AJ186" s="14">
        <f>AI186*VLOOKUP('Données projet'!$B$10,Paramètres!$A$1:$I$89,3,0)*VLOOKUP('Données projet'!$B$10,Paramètres!$A$1:$I$89,5,0)</f>
        <v>1.5961632016114892E-13</v>
      </c>
      <c r="AK186" s="14">
        <f t="shared" si="164"/>
        <v>2.2708641912150958E-12</v>
      </c>
      <c r="AL186" s="22">
        <f t="shared" si="165"/>
        <v>4.2330868906469593E-12</v>
      </c>
      <c r="AM186" s="60">
        <f t="shared" si="113"/>
        <v>289.60612764011717</v>
      </c>
      <c r="AN186" s="60">
        <f ca="1">AVERAGE(OFFSET($AM$3,0,0,'Données projet'!$E$10+1,1))-AVERAGE(OFFSET($H$3,0,0,'Données projet'!$E$10+1,1))</f>
        <v>277.7918215389401</v>
      </c>
      <c r="AO186" s="60">
        <f t="shared" si="144"/>
        <v>164.65640238394164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-2.2737367544323206E-13</v>
      </c>
      <c r="BE186" s="14">
        <f>BD186*VLOOKUP('Données projet'!$B$11,Paramètres!$A$1:$I$89,3,0)*VLOOKUP('Données projet'!$B$11,Paramètres!$A$1:$I$89,5,0)</f>
        <v>-2.1636878955177963E-13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366.21371543563254</v>
      </c>
      <c r="BJ186" s="60">
        <f t="shared" si="146"/>
        <v>237.43356317334084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-5.1159076974727213E-13</v>
      </c>
      <c r="BZ186" s="14">
        <f>BY186*VLOOKUP('Données projet'!$B$12,Paramètres!$A$1:$I$89,3,0)*VLOOKUP('Données projet'!$B$12,Paramètres!$A$1:$I$89,5,0)</f>
        <v>-5.3471467253984886E-13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530.79860063513229</v>
      </c>
      <c r="CE186" s="60">
        <f t="shared" si="148"/>
        <v>302.50876440460434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-8.7434273154940449E-13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469.67944008675863</v>
      </c>
      <c r="CZ186" s="60">
        <f t="shared" si="150"/>
        <v>266.11908070867173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-9.6633812063373625E-13</v>
      </c>
      <c r="DP186" s="18">
        <f>DO186*VLOOKUP('Données projet'!$B$14,Paramètres!$A$1:$I$89,3,0)*VLOOKUP('Données projet'!$B$14,Paramètres!$A$1:$I$89,5,0)</f>
        <v>-1.0401663530501537E-12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542.90832990875208</v>
      </c>
      <c r="DU186" s="60">
        <f t="shared" si="152"/>
        <v>304.94365539329362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5.6843418860808015E-14</v>
      </c>
      <c r="EK186" s="18">
        <f>EJ186*VLOOKUP('Données projet'!$B$15,Paramètres!$A$1:$I$89,3,0)*VLOOKUP('Données projet'!$B$15,Paramètres!$A$1:$I$89,5,0)</f>
        <v>4.5224624045658861E-14</v>
      </c>
      <c r="EL186" s="14">
        <f t="shared" si="179"/>
        <v>7.4514601661523691E-13</v>
      </c>
      <c r="EM186" s="22">
        <f t="shared" si="180"/>
        <v>1.3765621991510601E-12</v>
      </c>
      <c r="EN186" s="60">
        <f t="shared" si="128"/>
        <v>289.60612764011432</v>
      </c>
      <c r="EO186" s="60">
        <f ca="1">AVERAGE(OFFSET($EN$3,0,0,'Données projet'!$E$15+1,1))-AVERAGE(OFFSET($H$3,0,0,'Données projet'!$E$15+1,1))</f>
        <v>273.72403794510291</v>
      </c>
      <c r="EP186" s="60">
        <f t="shared" si="154"/>
        <v>292.00185554564109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5.6843418860808015E-14</v>
      </c>
      <c r="FF186" s="18">
        <f>FE186*VLOOKUP('Données projet'!$B$16,Paramètres!$A$1:$I$89,3,0)*VLOOKUP('Données projet'!$B$16,Paramètres!$A$1:$I$89,5,0)</f>
        <v>4.4337866711430253E-14</v>
      </c>
      <c r="FG186" s="14">
        <f t="shared" si="182"/>
        <v>7.3222115536967035E-13</v>
      </c>
      <c r="FH186" s="22">
        <f t="shared" si="183"/>
        <v>1.3525069634579169E-12</v>
      </c>
      <c r="FI186" s="60">
        <f t="shared" si="131"/>
        <v>289.60612764011432</v>
      </c>
      <c r="FJ186" s="60">
        <f ca="1">AVERAGE(OFFSET($FI$3,0,0,'Données projet'!$E$16+1,1))-AVERAGE(OFFSET($H$3,0,0,'Données projet'!$E$16+1,1))</f>
        <v>309.21625451786218</v>
      </c>
      <c r="FK186" s="60">
        <f t="shared" si="156"/>
        <v>302.59481222418219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>
        <f>FZ186*VLOOKUP('Données projet'!$B$17,Paramètres!$A$1:$I$89,3,0)*VLOOKUP('Données projet'!$B$17,Paramètres!$A$1:$I$89,5,0)</f>
        <v>0</v>
      </c>
      <c r="GB186" s="14" t="e">
        <f t="shared" si="185"/>
        <v>#NUM!</v>
      </c>
      <c r="GC186" s="22" t="e">
        <f t="shared" si="186"/>
        <v>#NUM!</v>
      </c>
      <c r="GD186" s="60" t="e">
        <f t="shared" si="134"/>
        <v>#NUM!</v>
      </c>
      <c r="GE186" s="60">
        <f ca="1">AVERAGE(OFFSET($GD$3,0,0,'Données projet'!$E$17+1,1))-AVERAGE(OFFSET($H$3,0,0,'Données projet'!$E$17+1,1))</f>
        <v>216.36762889365235</v>
      </c>
      <c r="GF186" s="60">
        <f t="shared" si="158"/>
        <v>333.29599352215496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0.65227843375697692</v>
      </c>
      <c r="GM186" s="23">
        <f>EXP(-LN(2)/25)*GM185+(1-EXP(-LN(2)/25))/(LN(2)/25)*Calculateur!GH186*Calculateur!GJ186*VLOOKUP('Données projet'!$B$17,Paramètres!$A$1:$I$89,3,0)*0.475*44/12</f>
        <v>0.14017640663286199</v>
      </c>
      <c r="GN186" s="23">
        <f>EXP(-LN(2)/2)*GN185+(1-EXP(-LN(2)/2))/(LN(2)/2)*GH186*GK186*VLOOKUP('Données projet'!$B$17,Paramètres!$A$1:$I$89,3,0)*0.475*44/12</f>
        <v>2.7368199067644854E-23</v>
      </c>
      <c r="GO186" s="23">
        <f t="shared" si="187"/>
        <v>0.79245484038983893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4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-9.3464223027694966E-13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496.33873798282525</v>
      </c>
      <c r="T187" s="60">
        <f t="shared" si="142"/>
        <v>280.25465074992246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3.4106051316484809E-13</v>
      </c>
      <c r="AJ187" s="14">
        <f>AI187*VLOOKUP('Données projet'!$B$10,Paramètres!$A$1:$I$89,3,0)*VLOOKUP('Données projet'!$B$10,Paramètres!$A$1:$I$89,5,0)</f>
        <v>1.5961632016114892E-13</v>
      </c>
      <c r="AK187" s="14">
        <f t="shared" si="164"/>
        <v>2.2708641912150958E-12</v>
      </c>
      <c r="AL187" s="22">
        <f t="shared" si="165"/>
        <v>4.2330868906469593E-12</v>
      </c>
      <c r="AM187" s="60">
        <f t="shared" si="113"/>
        <v>289.67078632611094</v>
      </c>
      <c r="AN187" s="60">
        <f ca="1">AVERAGE(OFFSET($AM$3,0,0,'Données projet'!$E$10+1,1))-AVERAGE(OFFSET($H$3,0,0,'Données projet'!$E$10+1,1))</f>
        <v>277.7918215389401</v>
      </c>
      <c r="AO187" s="60">
        <f t="shared" si="144"/>
        <v>164.65640238394164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-2.2737367544323206E-13</v>
      </c>
      <c r="BE187" s="14">
        <f>BD187*VLOOKUP('Données projet'!$B$11,Paramètres!$A$1:$I$89,3,0)*VLOOKUP('Données projet'!$B$11,Paramètres!$A$1:$I$89,5,0)</f>
        <v>-2.1636878955177963E-13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366.21371543563254</v>
      </c>
      <c r="BJ187" s="60">
        <f t="shared" si="146"/>
        <v>237.43356317334084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-5.1159076974727213E-13</v>
      </c>
      <c r="BZ187" s="14">
        <f>BY187*VLOOKUP('Données projet'!$B$12,Paramètres!$A$1:$I$89,3,0)*VLOOKUP('Données projet'!$B$12,Paramètres!$A$1:$I$89,5,0)</f>
        <v>-5.3471467253984886E-13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530.79860063513229</v>
      </c>
      <c r="CE187" s="60">
        <f t="shared" si="148"/>
        <v>302.50876440460434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-8.7434273154940449E-13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469.67944008675863</v>
      </c>
      <c r="CZ187" s="60">
        <f t="shared" si="150"/>
        <v>266.11908070867173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-9.6633812063373625E-13</v>
      </c>
      <c r="DP187" s="18">
        <f>DO187*VLOOKUP('Données projet'!$B$14,Paramètres!$A$1:$I$89,3,0)*VLOOKUP('Données projet'!$B$14,Paramètres!$A$1:$I$89,5,0)</f>
        <v>-1.0401663530501537E-12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542.90832990875208</v>
      </c>
      <c r="DU187" s="60">
        <f t="shared" si="152"/>
        <v>304.94365539329362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5.6843418860808015E-14</v>
      </c>
      <c r="EK187" s="18">
        <f>EJ187*VLOOKUP('Données projet'!$B$15,Paramètres!$A$1:$I$89,3,0)*VLOOKUP('Données projet'!$B$15,Paramètres!$A$1:$I$89,5,0)</f>
        <v>4.5224624045658861E-14</v>
      </c>
      <c r="EL187" s="14">
        <f t="shared" si="179"/>
        <v>7.4514601661523691E-13</v>
      </c>
      <c r="EM187" s="22">
        <f t="shared" si="180"/>
        <v>1.3765621991510601E-12</v>
      </c>
      <c r="EN187" s="60">
        <f t="shared" si="128"/>
        <v>289.6707863261081</v>
      </c>
      <c r="EO187" s="60">
        <f ca="1">AVERAGE(OFFSET($EN$3,0,0,'Données projet'!$E$15+1,1))-AVERAGE(OFFSET($H$3,0,0,'Données projet'!$E$15+1,1))</f>
        <v>273.72403794510291</v>
      </c>
      <c r="EP187" s="60">
        <f t="shared" si="154"/>
        <v>292.00185554564109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5.6843418860808015E-14</v>
      </c>
      <c r="FF187" s="18">
        <f>FE187*VLOOKUP('Données projet'!$B$16,Paramètres!$A$1:$I$89,3,0)*VLOOKUP('Données projet'!$B$16,Paramètres!$A$1:$I$89,5,0)</f>
        <v>4.4337866711430253E-14</v>
      </c>
      <c r="FG187" s="14">
        <f t="shared" si="182"/>
        <v>7.3222115536967035E-13</v>
      </c>
      <c r="FH187" s="22">
        <f t="shared" si="183"/>
        <v>1.3525069634579169E-12</v>
      </c>
      <c r="FI187" s="60">
        <f t="shared" si="131"/>
        <v>289.6707863261081</v>
      </c>
      <c r="FJ187" s="60">
        <f ca="1">AVERAGE(OFFSET($FI$3,0,0,'Données projet'!$E$16+1,1))-AVERAGE(OFFSET($H$3,0,0,'Données projet'!$E$16+1,1))</f>
        <v>309.21625451786218</v>
      </c>
      <c r="FK187" s="60">
        <f t="shared" si="156"/>
        <v>302.59481222418219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>
        <f>FZ187*VLOOKUP('Données projet'!$B$17,Paramètres!$A$1:$I$89,3,0)*VLOOKUP('Données projet'!$B$17,Paramètres!$A$1:$I$89,5,0)</f>
        <v>0</v>
      </c>
      <c r="GB187" s="14" t="e">
        <f t="shared" si="185"/>
        <v>#NUM!</v>
      </c>
      <c r="GC187" s="22" t="e">
        <f t="shared" si="186"/>
        <v>#NUM!</v>
      </c>
      <c r="GD187" s="60" t="e">
        <f t="shared" si="134"/>
        <v>#NUM!</v>
      </c>
      <c r="GE187" s="60">
        <f ca="1">AVERAGE(OFFSET($GD$3,0,0,'Données projet'!$E$17+1,1))-AVERAGE(OFFSET($H$3,0,0,'Données projet'!$E$17+1,1))</f>
        <v>216.36762889365235</v>
      </c>
      <c r="GF187" s="60">
        <f t="shared" si="158"/>
        <v>333.29599352215496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0.63948765152156273</v>
      </c>
      <c r="GM187" s="23">
        <f>EXP(-LN(2)/25)*GM186+(1-EXP(-LN(2)/25))/(LN(2)/25)*Calculateur!GH187*Calculateur!GJ187*VLOOKUP('Données projet'!$B$17,Paramètres!$A$1:$I$89,3,0)*0.475*44/12</f>
        <v>0.13634327542192953</v>
      </c>
      <c r="GN187" s="23">
        <f>EXP(-LN(2)/2)*GN186+(1-EXP(-LN(2)/2))/(LN(2)/2)*GH187*GK187*VLOOKUP('Données projet'!$B$17,Paramètres!$A$1:$I$89,3,0)*0.475*44/12</f>
        <v>1.9352239149595024E-23</v>
      </c>
      <c r="GO187" s="23">
        <f t="shared" si="187"/>
        <v>0.77583092694349221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4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-9.3464223027694966E-13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496.33873798282525</v>
      </c>
      <c r="T188" s="60">
        <f t="shared" si="142"/>
        <v>280.25465074992246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3.4106051316484809E-13</v>
      </c>
      <c r="AJ188" s="14">
        <f>AI188*VLOOKUP('Données projet'!$B$10,Paramètres!$A$1:$I$89,3,0)*VLOOKUP('Données projet'!$B$10,Paramètres!$A$1:$I$89,5,0)</f>
        <v>1.5961632016114892E-13</v>
      </c>
      <c r="AK188" s="14">
        <f t="shared" si="164"/>
        <v>2.2708641912150958E-12</v>
      </c>
      <c r="AL188" s="22">
        <f t="shared" si="165"/>
        <v>4.2330868906469593E-12</v>
      </c>
      <c r="AM188" s="60">
        <f t="shared" si="113"/>
        <v>289.73432332845795</v>
      </c>
      <c r="AN188" s="60">
        <f ca="1">AVERAGE(OFFSET($AM$3,0,0,'Données projet'!$E$10+1,1))-AVERAGE(OFFSET($H$3,0,0,'Données projet'!$E$10+1,1))</f>
        <v>277.7918215389401</v>
      </c>
      <c r="AO188" s="60">
        <f t="shared" si="144"/>
        <v>164.65640238394164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-2.2737367544323206E-13</v>
      </c>
      <c r="BE188" s="14">
        <f>BD188*VLOOKUP('Données projet'!$B$11,Paramètres!$A$1:$I$89,3,0)*VLOOKUP('Données projet'!$B$11,Paramètres!$A$1:$I$89,5,0)</f>
        <v>-2.1636878955177963E-13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366.21371543563254</v>
      </c>
      <c r="BJ188" s="60">
        <f t="shared" si="146"/>
        <v>237.43356317334084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-5.1159076974727213E-13</v>
      </c>
      <c r="BZ188" s="14">
        <f>BY188*VLOOKUP('Données projet'!$B$12,Paramètres!$A$1:$I$89,3,0)*VLOOKUP('Données projet'!$B$12,Paramètres!$A$1:$I$89,5,0)</f>
        <v>-5.3471467253984886E-13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530.79860063513229</v>
      </c>
      <c r="CE188" s="60">
        <f t="shared" si="148"/>
        <v>302.50876440460434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-8.7434273154940449E-13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469.67944008675863</v>
      </c>
      <c r="CZ188" s="60">
        <f t="shared" si="150"/>
        <v>266.11908070867173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-9.6633812063373625E-13</v>
      </c>
      <c r="DP188" s="18">
        <f>DO188*VLOOKUP('Données projet'!$B$14,Paramètres!$A$1:$I$89,3,0)*VLOOKUP('Données projet'!$B$14,Paramètres!$A$1:$I$89,5,0)</f>
        <v>-1.0401663530501537E-12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542.90832990875208</v>
      </c>
      <c r="DU188" s="60">
        <f t="shared" si="152"/>
        <v>304.94365539329362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5.6843418860808015E-14</v>
      </c>
      <c r="EK188" s="18">
        <f>EJ188*VLOOKUP('Données projet'!$B$15,Paramètres!$A$1:$I$89,3,0)*VLOOKUP('Données projet'!$B$15,Paramètres!$A$1:$I$89,5,0)</f>
        <v>4.5224624045658861E-14</v>
      </c>
      <c r="EL188" s="14">
        <f t="shared" si="179"/>
        <v>7.4514601661523691E-13</v>
      </c>
      <c r="EM188" s="22">
        <f t="shared" si="180"/>
        <v>1.3765621991510601E-12</v>
      </c>
      <c r="EN188" s="60">
        <f t="shared" si="128"/>
        <v>289.7343233284551</v>
      </c>
      <c r="EO188" s="60">
        <f ca="1">AVERAGE(OFFSET($EN$3,0,0,'Données projet'!$E$15+1,1))-AVERAGE(OFFSET($H$3,0,0,'Données projet'!$E$15+1,1))</f>
        <v>273.72403794510291</v>
      </c>
      <c r="EP188" s="60">
        <f t="shared" si="154"/>
        <v>292.00185554564109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5.6843418860808015E-14</v>
      </c>
      <c r="FF188" s="18">
        <f>FE188*VLOOKUP('Données projet'!$B$16,Paramètres!$A$1:$I$89,3,0)*VLOOKUP('Données projet'!$B$16,Paramètres!$A$1:$I$89,5,0)</f>
        <v>4.4337866711430253E-14</v>
      </c>
      <c r="FG188" s="14">
        <f t="shared" si="182"/>
        <v>7.3222115536967035E-13</v>
      </c>
      <c r="FH188" s="22">
        <f t="shared" si="183"/>
        <v>1.3525069634579169E-12</v>
      </c>
      <c r="FI188" s="60">
        <f t="shared" si="131"/>
        <v>289.7343233284551</v>
      </c>
      <c r="FJ188" s="60">
        <f ca="1">AVERAGE(OFFSET($FI$3,0,0,'Données projet'!$E$16+1,1))-AVERAGE(OFFSET($H$3,0,0,'Données projet'!$E$16+1,1))</f>
        <v>309.21625451786218</v>
      </c>
      <c r="FK188" s="60">
        <f t="shared" si="156"/>
        <v>302.59481222418219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>
        <f>FZ188*VLOOKUP('Données projet'!$B$17,Paramètres!$A$1:$I$89,3,0)*VLOOKUP('Données projet'!$B$17,Paramètres!$A$1:$I$89,5,0)</f>
        <v>0</v>
      </c>
      <c r="GB188" s="14" t="e">
        <f t="shared" si="185"/>
        <v>#NUM!</v>
      </c>
      <c r="GC188" s="22" t="e">
        <f t="shared" si="186"/>
        <v>#NUM!</v>
      </c>
      <c r="GD188" s="60" t="e">
        <f t="shared" si="134"/>
        <v>#NUM!</v>
      </c>
      <c r="GE188" s="60">
        <f ca="1">AVERAGE(OFFSET($GD$3,0,0,'Données projet'!$E$17+1,1))-AVERAGE(OFFSET($H$3,0,0,'Données projet'!$E$17+1,1))</f>
        <v>216.36762889365235</v>
      </c>
      <c r="GF188" s="60">
        <f t="shared" si="158"/>
        <v>333.29599352215496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0.62694768872417816</v>
      </c>
      <c r="GM188" s="23">
        <f>EXP(-LN(2)/25)*GM187+(1-EXP(-LN(2)/25))/(LN(2)/25)*Calculateur!GH188*Calculateur!GJ188*VLOOKUP('Données projet'!$B$17,Paramètres!$A$1:$I$89,3,0)*0.475*44/12</f>
        <v>0.13261496138553563</v>
      </c>
      <c r="GN188" s="23">
        <f>EXP(-LN(2)/2)*GN187+(1-EXP(-LN(2)/2))/(LN(2)/2)*GH188*GK188*VLOOKUP('Données projet'!$B$17,Paramètres!$A$1:$I$89,3,0)*0.475*44/12</f>
        <v>1.3684099533822427E-23</v>
      </c>
      <c r="GO188" s="23">
        <f t="shared" si="187"/>
        <v>0.7595626501097138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4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-9.3464223027694966E-13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496.33873798282525</v>
      </c>
      <c r="T189" s="60">
        <f t="shared" si="142"/>
        <v>280.25465074992246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3.4106051316484809E-13</v>
      </c>
      <c r="AJ189" s="14">
        <f>AI189*VLOOKUP('Données projet'!$B$10,Paramètres!$A$1:$I$89,3,0)*VLOOKUP('Données projet'!$B$10,Paramètres!$A$1:$I$89,5,0)</f>
        <v>1.5961632016114892E-13</v>
      </c>
      <c r="AK189" s="14">
        <f t="shared" si="164"/>
        <v>2.2708641912150958E-12</v>
      </c>
      <c r="AL189" s="22">
        <f t="shared" si="165"/>
        <v>4.2330868906469593E-12</v>
      </c>
      <c r="AM189" s="60">
        <f t="shared" si="113"/>
        <v>289.79675810586161</v>
      </c>
      <c r="AN189" s="60">
        <f ca="1">AVERAGE(OFFSET($AM$3,0,0,'Données projet'!$E$10+1,1))-AVERAGE(OFFSET($H$3,0,0,'Données projet'!$E$10+1,1))</f>
        <v>277.7918215389401</v>
      </c>
      <c r="AO189" s="60">
        <f t="shared" si="144"/>
        <v>164.65640238394164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-2.2737367544323206E-13</v>
      </c>
      <c r="BE189" s="14">
        <f>BD189*VLOOKUP('Données projet'!$B$11,Paramètres!$A$1:$I$89,3,0)*VLOOKUP('Données projet'!$B$11,Paramètres!$A$1:$I$89,5,0)</f>
        <v>-2.1636878955177963E-13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366.21371543563254</v>
      </c>
      <c r="BJ189" s="60">
        <f t="shared" si="146"/>
        <v>237.43356317334084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-5.1159076974727213E-13</v>
      </c>
      <c r="BZ189" s="14">
        <f>BY189*VLOOKUP('Données projet'!$B$12,Paramètres!$A$1:$I$89,3,0)*VLOOKUP('Données projet'!$B$12,Paramètres!$A$1:$I$89,5,0)</f>
        <v>-5.3471467253984886E-13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530.79860063513229</v>
      </c>
      <c r="CE189" s="60">
        <f t="shared" si="148"/>
        <v>302.50876440460434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-8.7434273154940449E-13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469.67944008675863</v>
      </c>
      <c r="CZ189" s="60">
        <f t="shared" si="150"/>
        <v>266.11908070867173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-9.6633812063373625E-13</v>
      </c>
      <c r="DP189" s="18">
        <f>DO189*VLOOKUP('Données projet'!$B$14,Paramètres!$A$1:$I$89,3,0)*VLOOKUP('Données projet'!$B$14,Paramètres!$A$1:$I$89,5,0)</f>
        <v>-1.0401663530501537E-12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542.90832990875208</v>
      </c>
      <c r="DU189" s="60">
        <f t="shared" si="152"/>
        <v>304.94365539329362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5.6843418860808015E-14</v>
      </c>
      <c r="EK189" s="18">
        <f>EJ189*VLOOKUP('Données projet'!$B$15,Paramètres!$A$1:$I$89,3,0)*VLOOKUP('Données projet'!$B$15,Paramètres!$A$1:$I$89,5,0)</f>
        <v>4.5224624045658861E-14</v>
      </c>
      <c r="EL189" s="14">
        <f t="shared" si="179"/>
        <v>7.4514601661523691E-13</v>
      </c>
      <c r="EM189" s="22">
        <f t="shared" si="180"/>
        <v>1.3765621991510601E-12</v>
      </c>
      <c r="EN189" s="60">
        <f t="shared" si="128"/>
        <v>289.79675810585877</v>
      </c>
      <c r="EO189" s="60">
        <f ca="1">AVERAGE(OFFSET($EN$3,0,0,'Données projet'!$E$15+1,1))-AVERAGE(OFFSET($H$3,0,0,'Données projet'!$E$15+1,1))</f>
        <v>273.72403794510291</v>
      </c>
      <c r="EP189" s="60">
        <f t="shared" si="154"/>
        <v>292.00185554564109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5.6843418860808015E-14</v>
      </c>
      <c r="FF189" s="18">
        <f>FE189*VLOOKUP('Données projet'!$B$16,Paramètres!$A$1:$I$89,3,0)*VLOOKUP('Données projet'!$B$16,Paramètres!$A$1:$I$89,5,0)</f>
        <v>4.4337866711430253E-14</v>
      </c>
      <c r="FG189" s="14">
        <f t="shared" si="182"/>
        <v>7.3222115536967035E-13</v>
      </c>
      <c r="FH189" s="22">
        <f t="shared" si="183"/>
        <v>1.3525069634579169E-12</v>
      </c>
      <c r="FI189" s="60">
        <f t="shared" si="131"/>
        <v>289.79675810585877</v>
      </c>
      <c r="FJ189" s="60">
        <f ca="1">AVERAGE(OFFSET($FI$3,0,0,'Données projet'!$E$16+1,1))-AVERAGE(OFFSET($H$3,0,0,'Données projet'!$E$16+1,1))</f>
        <v>309.21625451786218</v>
      </c>
      <c r="FK189" s="60">
        <f t="shared" si="156"/>
        <v>302.59481222418219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>
        <f>FZ189*VLOOKUP('Données projet'!$B$17,Paramètres!$A$1:$I$89,3,0)*VLOOKUP('Données projet'!$B$17,Paramètres!$A$1:$I$89,5,0)</f>
        <v>0</v>
      </c>
      <c r="GB189" s="14" t="e">
        <f t="shared" si="185"/>
        <v>#NUM!</v>
      </c>
      <c r="GC189" s="22" t="e">
        <f t="shared" si="186"/>
        <v>#NUM!</v>
      </c>
      <c r="GD189" s="60" t="e">
        <f t="shared" si="134"/>
        <v>#NUM!</v>
      </c>
      <c r="GE189" s="60">
        <f ca="1">AVERAGE(OFFSET($GD$3,0,0,'Données projet'!$E$17+1,1))-AVERAGE(OFFSET($H$3,0,0,'Données projet'!$E$17+1,1))</f>
        <v>216.36762889365235</v>
      </c>
      <c r="GF189" s="60">
        <f t="shared" si="158"/>
        <v>333.29599352215496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0.61465362694862824</v>
      </c>
      <c r="GM189" s="23">
        <f>EXP(-LN(2)/25)*GM188+(1-EXP(-LN(2)/25))/(LN(2)/25)*Calculateur!GH189*Calculateur!GJ189*VLOOKUP('Données projet'!$B$17,Paramètres!$A$1:$I$89,3,0)*0.475*44/12</f>
        <v>0.12898859829253043</v>
      </c>
      <c r="GN189" s="23">
        <f>EXP(-LN(2)/2)*GN188+(1-EXP(-LN(2)/2))/(LN(2)/2)*GH189*GK189*VLOOKUP('Données projet'!$B$17,Paramètres!$A$1:$I$89,3,0)*0.475*44/12</f>
        <v>9.6761195747975119E-24</v>
      </c>
      <c r="GO189" s="23">
        <f t="shared" si="187"/>
        <v>0.74364222524115864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4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-9.3464223027694966E-13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496.33873798282525</v>
      </c>
      <c r="T190" s="60">
        <f t="shared" si="142"/>
        <v>280.25465074992246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3.4106051316484809E-13</v>
      </c>
      <c r="AJ190" s="14">
        <f>AI190*VLOOKUP('Données projet'!$B$10,Paramètres!$A$1:$I$89,3,0)*VLOOKUP('Données projet'!$B$10,Paramètres!$A$1:$I$89,5,0)</f>
        <v>1.5961632016114892E-13</v>
      </c>
      <c r="AK190" s="14">
        <f t="shared" si="164"/>
        <v>2.2708641912150958E-12</v>
      </c>
      <c r="AL190" s="22">
        <f t="shared" si="165"/>
        <v>4.2330868906469593E-12</v>
      </c>
      <c r="AM190" s="60">
        <f t="shared" si="113"/>
        <v>289.85810977946062</v>
      </c>
      <c r="AN190" s="60">
        <f ca="1">AVERAGE(OFFSET($AM$3,0,0,'Données projet'!$E$10+1,1))-AVERAGE(OFFSET($H$3,0,0,'Données projet'!$E$10+1,1))</f>
        <v>277.7918215389401</v>
      </c>
      <c r="AO190" s="60">
        <f t="shared" si="144"/>
        <v>164.65640238394164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-2.2737367544323206E-13</v>
      </c>
      <c r="BE190" s="14">
        <f>BD190*VLOOKUP('Données projet'!$B$11,Paramètres!$A$1:$I$89,3,0)*VLOOKUP('Données projet'!$B$11,Paramètres!$A$1:$I$89,5,0)</f>
        <v>-2.1636878955177963E-13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366.21371543563254</v>
      </c>
      <c r="BJ190" s="60">
        <f t="shared" si="146"/>
        <v>237.43356317334084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-5.1159076974727213E-13</v>
      </c>
      <c r="BZ190" s="14">
        <f>BY190*VLOOKUP('Données projet'!$B$12,Paramètres!$A$1:$I$89,3,0)*VLOOKUP('Données projet'!$B$12,Paramètres!$A$1:$I$89,5,0)</f>
        <v>-5.3471467253984886E-13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530.79860063513229</v>
      </c>
      <c r="CE190" s="60">
        <f t="shared" si="148"/>
        <v>302.50876440460434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-8.7434273154940449E-13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469.67944008675863</v>
      </c>
      <c r="CZ190" s="60">
        <f t="shared" si="150"/>
        <v>266.11908070867173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-9.6633812063373625E-13</v>
      </c>
      <c r="DP190" s="18">
        <f>DO190*VLOOKUP('Données projet'!$B$14,Paramètres!$A$1:$I$89,3,0)*VLOOKUP('Données projet'!$B$14,Paramètres!$A$1:$I$89,5,0)</f>
        <v>-1.0401663530501537E-12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542.90832990875208</v>
      </c>
      <c r="DU190" s="60">
        <f t="shared" si="152"/>
        <v>304.94365539329362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5.6843418860808015E-14</v>
      </c>
      <c r="EK190" s="18">
        <f>EJ190*VLOOKUP('Données projet'!$B$15,Paramètres!$A$1:$I$89,3,0)*VLOOKUP('Données projet'!$B$15,Paramètres!$A$1:$I$89,5,0)</f>
        <v>4.5224624045658861E-14</v>
      </c>
      <c r="EL190" s="14">
        <f t="shared" si="179"/>
        <v>7.4514601661523691E-13</v>
      </c>
      <c r="EM190" s="22">
        <f t="shared" si="180"/>
        <v>1.3765621991510601E-12</v>
      </c>
      <c r="EN190" s="60">
        <f t="shared" si="128"/>
        <v>289.85810977945778</v>
      </c>
      <c r="EO190" s="60">
        <f ca="1">AVERAGE(OFFSET($EN$3,0,0,'Données projet'!$E$15+1,1))-AVERAGE(OFFSET($H$3,0,0,'Données projet'!$E$15+1,1))</f>
        <v>273.72403794510291</v>
      </c>
      <c r="EP190" s="60">
        <f t="shared" si="154"/>
        <v>292.00185554564109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5.6843418860808015E-14</v>
      </c>
      <c r="FF190" s="18">
        <f>FE190*VLOOKUP('Données projet'!$B$16,Paramètres!$A$1:$I$89,3,0)*VLOOKUP('Données projet'!$B$16,Paramètres!$A$1:$I$89,5,0)</f>
        <v>4.4337866711430253E-14</v>
      </c>
      <c r="FG190" s="14">
        <f t="shared" si="182"/>
        <v>7.3222115536967035E-13</v>
      </c>
      <c r="FH190" s="22">
        <f t="shared" si="183"/>
        <v>1.3525069634579169E-12</v>
      </c>
      <c r="FI190" s="60">
        <f t="shared" si="131"/>
        <v>289.85810977945778</v>
      </c>
      <c r="FJ190" s="60">
        <f ca="1">AVERAGE(OFFSET($FI$3,0,0,'Données projet'!$E$16+1,1))-AVERAGE(OFFSET($H$3,0,0,'Données projet'!$E$16+1,1))</f>
        <v>309.21625451786218</v>
      </c>
      <c r="FK190" s="60">
        <f t="shared" si="156"/>
        <v>302.59481222418219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>
        <f>FZ190*VLOOKUP('Données projet'!$B$17,Paramètres!$A$1:$I$89,3,0)*VLOOKUP('Données projet'!$B$17,Paramètres!$A$1:$I$89,5,0)</f>
        <v>0</v>
      </c>
      <c r="GB190" s="14" t="e">
        <f t="shared" si="185"/>
        <v>#NUM!</v>
      </c>
      <c r="GC190" s="22" t="e">
        <f t="shared" si="186"/>
        <v>#NUM!</v>
      </c>
      <c r="GD190" s="60" t="e">
        <f t="shared" si="134"/>
        <v>#NUM!</v>
      </c>
      <c r="GE190" s="60">
        <f ca="1">AVERAGE(OFFSET($GD$3,0,0,'Données projet'!$E$17+1,1))-AVERAGE(OFFSET($H$3,0,0,'Données projet'!$E$17+1,1))</f>
        <v>216.36762889365235</v>
      </c>
      <c r="GF190" s="60">
        <f t="shared" si="158"/>
        <v>333.29599352215496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0.60260064422585957</v>
      </c>
      <c r="GM190" s="23">
        <f>EXP(-LN(2)/25)*GM189+(1-EXP(-LN(2)/25))/(LN(2)/25)*Calculateur!GH190*Calculateur!GJ190*VLOOKUP('Données projet'!$B$17,Paramètres!$A$1:$I$89,3,0)*0.475*44/12</f>
        <v>0.1254613982890056</v>
      </c>
      <c r="GN190" s="23">
        <f>EXP(-LN(2)/2)*GN189+(1-EXP(-LN(2)/2))/(LN(2)/2)*GH190*GK190*VLOOKUP('Données projet'!$B$17,Paramètres!$A$1:$I$89,3,0)*0.475*44/12</f>
        <v>6.8420497669112134E-24</v>
      </c>
      <c r="GO190" s="23">
        <f t="shared" si="187"/>
        <v>0.72806204251486517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4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-9.3464223027694966E-13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496.33873798282525</v>
      </c>
      <c r="T191" s="60">
        <f t="shared" si="142"/>
        <v>280.25465074992246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3.4106051316484809E-13</v>
      </c>
      <c r="AJ191" s="14">
        <f>AI191*VLOOKUP('Données projet'!$B$10,Paramètres!$A$1:$I$89,3,0)*VLOOKUP('Données projet'!$B$10,Paramètres!$A$1:$I$89,5,0)</f>
        <v>1.5961632016114892E-13</v>
      </c>
      <c r="AK191" s="14">
        <f t="shared" si="164"/>
        <v>2.2708641912150958E-12</v>
      </c>
      <c r="AL191" s="22">
        <f t="shared" si="165"/>
        <v>4.2330868906469593E-12</v>
      </c>
      <c r="AM191" s="60">
        <f t="shared" si="113"/>
        <v>289.91839713868444</v>
      </c>
      <c r="AN191" s="60">
        <f ca="1">AVERAGE(OFFSET($AM$3,0,0,'Données projet'!$E$10+1,1))-AVERAGE(OFFSET($H$3,0,0,'Données projet'!$E$10+1,1))</f>
        <v>277.7918215389401</v>
      </c>
      <c r="AO191" s="60">
        <f t="shared" si="144"/>
        <v>164.65640238394164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-2.2737367544323206E-13</v>
      </c>
      <c r="BE191" s="14">
        <f>BD191*VLOOKUP('Données projet'!$B$11,Paramètres!$A$1:$I$89,3,0)*VLOOKUP('Données projet'!$B$11,Paramètres!$A$1:$I$89,5,0)</f>
        <v>-2.1636878955177963E-13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366.21371543563254</v>
      </c>
      <c r="BJ191" s="60">
        <f t="shared" si="146"/>
        <v>237.43356317334084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-5.1159076974727213E-13</v>
      </c>
      <c r="BZ191" s="14">
        <f>BY191*VLOOKUP('Données projet'!$B$12,Paramètres!$A$1:$I$89,3,0)*VLOOKUP('Données projet'!$B$12,Paramètres!$A$1:$I$89,5,0)</f>
        <v>-5.3471467253984886E-13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530.79860063513229</v>
      </c>
      <c r="CE191" s="60">
        <f t="shared" si="148"/>
        <v>302.50876440460434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-8.7434273154940449E-13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469.67944008675863</v>
      </c>
      <c r="CZ191" s="60">
        <f t="shared" si="150"/>
        <v>266.11908070867173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-9.6633812063373625E-13</v>
      </c>
      <c r="DP191" s="18">
        <f>DO191*VLOOKUP('Données projet'!$B$14,Paramètres!$A$1:$I$89,3,0)*VLOOKUP('Données projet'!$B$14,Paramètres!$A$1:$I$89,5,0)</f>
        <v>-1.0401663530501537E-12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542.90832990875208</v>
      </c>
      <c r="DU191" s="60">
        <f t="shared" si="152"/>
        <v>304.94365539329362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5.6843418860808015E-14</v>
      </c>
      <c r="EK191" s="18">
        <f>EJ191*VLOOKUP('Données projet'!$B$15,Paramètres!$A$1:$I$89,3,0)*VLOOKUP('Données projet'!$B$15,Paramètres!$A$1:$I$89,5,0)</f>
        <v>4.5224624045658861E-14</v>
      </c>
      <c r="EL191" s="14">
        <f t="shared" si="179"/>
        <v>7.4514601661523691E-13</v>
      </c>
      <c r="EM191" s="22">
        <f t="shared" si="180"/>
        <v>1.3765621991510601E-12</v>
      </c>
      <c r="EN191" s="60">
        <f t="shared" si="128"/>
        <v>289.9183971386816</v>
      </c>
      <c r="EO191" s="60">
        <f ca="1">AVERAGE(OFFSET($EN$3,0,0,'Données projet'!$E$15+1,1))-AVERAGE(OFFSET($H$3,0,0,'Données projet'!$E$15+1,1))</f>
        <v>273.72403794510291</v>
      </c>
      <c r="EP191" s="60">
        <f t="shared" si="154"/>
        <v>292.00185554564109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5.6843418860808015E-14</v>
      </c>
      <c r="FF191" s="18">
        <f>FE191*VLOOKUP('Données projet'!$B$16,Paramètres!$A$1:$I$89,3,0)*VLOOKUP('Données projet'!$B$16,Paramètres!$A$1:$I$89,5,0)</f>
        <v>4.4337866711430253E-14</v>
      </c>
      <c r="FG191" s="14">
        <f t="shared" si="182"/>
        <v>7.3222115536967035E-13</v>
      </c>
      <c r="FH191" s="22">
        <f t="shared" si="183"/>
        <v>1.3525069634579169E-12</v>
      </c>
      <c r="FI191" s="60">
        <f t="shared" si="131"/>
        <v>289.9183971386816</v>
      </c>
      <c r="FJ191" s="60">
        <f ca="1">AVERAGE(OFFSET($FI$3,0,0,'Données projet'!$E$16+1,1))-AVERAGE(OFFSET($H$3,0,0,'Données projet'!$E$16+1,1))</f>
        <v>309.21625451786218</v>
      </c>
      <c r="FK191" s="60">
        <f t="shared" si="156"/>
        <v>302.59481222418219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>
        <f>FZ191*VLOOKUP('Données projet'!$B$17,Paramètres!$A$1:$I$89,3,0)*VLOOKUP('Données projet'!$B$17,Paramètres!$A$1:$I$89,5,0)</f>
        <v>0</v>
      </c>
      <c r="GB191" s="14" t="e">
        <f t="shared" si="185"/>
        <v>#NUM!</v>
      </c>
      <c r="GC191" s="22" t="e">
        <f t="shared" si="186"/>
        <v>#NUM!</v>
      </c>
      <c r="GD191" s="60" t="e">
        <f t="shared" si="134"/>
        <v>#NUM!</v>
      </c>
      <c r="GE191" s="60">
        <f ca="1">AVERAGE(OFFSET($GD$3,0,0,'Données projet'!$E$17+1,1))-AVERAGE(OFFSET($H$3,0,0,'Données projet'!$E$17+1,1))</f>
        <v>216.36762889365235</v>
      </c>
      <c r="GF191" s="60">
        <f t="shared" si="158"/>
        <v>333.29599352215496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0.59078401314269091</v>
      </c>
      <c r="GM191" s="23">
        <f>EXP(-LN(2)/25)*GM190+(1-EXP(-LN(2)/25))/(LN(2)/25)*Calculateur!GH191*Calculateur!GJ191*VLOOKUP('Données projet'!$B$17,Paramètres!$A$1:$I$89,3,0)*0.475*44/12</f>
        <v>0.12203064975506456</v>
      </c>
      <c r="GN191" s="23">
        <f>EXP(-LN(2)/2)*GN190+(1-EXP(-LN(2)/2))/(LN(2)/2)*GH191*GK191*VLOOKUP('Données projet'!$B$17,Paramètres!$A$1:$I$89,3,0)*0.475*44/12</f>
        <v>4.8380597873987559E-24</v>
      </c>
      <c r="GO191" s="23">
        <f t="shared" si="187"/>
        <v>0.71281466289775541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4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-9.3464223027694966E-13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496.33873798282525</v>
      </c>
      <c r="T192" s="60">
        <f t="shared" si="142"/>
        <v>280.25465074992246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3.4106051316484809E-13</v>
      </c>
      <c r="AJ192" s="14">
        <f>AI192*VLOOKUP('Données projet'!$B$10,Paramètres!$A$1:$I$89,3,0)*VLOOKUP('Données projet'!$B$10,Paramètres!$A$1:$I$89,5,0)</f>
        <v>1.5961632016114892E-13</v>
      </c>
      <c r="AK192" s="14">
        <f t="shared" si="164"/>
        <v>2.2708641912150958E-12</v>
      </c>
      <c r="AL192" s="22">
        <f t="shared" si="165"/>
        <v>4.2330868906469593E-12</v>
      </c>
      <c r="AM192" s="60">
        <f t="shared" si="113"/>
        <v>289.97763864700806</v>
      </c>
      <c r="AN192" s="60">
        <f ca="1">AVERAGE(OFFSET($AM$3,0,0,'Données projet'!$E$10+1,1))-AVERAGE(OFFSET($H$3,0,0,'Données projet'!$E$10+1,1))</f>
        <v>277.7918215389401</v>
      </c>
      <c r="AO192" s="60">
        <f t="shared" si="144"/>
        <v>164.65640238394164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-2.2737367544323206E-13</v>
      </c>
      <c r="BE192" s="14">
        <f>BD192*VLOOKUP('Données projet'!$B$11,Paramètres!$A$1:$I$89,3,0)*VLOOKUP('Données projet'!$B$11,Paramètres!$A$1:$I$89,5,0)</f>
        <v>-2.1636878955177963E-13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366.21371543563254</v>
      </c>
      <c r="BJ192" s="60">
        <f t="shared" si="146"/>
        <v>237.43356317334084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-5.1159076974727213E-13</v>
      </c>
      <c r="BZ192" s="14">
        <f>BY192*VLOOKUP('Données projet'!$B$12,Paramètres!$A$1:$I$89,3,0)*VLOOKUP('Données projet'!$B$12,Paramètres!$A$1:$I$89,5,0)</f>
        <v>-5.3471467253984886E-13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530.79860063513229</v>
      </c>
      <c r="CE192" s="60">
        <f t="shared" si="148"/>
        <v>302.50876440460434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-8.7434273154940449E-13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469.67944008675863</v>
      </c>
      <c r="CZ192" s="60">
        <f t="shared" si="150"/>
        <v>266.11908070867173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-9.6633812063373625E-13</v>
      </c>
      <c r="DP192" s="18">
        <f>DO192*VLOOKUP('Données projet'!$B$14,Paramètres!$A$1:$I$89,3,0)*VLOOKUP('Données projet'!$B$14,Paramètres!$A$1:$I$89,5,0)</f>
        <v>-1.0401663530501537E-12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542.90832990875208</v>
      </c>
      <c r="DU192" s="60">
        <f t="shared" si="152"/>
        <v>304.94365539329362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5.6843418860808015E-14</v>
      </c>
      <c r="EK192" s="18">
        <f>EJ192*VLOOKUP('Données projet'!$B$15,Paramètres!$A$1:$I$89,3,0)*VLOOKUP('Données projet'!$B$15,Paramètres!$A$1:$I$89,5,0)</f>
        <v>4.5224624045658861E-14</v>
      </c>
      <c r="EL192" s="14">
        <f t="shared" si="179"/>
        <v>7.4514601661523691E-13</v>
      </c>
      <c r="EM192" s="22">
        <f t="shared" si="180"/>
        <v>1.3765621991510601E-12</v>
      </c>
      <c r="EN192" s="60">
        <f t="shared" si="128"/>
        <v>289.97763864700522</v>
      </c>
      <c r="EO192" s="60">
        <f ca="1">AVERAGE(OFFSET($EN$3,0,0,'Données projet'!$E$15+1,1))-AVERAGE(OFFSET($H$3,0,0,'Données projet'!$E$15+1,1))</f>
        <v>273.72403794510291</v>
      </c>
      <c r="EP192" s="60">
        <f t="shared" si="154"/>
        <v>292.00185554564109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5.6843418860808015E-14</v>
      </c>
      <c r="FF192" s="18">
        <f>FE192*VLOOKUP('Données projet'!$B$16,Paramètres!$A$1:$I$89,3,0)*VLOOKUP('Données projet'!$B$16,Paramètres!$A$1:$I$89,5,0)</f>
        <v>4.4337866711430253E-14</v>
      </c>
      <c r="FG192" s="14">
        <f t="shared" si="182"/>
        <v>7.3222115536967035E-13</v>
      </c>
      <c r="FH192" s="22">
        <f t="shared" si="183"/>
        <v>1.3525069634579169E-12</v>
      </c>
      <c r="FI192" s="60">
        <f t="shared" si="131"/>
        <v>289.97763864700522</v>
      </c>
      <c r="FJ192" s="60">
        <f ca="1">AVERAGE(OFFSET($FI$3,0,0,'Données projet'!$E$16+1,1))-AVERAGE(OFFSET($H$3,0,0,'Données projet'!$E$16+1,1))</f>
        <v>309.21625451786218</v>
      </c>
      <c r="FK192" s="60">
        <f t="shared" si="156"/>
        <v>302.59481222418219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>
        <f>FZ192*VLOOKUP('Données projet'!$B$17,Paramètres!$A$1:$I$89,3,0)*VLOOKUP('Données projet'!$B$17,Paramètres!$A$1:$I$89,5,0)</f>
        <v>0</v>
      </c>
      <c r="GB192" s="14" t="e">
        <f t="shared" si="185"/>
        <v>#NUM!</v>
      </c>
      <c r="GC192" s="22" t="e">
        <f t="shared" si="186"/>
        <v>#NUM!</v>
      </c>
      <c r="GD192" s="60" t="e">
        <f t="shared" si="134"/>
        <v>#NUM!</v>
      </c>
      <c r="GE192" s="60">
        <f ca="1">AVERAGE(OFFSET($GD$3,0,0,'Données projet'!$E$17+1,1))-AVERAGE(OFFSET($H$3,0,0,'Données projet'!$E$17+1,1))</f>
        <v>216.36762889365235</v>
      </c>
      <c r="GF192" s="60">
        <f t="shared" si="158"/>
        <v>333.29599352215496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0.57919909898762989</v>
      </c>
      <c r="GM192" s="23">
        <f>EXP(-LN(2)/25)*GM191+(1-EXP(-LN(2)/25))/(LN(2)/25)*Calculateur!GH192*Calculateur!GJ192*VLOOKUP('Données projet'!$B$17,Paramètres!$A$1:$I$89,3,0)*0.475*44/12</f>
        <v>0.11869371522019935</v>
      </c>
      <c r="GN192" s="23">
        <f>EXP(-LN(2)/2)*GN191+(1-EXP(-LN(2)/2))/(LN(2)/2)*GH192*GK192*VLOOKUP('Données projet'!$B$17,Paramètres!$A$1:$I$89,3,0)*0.475*44/12</f>
        <v>3.4210248834556067E-24</v>
      </c>
      <c r="GO192" s="23">
        <f t="shared" si="187"/>
        <v>0.69789281420782923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4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-9.3464223027694966E-13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496.33873798282525</v>
      </c>
      <c r="T193" s="60">
        <f t="shared" si="142"/>
        <v>280.25465074992246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3.4106051316484809E-13</v>
      </c>
      <c r="AJ193" s="14">
        <f>AI193*VLOOKUP('Données projet'!$B$10,Paramètres!$A$1:$I$89,3,0)*VLOOKUP('Données projet'!$B$10,Paramètres!$A$1:$I$89,5,0)</f>
        <v>1.5961632016114892E-13</v>
      </c>
      <c r="AK193" s="14">
        <f t="shared" si="164"/>
        <v>2.2708641912150958E-12</v>
      </c>
      <c r="AL193" s="22">
        <f t="shared" si="165"/>
        <v>4.2330868906469593E-12</v>
      </c>
      <c r="AM193" s="60">
        <f t="shared" si="113"/>
        <v>290.03585244760649</v>
      </c>
      <c r="AN193" s="60">
        <f ca="1">AVERAGE(OFFSET($AM$3,0,0,'Données projet'!$E$10+1,1))-AVERAGE(OFFSET($H$3,0,0,'Données projet'!$E$10+1,1))</f>
        <v>277.7918215389401</v>
      </c>
      <c r="AO193" s="60">
        <f t="shared" si="144"/>
        <v>164.65640238394164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-2.2737367544323206E-13</v>
      </c>
      <c r="BE193" s="14">
        <f>BD193*VLOOKUP('Données projet'!$B$11,Paramètres!$A$1:$I$89,3,0)*VLOOKUP('Données projet'!$B$11,Paramètres!$A$1:$I$89,5,0)</f>
        <v>-2.1636878955177963E-13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366.21371543563254</v>
      </c>
      <c r="BJ193" s="60">
        <f t="shared" si="146"/>
        <v>237.43356317334084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-5.1159076974727213E-13</v>
      </c>
      <c r="BZ193" s="14">
        <f>BY193*VLOOKUP('Données projet'!$B$12,Paramètres!$A$1:$I$89,3,0)*VLOOKUP('Données projet'!$B$12,Paramètres!$A$1:$I$89,5,0)</f>
        <v>-5.3471467253984886E-13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530.79860063513229</v>
      </c>
      <c r="CE193" s="60">
        <f t="shared" si="148"/>
        <v>302.50876440460434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-8.7434273154940449E-13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469.67944008675863</v>
      </c>
      <c r="CZ193" s="60">
        <f t="shared" si="150"/>
        <v>266.11908070867173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-9.6633812063373625E-13</v>
      </c>
      <c r="DP193" s="18">
        <f>DO193*VLOOKUP('Données projet'!$B$14,Paramètres!$A$1:$I$89,3,0)*VLOOKUP('Données projet'!$B$14,Paramètres!$A$1:$I$89,5,0)</f>
        <v>-1.0401663530501537E-12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542.90832990875208</v>
      </c>
      <c r="DU193" s="60">
        <f t="shared" si="152"/>
        <v>304.94365539329362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5.6843418860808015E-14</v>
      </c>
      <c r="EK193" s="18">
        <f>EJ193*VLOOKUP('Données projet'!$B$15,Paramètres!$A$1:$I$89,3,0)*VLOOKUP('Données projet'!$B$15,Paramètres!$A$1:$I$89,5,0)</f>
        <v>4.5224624045658861E-14</v>
      </c>
      <c r="EL193" s="14">
        <f t="shared" si="179"/>
        <v>7.4514601661523691E-13</v>
      </c>
      <c r="EM193" s="22">
        <f t="shared" si="180"/>
        <v>1.3765621991510601E-12</v>
      </c>
      <c r="EN193" s="60">
        <f t="shared" si="128"/>
        <v>290.03585244760365</v>
      </c>
      <c r="EO193" s="60">
        <f ca="1">AVERAGE(OFFSET($EN$3,0,0,'Données projet'!$E$15+1,1))-AVERAGE(OFFSET($H$3,0,0,'Données projet'!$E$15+1,1))</f>
        <v>273.72403794510291</v>
      </c>
      <c r="EP193" s="60">
        <f t="shared" si="154"/>
        <v>292.00185554564109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5.6843418860808015E-14</v>
      </c>
      <c r="FF193" s="18">
        <f>FE193*VLOOKUP('Données projet'!$B$16,Paramètres!$A$1:$I$89,3,0)*VLOOKUP('Données projet'!$B$16,Paramètres!$A$1:$I$89,5,0)</f>
        <v>4.4337866711430253E-14</v>
      </c>
      <c r="FG193" s="14">
        <f t="shared" si="182"/>
        <v>7.3222115536967035E-13</v>
      </c>
      <c r="FH193" s="22">
        <f t="shared" si="183"/>
        <v>1.3525069634579169E-12</v>
      </c>
      <c r="FI193" s="60">
        <f t="shared" si="131"/>
        <v>290.03585244760365</v>
      </c>
      <c r="FJ193" s="60">
        <f ca="1">AVERAGE(OFFSET($FI$3,0,0,'Données projet'!$E$16+1,1))-AVERAGE(OFFSET($H$3,0,0,'Données projet'!$E$16+1,1))</f>
        <v>309.21625451786218</v>
      </c>
      <c r="FK193" s="60">
        <f t="shared" si="156"/>
        <v>302.59481222418219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>
        <f>FZ193*VLOOKUP('Données projet'!$B$17,Paramètres!$A$1:$I$89,3,0)*VLOOKUP('Données projet'!$B$17,Paramètres!$A$1:$I$89,5,0)</f>
        <v>0</v>
      </c>
      <c r="GB193" s="14" t="e">
        <f t="shared" si="185"/>
        <v>#NUM!</v>
      </c>
      <c r="GC193" s="22" t="e">
        <f t="shared" si="186"/>
        <v>#NUM!</v>
      </c>
      <c r="GD193" s="60" t="e">
        <f t="shared" si="134"/>
        <v>#NUM!</v>
      </c>
      <c r="GE193" s="60">
        <f ca="1">AVERAGE(OFFSET($GD$3,0,0,'Données projet'!$E$17+1,1))-AVERAGE(OFFSET($H$3,0,0,'Données projet'!$E$17+1,1))</f>
        <v>216.36762889365235</v>
      </c>
      <c r="GF193" s="60">
        <f t="shared" si="158"/>
        <v>333.29599352215496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0.56784135793304968</v>
      </c>
      <c r="GM193" s="23">
        <f>EXP(-LN(2)/25)*GM192+(1-EXP(-LN(2)/25))/(LN(2)/25)*Calculateur!GH193*Calculateur!GJ193*VLOOKUP('Données projet'!$B$17,Paramètres!$A$1:$I$89,3,0)*0.475*44/12</f>
        <v>0.11544802933567179</v>
      </c>
      <c r="GN193" s="23">
        <f>EXP(-LN(2)/2)*GN192+(1-EXP(-LN(2)/2))/(LN(2)/2)*GH193*GK193*VLOOKUP('Données projet'!$B$17,Paramètres!$A$1:$I$89,3,0)*0.475*44/12</f>
        <v>2.419029893699378E-24</v>
      </c>
      <c r="GO193" s="23">
        <f t="shared" si="187"/>
        <v>0.68328938726872146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4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-9.3464223027694966E-13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496.33873798282525</v>
      </c>
      <c r="T194" s="60">
        <f t="shared" si="142"/>
        <v>280.25465074992246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3.4106051316484809E-13</v>
      </c>
      <c r="AJ194" s="14">
        <f>AI194*VLOOKUP('Données projet'!$B$10,Paramètres!$A$1:$I$89,3,0)*VLOOKUP('Données projet'!$B$10,Paramètres!$A$1:$I$89,5,0)</f>
        <v>1.5961632016114892E-13</v>
      </c>
      <c r="AK194" s="14">
        <f t="shared" si="164"/>
        <v>2.2708641912150958E-12</v>
      </c>
      <c r="AL194" s="22">
        <f t="shared" si="165"/>
        <v>4.2330868906469593E-12</v>
      </c>
      <c r="AM194" s="60">
        <f t="shared" si="113"/>
        <v>290.09305636891105</v>
      </c>
      <c r="AN194" s="60">
        <f ca="1">AVERAGE(OFFSET($AM$3,0,0,'Données projet'!$E$10+1,1))-AVERAGE(OFFSET($H$3,0,0,'Données projet'!$E$10+1,1))</f>
        <v>277.7918215389401</v>
      </c>
      <c r="AO194" s="60">
        <f t="shared" si="144"/>
        <v>164.65640238394164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-2.2737367544323206E-13</v>
      </c>
      <c r="BE194" s="14">
        <f>BD194*VLOOKUP('Données projet'!$B$11,Paramètres!$A$1:$I$89,3,0)*VLOOKUP('Données projet'!$B$11,Paramètres!$A$1:$I$89,5,0)</f>
        <v>-2.1636878955177963E-13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366.21371543563254</v>
      </c>
      <c r="BJ194" s="60">
        <f t="shared" si="146"/>
        <v>237.43356317334084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-5.1159076974727213E-13</v>
      </c>
      <c r="BZ194" s="14">
        <f>BY194*VLOOKUP('Données projet'!$B$12,Paramètres!$A$1:$I$89,3,0)*VLOOKUP('Données projet'!$B$12,Paramètres!$A$1:$I$89,5,0)</f>
        <v>-5.3471467253984886E-13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530.79860063513229</v>
      </c>
      <c r="CE194" s="60">
        <f t="shared" si="148"/>
        <v>302.50876440460434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-8.7434273154940449E-13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469.67944008675863</v>
      </c>
      <c r="CZ194" s="60">
        <f t="shared" si="150"/>
        <v>266.11908070867173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-9.6633812063373625E-13</v>
      </c>
      <c r="DP194" s="18">
        <f>DO194*VLOOKUP('Données projet'!$B$14,Paramètres!$A$1:$I$89,3,0)*VLOOKUP('Données projet'!$B$14,Paramètres!$A$1:$I$89,5,0)</f>
        <v>-1.0401663530501537E-12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542.90832990875208</v>
      </c>
      <c r="DU194" s="60">
        <f t="shared" si="152"/>
        <v>304.94365539329362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5.6843418860808015E-14</v>
      </c>
      <c r="EK194" s="18">
        <f>EJ194*VLOOKUP('Données projet'!$B$15,Paramètres!$A$1:$I$89,3,0)*VLOOKUP('Données projet'!$B$15,Paramètres!$A$1:$I$89,5,0)</f>
        <v>4.5224624045658861E-14</v>
      </c>
      <c r="EL194" s="14">
        <f t="shared" si="179"/>
        <v>7.4514601661523691E-13</v>
      </c>
      <c r="EM194" s="22">
        <f t="shared" si="180"/>
        <v>1.3765621991510601E-12</v>
      </c>
      <c r="EN194" s="60">
        <f t="shared" si="128"/>
        <v>290.09305636890821</v>
      </c>
      <c r="EO194" s="60">
        <f ca="1">AVERAGE(OFFSET($EN$3,0,0,'Données projet'!$E$15+1,1))-AVERAGE(OFFSET($H$3,0,0,'Données projet'!$E$15+1,1))</f>
        <v>273.72403794510291</v>
      </c>
      <c r="EP194" s="60">
        <f t="shared" si="154"/>
        <v>292.00185554564109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5.6843418860808015E-14</v>
      </c>
      <c r="FF194" s="18">
        <f>FE194*VLOOKUP('Données projet'!$B$16,Paramètres!$A$1:$I$89,3,0)*VLOOKUP('Données projet'!$B$16,Paramètres!$A$1:$I$89,5,0)</f>
        <v>4.4337866711430253E-14</v>
      </c>
      <c r="FG194" s="14">
        <f t="shared" si="182"/>
        <v>7.3222115536967035E-13</v>
      </c>
      <c r="FH194" s="22">
        <f t="shared" si="183"/>
        <v>1.3525069634579169E-12</v>
      </c>
      <c r="FI194" s="60">
        <f t="shared" si="131"/>
        <v>290.09305636890821</v>
      </c>
      <c r="FJ194" s="60">
        <f ca="1">AVERAGE(OFFSET($FI$3,0,0,'Données projet'!$E$16+1,1))-AVERAGE(OFFSET($H$3,0,0,'Données projet'!$E$16+1,1))</f>
        <v>309.21625451786218</v>
      </c>
      <c r="FK194" s="60">
        <f t="shared" si="156"/>
        <v>302.59481222418219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>
        <f>FZ194*VLOOKUP('Données projet'!$B$17,Paramètres!$A$1:$I$89,3,0)*VLOOKUP('Données projet'!$B$17,Paramètres!$A$1:$I$89,5,0)</f>
        <v>0</v>
      </c>
      <c r="GB194" s="14" t="e">
        <f t="shared" si="185"/>
        <v>#NUM!</v>
      </c>
      <c r="GC194" s="22" t="e">
        <f t="shared" si="186"/>
        <v>#NUM!</v>
      </c>
      <c r="GD194" s="60" t="e">
        <f t="shared" si="134"/>
        <v>#NUM!</v>
      </c>
      <c r="GE194" s="60">
        <f ca="1">AVERAGE(OFFSET($GD$3,0,0,'Données projet'!$E$17+1,1))-AVERAGE(OFFSET($H$3,0,0,'Données projet'!$E$17+1,1))</f>
        <v>216.36762889365235</v>
      </c>
      <c r="GF194" s="60">
        <f t="shared" si="158"/>
        <v>333.29599352215496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0.55670633525301183</v>
      </c>
      <c r="GM194" s="23">
        <f>EXP(-LN(2)/25)*GM193+(1-EXP(-LN(2)/25))/(LN(2)/25)*Calculateur!GH194*Calculateur!GJ194*VLOOKUP('Données projet'!$B$17,Paramètres!$A$1:$I$89,3,0)*0.475*44/12</f>
        <v>0.11229109690233985</v>
      </c>
      <c r="GN194" s="23">
        <f>EXP(-LN(2)/2)*GN193+(1-EXP(-LN(2)/2))/(LN(2)/2)*GH194*GK194*VLOOKUP('Données projet'!$B$17,Paramètres!$A$1:$I$89,3,0)*0.475*44/12</f>
        <v>1.7105124417278033E-24</v>
      </c>
      <c r="GO194" s="23">
        <f t="shared" si="187"/>
        <v>0.66899743215535168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4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-9.3464223027694966E-13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496.33873798282525</v>
      </c>
      <c r="T195" s="60">
        <f t="shared" si="142"/>
        <v>280.25465074992246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3.4106051316484809E-13</v>
      </c>
      <c r="AJ195" s="14">
        <f>AI195*VLOOKUP('Données projet'!$B$10,Paramètres!$A$1:$I$89,3,0)*VLOOKUP('Données projet'!$B$10,Paramètres!$A$1:$I$89,5,0)</f>
        <v>1.5961632016114892E-13</v>
      </c>
      <c r="AK195" s="14">
        <f t="shared" si="164"/>
        <v>2.2708641912150958E-12</v>
      </c>
      <c r="AL195" s="22">
        <f t="shared" si="165"/>
        <v>4.2330868906469593E-12</v>
      </c>
      <c r="AM195" s="60">
        <f t="shared" si="113"/>
        <v>290.14926793006987</v>
      </c>
      <c r="AN195" s="60">
        <f ca="1">AVERAGE(OFFSET($AM$3,0,0,'Données projet'!$E$10+1,1))-AVERAGE(OFFSET($H$3,0,0,'Données projet'!$E$10+1,1))</f>
        <v>277.7918215389401</v>
      </c>
      <c r="AO195" s="60">
        <f t="shared" si="144"/>
        <v>164.65640238394164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-2.2737367544323206E-13</v>
      </c>
      <c r="BE195" s="14">
        <f>BD195*VLOOKUP('Données projet'!$B$11,Paramètres!$A$1:$I$89,3,0)*VLOOKUP('Données projet'!$B$11,Paramètres!$A$1:$I$89,5,0)</f>
        <v>-2.1636878955177963E-13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366.21371543563254</v>
      </c>
      <c r="BJ195" s="60">
        <f t="shared" si="146"/>
        <v>237.43356317334084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-5.1159076974727213E-13</v>
      </c>
      <c r="BZ195" s="14">
        <f>BY195*VLOOKUP('Données projet'!$B$12,Paramètres!$A$1:$I$89,3,0)*VLOOKUP('Données projet'!$B$12,Paramètres!$A$1:$I$89,5,0)</f>
        <v>-5.3471467253984886E-13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530.79860063513229</v>
      </c>
      <c r="CE195" s="60">
        <f t="shared" si="148"/>
        <v>302.50876440460434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-8.7434273154940449E-13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469.67944008675863</v>
      </c>
      <c r="CZ195" s="60">
        <f t="shared" si="150"/>
        <v>266.11908070867173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-9.6633812063373625E-13</v>
      </c>
      <c r="DP195" s="18">
        <f>DO195*VLOOKUP('Données projet'!$B$14,Paramètres!$A$1:$I$89,3,0)*VLOOKUP('Données projet'!$B$14,Paramètres!$A$1:$I$89,5,0)</f>
        <v>-1.0401663530501537E-12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542.90832990875208</v>
      </c>
      <c r="DU195" s="60">
        <f t="shared" si="152"/>
        <v>304.94365539329362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5.6843418860808015E-14</v>
      </c>
      <c r="EK195" s="18">
        <f>EJ195*VLOOKUP('Données projet'!$B$15,Paramètres!$A$1:$I$89,3,0)*VLOOKUP('Données projet'!$B$15,Paramètres!$A$1:$I$89,5,0)</f>
        <v>4.5224624045658861E-14</v>
      </c>
      <c r="EL195" s="14">
        <f t="shared" si="179"/>
        <v>7.4514601661523691E-13</v>
      </c>
      <c r="EM195" s="22">
        <f t="shared" si="180"/>
        <v>1.3765621991510601E-12</v>
      </c>
      <c r="EN195" s="60">
        <f t="shared" si="128"/>
        <v>290.14926793006703</v>
      </c>
      <c r="EO195" s="60">
        <f ca="1">AVERAGE(OFFSET($EN$3,0,0,'Données projet'!$E$15+1,1))-AVERAGE(OFFSET($H$3,0,0,'Données projet'!$E$15+1,1))</f>
        <v>273.72403794510291</v>
      </c>
      <c r="EP195" s="60">
        <f t="shared" si="154"/>
        <v>292.00185554564109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5.6843418860808015E-14</v>
      </c>
      <c r="FF195" s="18">
        <f>FE195*VLOOKUP('Données projet'!$B$16,Paramètres!$A$1:$I$89,3,0)*VLOOKUP('Données projet'!$B$16,Paramètres!$A$1:$I$89,5,0)</f>
        <v>4.4337866711430253E-14</v>
      </c>
      <c r="FG195" s="14">
        <f t="shared" si="182"/>
        <v>7.3222115536967035E-13</v>
      </c>
      <c r="FH195" s="22">
        <f t="shared" si="183"/>
        <v>1.3525069634579169E-12</v>
      </c>
      <c r="FI195" s="60">
        <f t="shared" si="131"/>
        <v>290.14926793006703</v>
      </c>
      <c r="FJ195" s="60">
        <f ca="1">AVERAGE(OFFSET($FI$3,0,0,'Données projet'!$E$16+1,1))-AVERAGE(OFFSET($H$3,0,0,'Données projet'!$E$16+1,1))</f>
        <v>309.21625451786218</v>
      </c>
      <c r="FK195" s="60">
        <f t="shared" si="156"/>
        <v>302.59481222418219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>
        <f>FZ195*VLOOKUP('Données projet'!$B$17,Paramètres!$A$1:$I$89,3,0)*VLOOKUP('Données projet'!$B$17,Paramètres!$A$1:$I$89,5,0)</f>
        <v>0</v>
      </c>
      <c r="GB195" s="14" t="e">
        <f t="shared" si="185"/>
        <v>#NUM!</v>
      </c>
      <c r="GC195" s="22" t="e">
        <f t="shared" si="186"/>
        <v>#NUM!</v>
      </c>
      <c r="GD195" s="60" t="e">
        <f t="shared" si="134"/>
        <v>#NUM!</v>
      </c>
      <c r="GE195" s="60">
        <f ca="1">AVERAGE(OFFSET($GD$3,0,0,'Données projet'!$E$17+1,1))-AVERAGE(OFFSET($H$3,0,0,'Données projet'!$E$17+1,1))</f>
        <v>216.36762889365235</v>
      </c>
      <c r="GF195" s="60">
        <f t="shared" si="158"/>
        <v>333.29599352215496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0.54578966357603631</v>
      </c>
      <c r="GM195" s="23">
        <f>EXP(-LN(2)/25)*GM194+(1-EXP(-LN(2)/25))/(LN(2)/25)*Calculateur!GH195*Calculateur!GJ195*VLOOKUP('Données projet'!$B$17,Paramètres!$A$1:$I$89,3,0)*0.475*44/12</f>
        <v>0.10922049095241322</v>
      </c>
      <c r="GN195" s="23">
        <f>EXP(-LN(2)/2)*GN194+(1-EXP(-LN(2)/2))/(LN(2)/2)*GH195*GK195*VLOOKUP('Données projet'!$B$17,Paramètres!$A$1:$I$89,3,0)*0.475*44/12</f>
        <v>1.209514946849689E-24</v>
      </c>
      <c r="GO195" s="23">
        <f t="shared" si="187"/>
        <v>0.65501015452844957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4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-9.3464223027694966E-13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496.33873798282525</v>
      </c>
      <c r="T196" s="60">
        <f t="shared" si="142"/>
        <v>280.25465074992246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3.4106051316484809E-13</v>
      </c>
      <c r="AJ196" s="14">
        <f>AI196*VLOOKUP('Données projet'!$B$10,Paramètres!$A$1:$I$89,3,0)*VLOOKUP('Données projet'!$B$10,Paramètres!$A$1:$I$89,5,0)</f>
        <v>1.5961632016114892E-13</v>
      </c>
      <c r="AK196" s="14">
        <f t="shared" si="164"/>
        <v>2.2708641912150958E-12</v>
      </c>
      <c r="AL196" s="22">
        <f t="shared" si="165"/>
        <v>4.2330868906469593E-12</v>
      </c>
      <c r="AM196" s="60">
        <f t="shared" ref="AM196:AM203" si="193">AL196+(AD196+AE196)*44/12</f>
        <v>290.20450434631272</v>
      </c>
      <c r="AN196" s="60">
        <f ca="1">AVERAGE(OFFSET($AM$3,0,0,'Données projet'!$E$10+1,1))-AVERAGE(OFFSET($H$3,0,0,'Données projet'!$E$10+1,1))</f>
        <v>277.7918215389401</v>
      </c>
      <c r="AO196" s="60">
        <f t="shared" si="144"/>
        <v>164.65640238394164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-2.2737367544323206E-13</v>
      </c>
      <c r="BE196" s="14">
        <f>BD196*VLOOKUP('Données projet'!$B$11,Paramètres!$A$1:$I$89,3,0)*VLOOKUP('Données projet'!$B$11,Paramètres!$A$1:$I$89,5,0)</f>
        <v>-2.1636878955177963E-13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366.21371543563254</v>
      </c>
      <c r="BJ196" s="60">
        <f t="shared" si="146"/>
        <v>237.43356317334084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-5.1159076974727213E-13</v>
      </c>
      <c r="BZ196" s="14">
        <f>BY196*VLOOKUP('Données projet'!$B$12,Paramètres!$A$1:$I$89,3,0)*VLOOKUP('Données projet'!$B$12,Paramètres!$A$1:$I$89,5,0)</f>
        <v>-5.3471467253984886E-13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530.79860063513229</v>
      </c>
      <c r="CE196" s="60">
        <f t="shared" si="148"/>
        <v>302.50876440460434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-8.7434273154940449E-13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469.67944008675863</v>
      </c>
      <c r="CZ196" s="60">
        <f t="shared" si="150"/>
        <v>266.11908070867173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-9.6633812063373625E-13</v>
      </c>
      <c r="DP196" s="18">
        <f>DO196*VLOOKUP('Données projet'!$B$14,Paramètres!$A$1:$I$89,3,0)*VLOOKUP('Données projet'!$B$14,Paramètres!$A$1:$I$89,5,0)</f>
        <v>-1.0401663530501537E-12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542.90832990875208</v>
      </c>
      <c r="DU196" s="60">
        <f t="shared" si="152"/>
        <v>304.94365539329362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5.6843418860808015E-14</v>
      </c>
      <c r="EK196" s="18">
        <f>EJ196*VLOOKUP('Données projet'!$B$15,Paramètres!$A$1:$I$89,3,0)*VLOOKUP('Données projet'!$B$15,Paramètres!$A$1:$I$89,5,0)</f>
        <v>4.5224624045658861E-14</v>
      </c>
      <c r="EL196" s="14">
        <f t="shared" si="179"/>
        <v>7.4514601661523691E-13</v>
      </c>
      <c r="EM196" s="22">
        <f t="shared" si="180"/>
        <v>1.3765621991510601E-12</v>
      </c>
      <c r="EN196" s="60">
        <f t="shared" ref="EN196:EN203" si="198">EM196+(EE196+EF196)*44/12</f>
        <v>290.20450434630988</v>
      </c>
      <c r="EO196" s="60">
        <f ca="1">AVERAGE(OFFSET($EN$3,0,0,'Données projet'!$E$15+1,1))-AVERAGE(OFFSET($H$3,0,0,'Données projet'!$E$15+1,1))</f>
        <v>273.72403794510291</v>
      </c>
      <c r="EP196" s="60">
        <f t="shared" si="154"/>
        <v>292.00185554564109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5.6843418860808015E-14</v>
      </c>
      <c r="FF196" s="18">
        <f>FE196*VLOOKUP('Données projet'!$B$16,Paramètres!$A$1:$I$89,3,0)*VLOOKUP('Données projet'!$B$16,Paramètres!$A$1:$I$89,5,0)</f>
        <v>4.4337866711430253E-14</v>
      </c>
      <c r="FG196" s="14">
        <f t="shared" si="182"/>
        <v>7.3222115536967035E-13</v>
      </c>
      <c r="FH196" s="22">
        <f t="shared" si="183"/>
        <v>1.3525069634579169E-12</v>
      </c>
      <c r="FI196" s="60">
        <f t="shared" ref="FI196:FI203" si="199">FH196+(EZ196+FA196)*44/12</f>
        <v>290.20450434630988</v>
      </c>
      <c r="FJ196" s="60">
        <f ca="1">AVERAGE(OFFSET($FI$3,0,0,'Données projet'!$E$16+1,1))-AVERAGE(OFFSET($H$3,0,0,'Données projet'!$E$16+1,1))</f>
        <v>309.21625451786218</v>
      </c>
      <c r="FK196" s="60">
        <f t="shared" si="156"/>
        <v>302.59481222418219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>
        <f>FZ196*VLOOKUP('Données projet'!$B$17,Paramètres!$A$1:$I$89,3,0)*VLOOKUP('Données projet'!$B$17,Paramètres!$A$1:$I$89,5,0)</f>
        <v>0</v>
      </c>
      <c r="GB196" s="14" t="e">
        <f t="shared" si="185"/>
        <v>#NUM!</v>
      </c>
      <c r="GC196" s="22" t="e">
        <f t="shared" si="186"/>
        <v>#NUM!</v>
      </c>
      <c r="GD196" s="60" t="e">
        <f t="shared" ref="GD196:GD203" si="200">GC196+(FU196+FV196)*44/12</f>
        <v>#NUM!</v>
      </c>
      <c r="GE196" s="60">
        <f ca="1">AVERAGE(OFFSET($GD$3,0,0,'Données projet'!$E$17+1,1))-AVERAGE(OFFSET($H$3,0,0,'Données projet'!$E$17+1,1))</f>
        <v>216.36762889365235</v>
      </c>
      <c r="GF196" s="60">
        <f t="shared" si="158"/>
        <v>333.29599352215496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0.535087061172134</v>
      </c>
      <c r="GM196" s="23">
        <f>EXP(-LN(2)/25)*GM195+(1-EXP(-LN(2)/25))/(LN(2)/25)*Calculateur!GH196*Calculateur!GJ196*VLOOKUP('Données projet'!$B$17,Paramètres!$A$1:$I$89,3,0)*0.475*44/12</f>
        <v>0.10623385088366349</v>
      </c>
      <c r="GN196" s="23">
        <f>EXP(-LN(2)/2)*GN195+(1-EXP(-LN(2)/2))/(LN(2)/2)*GH196*GK196*VLOOKUP('Données projet'!$B$17,Paramètres!$A$1:$I$89,3,0)*0.475*44/12</f>
        <v>8.5525622086390167E-25</v>
      </c>
      <c r="GO196" s="23">
        <f t="shared" si="187"/>
        <v>0.64132091205579744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4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-9.3464223027694966E-13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496.33873798282525</v>
      </c>
      <c r="T197" s="60">
        <f t="shared" ref="T197:T203" si="204">$T$3</f>
        <v>280.25465074992246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3.4106051316484809E-13</v>
      </c>
      <c r="AJ197" s="14">
        <f>AI197*VLOOKUP('Données projet'!$B$10,Paramètres!$A$1:$I$89,3,0)*VLOOKUP('Données projet'!$B$10,Paramètres!$A$1:$I$89,5,0)</f>
        <v>1.5961632016114892E-13</v>
      </c>
      <c r="AK197" s="14">
        <f t="shared" si="164"/>
        <v>2.2708641912150958E-12</v>
      </c>
      <c r="AL197" s="22">
        <f t="shared" si="165"/>
        <v>4.2330868906469593E-12</v>
      </c>
      <c r="AM197" s="60">
        <f t="shared" si="193"/>
        <v>290.25878253422394</v>
      </c>
      <c r="AN197" s="60">
        <f ca="1">AVERAGE(OFFSET($AM$3,0,0,'Données projet'!$E$10+1,1))-AVERAGE(OFFSET($H$3,0,0,'Données projet'!$E$10+1,1))</f>
        <v>277.7918215389401</v>
      </c>
      <c r="AO197" s="60">
        <f t="shared" ref="AO197:AO203" si="205">$AO$3</f>
        <v>164.65640238394164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-2.2737367544323206E-13</v>
      </c>
      <c r="BE197" s="14">
        <f>BD197*VLOOKUP('Données projet'!$B$11,Paramètres!$A$1:$I$89,3,0)*VLOOKUP('Données projet'!$B$11,Paramètres!$A$1:$I$89,5,0)</f>
        <v>-2.1636878955177963E-13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366.21371543563254</v>
      </c>
      <c r="BJ197" s="60">
        <f t="shared" ref="BJ197:BJ203" si="206">$BJ$3</f>
        <v>237.43356317334084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-5.1159076974727213E-13</v>
      </c>
      <c r="BZ197" s="14">
        <f>BY197*VLOOKUP('Données projet'!$B$12,Paramètres!$A$1:$I$89,3,0)*VLOOKUP('Données projet'!$B$12,Paramètres!$A$1:$I$89,5,0)</f>
        <v>-5.3471467253984886E-13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530.79860063513229</v>
      </c>
      <c r="CE197" s="60">
        <f t="shared" ref="CE197:CE203" si="207">$CE$3</f>
        <v>302.50876440460434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-8.7434273154940449E-13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469.67944008675863</v>
      </c>
      <c r="CZ197" s="60">
        <f t="shared" ref="CZ197:CZ203" si="208">$CZ$3</f>
        <v>266.11908070867173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-9.6633812063373625E-13</v>
      </c>
      <c r="DP197" s="18">
        <f>DO197*VLOOKUP('Données projet'!$B$14,Paramètres!$A$1:$I$89,3,0)*VLOOKUP('Données projet'!$B$14,Paramètres!$A$1:$I$89,5,0)</f>
        <v>-1.0401663530501537E-12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542.90832990875208</v>
      </c>
      <c r="DU197" s="60">
        <f t="shared" ref="DU197:DU203" si="209">$DU$3</f>
        <v>304.94365539329362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5.6843418860808015E-14</v>
      </c>
      <c r="EK197" s="18">
        <f>EJ197*VLOOKUP('Données projet'!$B$15,Paramètres!$A$1:$I$89,3,0)*VLOOKUP('Données projet'!$B$15,Paramètres!$A$1:$I$89,5,0)</f>
        <v>4.5224624045658861E-14</v>
      </c>
      <c r="EL197" s="14">
        <f t="shared" si="179"/>
        <v>7.4514601661523691E-13</v>
      </c>
      <c r="EM197" s="22">
        <f t="shared" si="180"/>
        <v>1.3765621991510601E-12</v>
      </c>
      <c r="EN197" s="60">
        <f t="shared" si="198"/>
        <v>290.2587825342211</v>
      </c>
      <c r="EO197" s="60">
        <f ca="1">AVERAGE(OFFSET($EN$3,0,0,'Données projet'!$E$15+1,1))-AVERAGE(OFFSET($H$3,0,0,'Données projet'!$E$15+1,1))</f>
        <v>273.72403794510291</v>
      </c>
      <c r="EP197" s="60">
        <f t="shared" ref="EP197:EP203" si="210">$EP$3</f>
        <v>292.00185554564109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5.6843418860808015E-14</v>
      </c>
      <c r="FF197" s="18">
        <f>FE197*VLOOKUP('Données projet'!$B$16,Paramètres!$A$1:$I$89,3,0)*VLOOKUP('Données projet'!$B$16,Paramètres!$A$1:$I$89,5,0)</f>
        <v>4.4337866711430253E-14</v>
      </c>
      <c r="FG197" s="14">
        <f t="shared" si="182"/>
        <v>7.3222115536967035E-13</v>
      </c>
      <c r="FH197" s="22">
        <f t="shared" si="183"/>
        <v>1.3525069634579169E-12</v>
      </c>
      <c r="FI197" s="60">
        <f t="shared" si="199"/>
        <v>290.2587825342211</v>
      </c>
      <c r="FJ197" s="60">
        <f ca="1">AVERAGE(OFFSET($FI$3,0,0,'Données projet'!$E$16+1,1))-AVERAGE(OFFSET($H$3,0,0,'Données projet'!$E$16+1,1))</f>
        <v>309.21625451786218</v>
      </c>
      <c r="FK197" s="60">
        <f t="shared" ref="FK197:FK203" si="211">$FK$3</f>
        <v>302.59481222418219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>
        <f>FZ197*VLOOKUP('Données projet'!$B$17,Paramètres!$A$1:$I$89,3,0)*VLOOKUP('Données projet'!$B$17,Paramètres!$A$1:$I$89,5,0)</f>
        <v>0</v>
      </c>
      <c r="GB197" s="14" t="e">
        <f t="shared" si="185"/>
        <v>#NUM!</v>
      </c>
      <c r="GC197" s="22" t="e">
        <f t="shared" si="186"/>
        <v>#NUM!</v>
      </c>
      <c r="GD197" s="60" t="e">
        <f t="shared" si="200"/>
        <v>#NUM!</v>
      </c>
      <c r="GE197" s="60">
        <f ca="1">AVERAGE(OFFSET($GD$3,0,0,'Données projet'!$E$17+1,1))-AVERAGE(OFFSET($H$3,0,0,'Données projet'!$E$17+1,1))</f>
        <v>216.36762889365235</v>
      </c>
      <c r="GF197" s="60">
        <f t="shared" ref="GF197:GF203" si="212">$GF$3</f>
        <v>333.29599352215496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0.52459433027342928</v>
      </c>
      <c r="GM197" s="23">
        <f>EXP(-LN(2)/25)*GM196+(1-EXP(-LN(2)/25))/(LN(2)/25)*Calculateur!GH197*Calculateur!GJ197*VLOOKUP('Données projet'!$B$17,Paramètres!$A$1:$I$89,3,0)*0.475*44/12</f>
        <v>0.1033288806446543</v>
      </c>
      <c r="GN197" s="23">
        <f>EXP(-LN(2)/2)*GN196+(1-EXP(-LN(2)/2))/(LN(2)/2)*GH197*GK197*VLOOKUP('Données projet'!$B$17,Paramètres!$A$1:$I$89,3,0)*0.475*44/12</f>
        <v>6.0475747342484449E-25</v>
      </c>
      <c r="GO197" s="23">
        <f t="shared" si="187"/>
        <v>0.62792321091808356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4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-9.3464223027694966E-13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496.33873798282525</v>
      </c>
      <c r="T198" s="60">
        <f t="shared" si="204"/>
        <v>280.25465074992246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3.4106051316484809E-13</v>
      </c>
      <c r="AJ198" s="14">
        <f>AI198*VLOOKUP('Données projet'!$B$10,Paramètres!$A$1:$I$89,3,0)*VLOOKUP('Données projet'!$B$10,Paramètres!$A$1:$I$89,5,0)</f>
        <v>1.5961632016114892E-13</v>
      </c>
      <c r="AK198" s="14">
        <f t="shared" si="164"/>
        <v>2.2708641912150958E-12</v>
      </c>
      <c r="AL198" s="22">
        <f t="shared" si="165"/>
        <v>4.2330868906469593E-12</v>
      </c>
      <c r="AM198" s="60">
        <f t="shared" si="193"/>
        <v>290.3121191169227</v>
      </c>
      <c r="AN198" s="60">
        <f ca="1">AVERAGE(OFFSET($AM$3,0,0,'Données projet'!$E$10+1,1))-AVERAGE(OFFSET($H$3,0,0,'Données projet'!$E$10+1,1))</f>
        <v>277.7918215389401</v>
      </c>
      <c r="AO198" s="60">
        <f t="shared" si="205"/>
        <v>164.65640238394164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-2.2737367544323206E-13</v>
      </c>
      <c r="BE198" s="14">
        <f>BD198*VLOOKUP('Données projet'!$B$11,Paramètres!$A$1:$I$89,3,0)*VLOOKUP('Données projet'!$B$11,Paramètres!$A$1:$I$89,5,0)</f>
        <v>-2.1636878955177963E-13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366.21371543563254</v>
      </c>
      <c r="BJ198" s="60">
        <f t="shared" si="206"/>
        <v>237.43356317334084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-5.1159076974727213E-13</v>
      </c>
      <c r="BZ198" s="14">
        <f>BY198*VLOOKUP('Données projet'!$B$12,Paramètres!$A$1:$I$89,3,0)*VLOOKUP('Données projet'!$B$12,Paramètres!$A$1:$I$89,5,0)</f>
        <v>-5.3471467253984886E-13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530.79860063513229</v>
      </c>
      <c r="CE198" s="60">
        <f t="shared" si="207"/>
        <v>302.50876440460434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-8.7434273154940449E-13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469.67944008675863</v>
      </c>
      <c r="CZ198" s="60">
        <f t="shared" si="208"/>
        <v>266.11908070867173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-9.6633812063373625E-13</v>
      </c>
      <c r="DP198" s="18">
        <f>DO198*VLOOKUP('Données projet'!$B$14,Paramètres!$A$1:$I$89,3,0)*VLOOKUP('Données projet'!$B$14,Paramètres!$A$1:$I$89,5,0)</f>
        <v>-1.0401663530501537E-12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542.90832990875208</v>
      </c>
      <c r="DU198" s="60">
        <f t="shared" si="209"/>
        <v>304.94365539329362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5.6843418860808015E-14</v>
      </c>
      <c r="EK198" s="18">
        <f>EJ198*VLOOKUP('Données projet'!$B$15,Paramètres!$A$1:$I$89,3,0)*VLOOKUP('Données projet'!$B$15,Paramètres!$A$1:$I$89,5,0)</f>
        <v>4.5224624045658861E-14</v>
      </c>
      <c r="EL198" s="14">
        <f t="shared" si="179"/>
        <v>7.4514601661523691E-13</v>
      </c>
      <c r="EM198" s="22">
        <f t="shared" si="180"/>
        <v>1.3765621991510601E-12</v>
      </c>
      <c r="EN198" s="60">
        <f t="shared" si="198"/>
        <v>290.31211911691986</v>
      </c>
      <c r="EO198" s="60">
        <f ca="1">AVERAGE(OFFSET($EN$3,0,0,'Données projet'!$E$15+1,1))-AVERAGE(OFFSET($H$3,0,0,'Données projet'!$E$15+1,1))</f>
        <v>273.72403794510291</v>
      </c>
      <c r="EP198" s="60">
        <f t="shared" si="210"/>
        <v>292.00185554564109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5.6843418860808015E-14</v>
      </c>
      <c r="FF198" s="18">
        <f>FE198*VLOOKUP('Données projet'!$B$16,Paramètres!$A$1:$I$89,3,0)*VLOOKUP('Données projet'!$B$16,Paramètres!$A$1:$I$89,5,0)</f>
        <v>4.4337866711430253E-14</v>
      </c>
      <c r="FG198" s="14">
        <f t="shared" si="182"/>
        <v>7.3222115536967035E-13</v>
      </c>
      <c r="FH198" s="22">
        <f t="shared" si="183"/>
        <v>1.3525069634579169E-12</v>
      </c>
      <c r="FI198" s="60">
        <f t="shared" si="199"/>
        <v>290.31211911691986</v>
      </c>
      <c r="FJ198" s="60">
        <f ca="1">AVERAGE(OFFSET($FI$3,0,0,'Données projet'!$E$16+1,1))-AVERAGE(OFFSET($H$3,0,0,'Données projet'!$E$16+1,1))</f>
        <v>309.21625451786218</v>
      </c>
      <c r="FK198" s="60">
        <f t="shared" si="211"/>
        <v>302.59481222418219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>
        <f>FZ198*VLOOKUP('Données projet'!$B$17,Paramètres!$A$1:$I$89,3,0)*VLOOKUP('Données projet'!$B$17,Paramètres!$A$1:$I$89,5,0)</f>
        <v>0</v>
      </c>
      <c r="GB198" s="14" t="e">
        <f t="shared" si="185"/>
        <v>#NUM!</v>
      </c>
      <c r="GC198" s="22" t="e">
        <f t="shared" si="186"/>
        <v>#NUM!</v>
      </c>
      <c r="GD198" s="60" t="e">
        <f t="shared" si="200"/>
        <v>#NUM!</v>
      </c>
      <c r="GE198" s="60">
        <f ca="1">AVERAGE(OFFSET($GD$3,0,0,'Données projet'!$E$17+1,1))-AVERAGE(OFFSET($H$3,0,0,'Données projet'!$E$17+1,1))</f>
        <v>216.36762889365235</v>
      </c>
      <c r="GF198" s="60">
        <f t="shared" si="212"/>
        <v>333.29599352215496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0.51430735542771433</v>
      </c>
      <c r="GM198" s="23">
        <f>EXP(-LN(2)/25)*GM197+(1-EXP(-LN(2)/25))/(LN(2)/25)*Calculateur!GH198*Calculateur!GJ198*VLOOKUP('Données projet'!$B$17,Paramètres!$A$1:$I$89,3,0)*0.475*44/12</f>
        <v>0.10050334696959656</v>
      </c>
      <c r="GN198" s="23">
        <f>EXP(-LN(2)/2)*GN197+(1-EXP(-LN(2)/2))/(LN(2)/2)*GH198*GK198*VLOOKUP('Données projet'!$B$17,Paramètres!$A$1:$I$89,3,0)*0.475*44/12</f>
        <v>4.2762811043195084E-25</v>
      </c>
      <c r="GO198" s="23">
        <f t="shared" si="187"/>
        <v>0.61481070239731084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4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-9.3464223027694966E-13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496.33873798282525</v>
      </c>
      <c r="T199" s="60">
        <f t="shared" si="204"/>
        <v>280.25465074992246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3.4106051316484809E-13</v>
      </c>
      <c r="AJ199" s="14">
        <f>AI199*VLOOKUP('Données projet'!$B$10,Paramètres!$A$1:$I$89,3,0)*VLOOKUP('Données projet'!$B$10,Paramètres!$A$1:$I$89,5,0)</f>
        <v>1.5961632016114892E-13</v>
      </c>
      <c r="AK199" s="14">
        <f t="shared" si="164"/>
        <v>2.2708641912150958E-12</v>
      </c>
      <c r="AL199" s="22">
        <f t="shared" si="165"/>
        <v>4.2330868906469593E-12</v>
      </c>
      <c r="AM199" s="60">
        <f t="shared" si="193"/>
        <v>290.3645304291544</v>
      </c>
      <c r="AN199" s="60">
        <f ca="1">AVERAGE(OFFSET($AM$3,0,0,'Données projet'!$E$10+1,1))-AVERAGE(OFFSET($H$3,0,0,'Données projet'!$E$10+1,1))</f>
        <v>277.7918215389401</v>
      </c>
      <c r="AO199" s="60">
        <f t="shared" si="205"/>
        <v>164.65640238394164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-2.2737367544323206E-13</v>
      </c>
      <c r="BE199" s="14">
        <f>BD199*VLOOKUP('Données projet'!$B$11,Paramètres!$A$1:$I$89,3,0)*VLOOKUP('Données projet'!$B$11,Paramètres!$A$1:$I$89,5,0)</f>
        <v>-2.1636878955177963E-13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366.21371543563254</v>
      </c>
      <c r="BJ199" s="60">
        <f t="shared" si="206"/>
        <v>237.43356317334084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-5.1159076974727213E-13</v>
      </c>
      <c r="BZ199" s="14">
        <f>BY199*VLOOKUP('Données projet'!$B$12,Paramètres!$A$1:$I$89,3,0)*VLOOKUP('Données projet'!$B$12,Paramètres!$A$1:$I$89,5,0)</f>
        <v>-5.3471467253984886E-13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530.79860063513229</v>
      </c>
      <c r="CE199" s="60">
        <f t="shared" si="207"/>
        <v>302.50876440460434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-8.7434273154940449E-13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469.67944008675863</v>
      </c>
      <c r="CZ199" s="60">
        <f t="shared" si="208"/>
        <v>266.11908070867173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-9.6633812063373625E-13</v>
      </c>
      <c r="DP199" s="18">
        <f>DO199*VLOOKUP('Données projet'!$B$14,Paramètres!$A$1:$I$89,3,0)*VLOOKUP('Données projet'!$B$14,Paramètres!$A$1:$I$89,5,0)</f>
        <v>-1.0401663530501537E-12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542.90832990875208</v>
      </c>
      <c r="DU199" s="60">
        <f t="shared" si="209"/>
        <v>304.94365539329362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5.6843418860808015E-14</v>
      </c>
      <c r="EK199" s="18">
        <f>EJ199*VLOOKUP('Données projet'!$B$15,Paramètres!$A$1:$I$89,3,0)*VLOOKUP('Données projet'!$B$15,Paramètres!$A$1:$I$89,5,0)</f>
        <v>4.5224624045658861E-14</v>
      </c>
      <c r="EL199" s="14">
        <f t="shared" si="179"/>
        <v>7.4514601661523691E-13</v>
      </c>
      <c r="EM199" s="22">
        <f t="shared" si="180"/>
        <v>1.3765621991510601E-12</v>
      </c>
      <c r="EN199" s="60">
        <f t="shared" si="198"/>
        <v>290.36453042915156</v>
      </c>
      <c r="EO199" s="60">
        <f ca="1">AVERAGE(OFFSET($EN$3,0,0,'Données projet'!$E$15+1,1))-AVERAGE(OFFSET($H$3,0,0,'Données projet'!$E$15+1,1))</f>
        <v>273.72403794510291</v>
      </c>
      <c r="EP199" s="60">
        <f t="shared" si="210"/>
        <v>292.00185554564109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5.6843418860808015E-14</v>
      </c>
      <c r="FF199" s="18">
        <f>FE199*VLOOKUP('Données projet'!$B$16,Paramètres!$A$1:$I$89,3,0)*VLOOKUP('Données projet'!$B$16,Paramètres!$A$1:$I$89,5,0)</f>
        <v>4.4337866711430253E-14</v>
      </c>
      <c r="FG199" s="14">
        <f t="shared" si="182"/>
        <v>7.3222115536967035E-13</v>
      </c>
      <c r="FH199" s="22">
        <f t="shared" si="183"/>
        <v>1.3525069634579169E-12</v>
      </c>
      <c r="FI199" s="60">
        <f t="shared" si="199"/>
        <v>290.36453042915156</v>
      </c>
      <c r="FJ199" s="60">
        <f ca="1">AVERAGE(OFFSET($FI$3,0,0,'Données projet'!$E$16+1,1))-AVERAGE(OFFSET($H$3,0,0,'Données projet'!$E$16+1,1))</f>
        <v>309.21625451786218</v>
      </c>
      <c r="FK199" s="60">
        <f t="shared" si="211"/>
        <v>302.59481222418219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>
        <f>FZ199*VLOOKUP('Données projet'!$B$17,Paramètres!$A$1:$I$89,3,0)*VLOOKUP('Données projet'!$B$17,Paramètres!$A$1:$I$89,5,0)</f>
        <v>0</v>
      </c>
      <c r="GB199" s="14" t="e">
        <f t="shared" si="185"/>
        <v>#NUM!</v>
      </c>
      <c r="GC199" s="22" t="e">
        <f t="shared" si="186"/>
        <v>#NUM!</v>
      </c>
      <c r="GD199" s="60" t="e">
        <f t="shared" si="200"/>
        <v>#NUM!</v>
      </c>
      <c r="GE199" s="60">
        <f ca="1">AVERAGE(OFFSET($GD$3,0,0,'Données projet'!$E$17+1,1))-AVERAGE(OFFSET($H$3,0,0,'Données projet'!$E$17+1,1))</f>
        <v>216.36762889365235</v>
      </c>
      <c r="GF199" s="60">
        <f t="shared" si="212"/>
        <v>333.29599352215496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0.50422210188428873</v>
      </c>
      <c r="GM199" s="23">
        <f>EXP(-LN(2)/25)*GM198+(1-EXP(-LN(2)/25))/(LN(2)/25)*Calculateur!GH199*Calculateur!GJ199*VLOOKUP('Données projet'!$B$17,Paramètres!$A$1:$I$89,3,0)*0.475*44/12</f>
        <v>9.7755077661471637E-2</v>
      </c>
      <c r="GN199" s="23">
        <f>EXP(-LN(2)/2)*GN198+(1-EXP(-LN(2)/2))/(LN(2)/2)*GH199*GK199*VLOOKUP('Données projet'!$B$17,Paramètres!$A$1:$I$89,3,0)*0.475*44/12</f>
        <v>3.0237873671242225E-25</v>
      </c>
      <c r="GO199" s="23">
        <f t="shared" si="187"/>
        <v>0.60197717954576035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4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-9.3464223027694966E-13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496.33873798282525</v>
      </c>
      <c r="T200" s="60">
        <f t="shared" si="204"/>
        <v>280.25465074992246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3.4106051316484809E-13</v>
      </c>
      <c r="AJ200" s="14">
        <f>AI200*VLOOKUP('Données projet'!$B$10,Paramètres!$A$1:$I$89,3,0)*VLOOKUP('Données projet'!$B$10,Paramètres!$A$1:$I$89,5,0)</f>
        <v>1.5961632016114892E-13</v>
      </c>
      <c r="AK200" s="14">
        <f t="shared" si="164"/>
        <v>2.2708641912150958E-12</v>
      </c>
      <c r="AL200" s="22">
        <f t="shared" si="165"/>
        <v>4.2330868906469593E-12</v>
      </c>
      <c r="AM200" s="60">
        <f t="shared" si="193"/>
        <v>290.41603252229299</v>
      </c>
      <c r="AN200" s="60">
        <f ca="1">AVERAGE(OFFSET($AM$3,0,0,'Données projet'!$E$10+1,1))-AVERAGE(OFFSET($H$3,0,0,'Données projet'!$E$10+1,1))</f>
        <v>277.7918215389401</v>
      </c>
      <c r="AO200" s="60">
        <f t="shared" si="205"/>
        <v>164.65640238394164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-2.2737367544323206E-13</v>
      </c>
      <c r="BE200" s="14">
        <f>BD200*VLOOKUP('Données projet'!$B$11,Paramètres!$A$1:$I$89,3,0)*VLOOKUP('Données projet'!$B$11,Paramètres!$A$1:$I$89,5,0)</f>
        <v>-2.1636878955177963E-13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366.21371543563254</v>
      </c>
      <c r="BJ200" s="60">
        <f t="shared" si="206"/>
        <v>237.43356317334084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-5.1159076974727213E-13</v>
      </c>
      <c r="BZ200" s="14">
        <f>BY200*VLOOKUP('Données projet'!$B$12,Paramètres!$A$1:$I$89,3,0)*VLOOKUP('Données projet'!$B$12,Paramètres!$A$1:$I$89,5,0)</f>
        <v>-5.3471467253984886E-13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530.79860063513229</v>
      </c>
      <c r="CE200" s="60">
        <f t="shared" si="207"/>
        <v>302.50876440460434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-8.7434273154940449E-13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469.67944008675863</v>
      </c>
      <c r="CZ200" s="60">
        <f t="shared" si="208"/>
        <v>266.11908070867173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-9.6633812063373625E-13</v>
      </c>
      <c r="DP200" s="18">
        <f>DO200*VLOOKUP('Données projet'!$B$14,Paramètres!$A$1:$I$89,3,0)*VLOOKUP('Données projet'!$B$14,Paramètres!$A$1:$I$89,5,0)</f>
        <v>-1.0401663530501537E-12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542.90832990875208</v>
      </c>
      <c r="DU200" s="60">
        <f t="shared" si="209"/>
        <v>304.94365539329362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5.6843418860808015E-14</v>
      </c>
      <c r="EK200" s="18">
        <f>EJ200*VLOOKUP('Données projet'!$B$15,Paramètres!$A$1:$I$89,3,0)*VLOOKUP('Données projet'!$B$15,Paramètres!$A$1:$I$89,5,0)</f>
        <v>4.5224624045658861E-14</v>
      </c>
      <c r="EL200" s="14">
        <f t="shared" si="179"/>
        <v>7.4514601661523691E-13</v>
      </c>
      <c r="EM200" s="22">
        <f t="shared" si="180"/>
        <v>1.3765621991510601E-12</v>
      </c>
      <c r="EN200" s="60">
        <f t="shared" si="198"/>
        <v>290.41603252229015</v>
      </c>
      <c r="EO200" s="60">
        <f ca="1">AVERAGE(OFFSET($EN$3,0,0,'Données projet'!$E$15+1,1))-AVERAGE(OFFSET($H$3,0,0,'Données projet'!$E$15+1,1))</f>
        <v>273.72403794510291</v>
      </c>
      <c r="EP200" s="60">
        <f t="shared" si="210"/>
        <v>292.00185554564109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5.6843418860808015E-14</v>
      </c>
      <c r="FF200" s="18">
        <f>FE200*VLOOKUP('Données projet'!$B$16,Paramètres!$A$1:$I$89,3,0)*VLOOKUP('Données projet'!$B$16,Paramètres!$A$1:$I$89,5,0)</f>
        <v>4.4337866711430253E-14</v>
      </c>
      <c r="FG200" s="14">
        <f t="shared" si="182"/>
        <v>7.3222115536967035E-13</v>
      </c>
      <c r="FH200" s="22">
        <f t="shared" si="183"/>
        <v>1.3525069634579169E-12</v>
      </c>
      <c r="FI200" s="60">
        <f t="shared" si="199"/>
        <v>290.41603252229015</v>
      </c>
      <c r="FJ200" s="60">
        <f ca="1">AVERAGE(OFFSET($FI$3,0,0,'Données projet'!$E$16+1,1))-AVERAGE(OFFSET($H$3,0,0,'Données projet'!$E$16+1,1))</f>
        <v>309.21625451786218</v>
      </c>
      <c r="FK200" s="60">
        <f t="shared" si="211"/>
        <v>302.59481222418219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>
        <f>FZ200*VLOOKUP('Données projet'!$B$17,Paramètres!$A$1:$I$89,3,0)*VLOOKUP('Données projet'!$B$17,Paramètres!$A$1:$I$89,5,0)</f>
        <v>0</v>
      </c>
      <c r="GB200" s="14" t="e">
        <f t="shared" si="185"/>
        <v>#NUM!</v>
      </c>
      <c r="GC200" s="22" t="e">
        <f t="shared" si="186"/>
        <v>#NUM!</v>
      </c>
      <c r="GD200" s="60" t="e">
        <f t="shared" si="200"/>
        <v>#NUM!</v>
      </c>
      <c r="GE200" s="60">
        <f ca="1">AVERAGE(OFFSET($GD$3,0,0,'Données projet'!$E$17+1,1))-AVERAGE(OFFSET($H$3,0,0,'Données projet'!$E$17+1,1))</f>
        <v>216.36762889365235</v>
      </c>
      <c r="GF200" s="60">
        <f t="shared" si="212"/>
        <v>333.29599352215496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0.4943346140114524</v>
      </c>
      <c r="GM200" s="23">
        <f>EXP(-LN(2)/25)*GM199+(1-EXP(-LN(2)/25))/(LN(2)/25)*Calculateur!GH200*Calculateur!GJ200*VLOOKUP('Données projet'!$B$17,Paramètres!$A$1:$I$89,3,0)*0.475*44/12</f>
        <v>9.5081959922102582E-2</v>
      </c>
      <c r="GN200" s="23">
        <f>EXP(-LN(2)/2)*GN199+(1-EXP(-LN(2)/2))/(LN(2)/2)*GH200*GK200*VLOOKUP('Données projet'!$B$17,Paramètres!$A$1:$I$89,3,0)*0.475*44/12</f>
        <v>2.1381405521597542E-25</v>
      </c>
      <c r="GO200" s="23">
        <f t="shared" si="187"/>
        <v>0.58941657393355495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4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-9.3464223027694966E-13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496.33873798282525</v>
      </c>
      <c r="T201" s="60">
        <f t="shared" si="204"/>
        <v>280.25465074992246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3.4106051316484809E-13</v>
      </c>
      <c r="AJ201" s="14">
        <f>AI201*VLOOKUP('Données projet'!$B$10,Paramètres!$A$1:$I$89,3,0)*VLOOKUP('Données projet'!$B$10,Paramètres!$A$1:$I$89,5,0)</f>
        <v>1.5961632016114892E-13</v>
      </c>
      <c r="AK201" s="14">
        <f t="shared" si="164"/>
        <v>2.2708641912150958E-12</v>
      </c>
      <c r="AL201" s="22">
        <f t="shared" si="165"/>
        <v>4.2330868906469593E-12</v>
      </c>
      <c r="AM201" s="60">
        <f t="shared" si="193"/>
        <v>290.46664116925712</v>
      </c>
      <c r="AN201" s="60">
        <f ca="1">AVERAGE(OFFSET($AM$3,0,0,'Données projet'!$E$10+1,1))-AVERAGE(OFFSET($H$3,0,0,'Données projet'!$E$10+1,1))</f>
        <v>277.7918215389401</v>
      </c>
      <c r="AO201" s="60">
        <f t="shared" si="205"/>
        <v>164.65640238394164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-2.2737367544323206E-13</v>
      </c>
      <c r="BE201" s="14">
        <f>BD201*VLOOKUP('Données projet'!$B$11,Paramètres!$A$1:$I$89,3,0)*VLOOKUP('Données projet'!$B$11,Paramètres!$A$1:$I$89,5,0)</f>
        <v>-2.1636878955177963E-13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366.21371543563254</v>
      </c>
      <c r="BJ201" s="60">
        <f t="shared" si="206"/>
        <v>237.43356317334084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-5.1159076974727213E-13</v>
      </c>
      <c r="BZ201" s="14">
        <f>BY201*VLOOKUP('Données projet'!$B$12,Paramètres!$A$1:$I$89,3,0)*VLOOKUP('Données projet'!$B$12,Paramètres!$A$1:$I$89,5,0)</f>
        <v>-5.3471467253984886E-13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530.79860063513229</v>
      </c>
      <c r="CE201" s="60">
        <f t="shared" si="207"/>
        <v>302.50876440460434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-8.7434273154940449E-13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469.67944008675863</v>
      </c>
      <c r="CZ201" s="60">
        <f t="shared" si="208"/>
        <v>266.11908070867173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-9.6633812063373625E-13</v>
      </c>
      <c r="DP201" s="18">
        <f>DO201*VLOOKUP('Données projet'!$B$14,Paramètres!$A$1:$I$89,3,0)*VLOOKUP('Données projet'!$B$14,Paramètres!$A$1:$I$89,5,0)</f>
        <v>-1.0401663530501537E-12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542.90832990875208</v>
      </c>
      <c r="DU201" s="60">
        <f t="shared" si="209"/>
        <v>304.94365539329362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5.6843418860808015E-14</v>
      </c>
      <c r="EK201" s="18">
        <f>EJ201*VLOOKUP('Données projet'!$B$15,Paramètres!$A$1:$I$89,3,0)*VLOOKUP('Données projet'!$B$15,Paramètres!$A$1:$I$89,5,0)</f>
        <v>4.5224624045658861E-14</v>
      </c>
      <c r="EL201" s="14">
        <f t="shared" si="179"/>
        <v>7.4514601661523691E-13</v>
      </c>
      <c r="EM201" s="22">
        <f t="shared" si="180"/>
        <v>1.3765621991510601E-12</v>
      </c>
      <c r="EN201" s="60">
        <f t="shared" si="198"/>
        <v>290.46664116925427</v>
      </c>
      <c r="EO201" s="60">
        <f ca="1">AVERAGE(OFFSET($EN$3,0,0,'Données projet'!$E$15+1,1))-AVERAGE(OFFSET($H$3,0,0,'Données projet'!$E$15+1,1))</f>
        <v>273.72403794510291</v>
      </c>
      <c r="EP201" s="60">
        <f t="shared" si="210"/>
        <v>292.00185554564109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5.6843418860808015E-14</v>
      </c>
      <c r="FF201" s="18">
        <f>FE201*VLOOKUP('Données projet'!$B$16,Paramètres!$A$1:$I$89,3,0)*VLOOKUP('Données projet'!$B$16,Paramètres!$A$1:$I$89,5,0)</f>
        <v>4.4337866711430253E-14</v>
      </c>
      <c r="FG201" s="14">
        <f t="shared" si="182"/>
        <v>7.3222115536967035E-13</v>
      </c>
      <c r="FH201" s="22">
        <f t="shared" si="183"/>
        <v>1.3525069634579169E-12</v>
      </c>
      <c r="FI201" s="60">
        <f t="shared" si="199"/>
        <v>290.46664116925427</v>
      </c>
      <c r="FJ201" s="60">
        <f ca="1">AVERAGE(OFFSET($FI$3,0,0,'Données projet'!$E$16+1,1))-AVERAGE(OFFSET($H$3,0,0,'Données projet'!$E$16+1,1))</f>
        <v>309.21625451786218</v>
      </c>
      <c r="FK201" s="60">
        <f t="shared" si="211"/>
        <v>302.59481222418219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>
        <f>FZ201*VLOOKUP('Données projet'!$B$17,Paramètres!$A$1:$I$89,3,0)*VLOOKUP('Données projet'!$B$17,Paramètres!$A$1:$I$89,5,0)</f>
        <v>0</v>
      </c>
      <c r="GB201" s="14" t="e">
        <f t="shared" si="185"/>
        <v>#NUM!</v>
      </c>
      <c r="GC201" s="22" t="e">
        <f t="shared" si="186"/>
        <v>#NUM!</v>
      </c>
      <c r="GD201" s="60" t="e">
        <f t="shared" si="200"/>
        <v>#NUM!</v>
      </c>
      <c r="GE201" s="60">
        <f ca="1">AVERAGE(OFFSET($GD$3,0,0,'Données projet'!$E$17+1,1))-AVERAGE(OFFSET($H$3,0,0,'Données projet'!$E$17+1,1))</f>
        <v>216.36762889365235</v>
      </c>
      <c r="GF201" s="60">
        <f t="shared" si="212"/>
        <v>333.29599352215496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0.48464101374503032</v>
      </c>
      <c r="GM201" s="23">
        <f>EXP(-LN(2)/25)*GM200+(1-EXP(-LN(2)/25))/(LN(2)/25)*Calculateur!GH201*Calculateur!GJ201*VLOOKUP('Données projet'!$B$17,Paramètres!$A$1:$I$89,3,0)*0.475*44/12</f>
        <v>9.2481938727889734E-2</v>
      </c>
      <c r="GN201" s="23">
        <f>EXP(-LN(2)/2)*GN200+(1-EXP(-LN(2)/2))/(LN(2)/2)*GH201*GK201*VLOOKUP('Données projet'!$B$17,Paramètres!$A$1:$I$89,3,0)*0.475*44/12</f>
        <v>1.5118936835621112E-25</v>
      </c>
      <c r="GO201" s="23">
        <f t="shared" si="187"/>
        <v>0.57712295247292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4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-9.3464223027694966E-13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496.33873798282525</v>
      </c>
      <c r="T202" s="60">
        <f t="shared" si="204"/>
        <v>280.25465074992246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3.4106051316484809E-13</v>
      </c>
      <c r="AJ202" s="14">
        <f>AI202*VLOOKUP('Données projet'!$B$10,Paramètres!$A$1:$I$89,3,0)*VLOOKUP('Données projet'!$B$10,Paramètres!$A$1:$I$89,5,0)</f>
        <v>1.5961632016114892E-13</v>
      </c>
      <c r="AK202" s="14">
        <f t="shared" si="164"/>
        <v>2.2708641912150958E-12</v>
      </c>
      <c r="AL202" s="22">
        <f t="shared" si="165"/>
        <v>4.2330868906469593E-12</v>
      </c>
      <c r="AM202" s="60">
        <f t="shared" si="193"/>
        <v>290.51637186934033</v>
      </c>
      <c r="AN202" s="60">
        <f ca="1">AVERAGE(OFFSET($AM$3,0,0,'Données projet'!$E$10+1,1))-AVERAGE(OFFSET($H$3,0,0,'Données projet'!$E$10+1,1))</f>
        <v>277.7918215389401</v>
      </c>
      <c r="AO202" s="60">
        <f t="shared" si="205"/>
        <v>164.65640238394164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-2.2737367544323206E-13</v>
      </c>
      <c r="BE202" s="14">
        <f>BD202*VLOOKUP('Données projet'!$B$11,Paramètres!$A$1:$I$89,3,0)*VLOOKUP('Données projet'!$B$11,Paramètres!$A$1:$I$89,5,0)</f>
        <v>-2.1636878955177963E-13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366.21371543563254</v>
      </c>
      <c r="BJ202" s="60">
        <f t="shared" si="206"/>
        <v>237.43356317334084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-5.1159076974727213E-13</v>
      </c>
      <c r="BZ202" s="14">
        <f>BY202*VLOOKUP('Données projet'!$B$12,Paramètres!$A$1:$I$89,3,0)*VLOOKUP('Données projet'!$B$12,Paramètres!$A$1:$I$89,5,0)</f>
        <v>-5.3471467253984886E-13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530.79860063513229</v>
      </c>
      <c r="CE202" s="60">
        <f t="shared" si="207"/>
        <v>302.50876440460434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-8.7434273154940449E-13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469.67944008675863</v>
      </c>
      <c r="CZ202" s="60">
        <f t="shared" si="208"/>
        <v>266.11908070867173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-9.6633812063373625E-13</v>
      </c>
      <c r="DP202" s="18">
        <f>DO202*VLOOKUP('Données projet'!$B$14,Paramètres!$A$1:$I$89,3,0)*VLOOKUP('Données projet'!$B$14,Paramètres!$A$1:$I$89,5,0)</f>
        <v>-1.0401663530501537E-12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542.90832990875208</v>
      </c>
      <c r="DU202" s="60">
        <f t="shared" si="209"/>
        <v>304.94365539329362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5.6843418860808015E-14</v>
      </c>
      <c r="EK202" s="18">
        <f>EJ202*VLOOKUP('Données projet'!$B$15,Paramètres!$A$1:$I$89,3,0)*VLOOKUP('Données projet'!$B$15,Paramètres!$A$1:$I$89,5,0)</f>
        <v>4.5224624045658861E-14</v>
      </c>
      <c r="EL202" s="14">
        <f t="shared" si="179"/>
        <v>7.4514601661523691E-13</v>
      </c>
      <c r="EM202" s="22">
        <f t="shared" si="180"/>
        <v>1.3765621991510601E-12</v>
      </c>
      <c r="EN202" s="60">
        <f t="shared" si="198"/>
        <v>290.51637186933749</v>
      </c>
      <c r="EO202" s="60">
        <f ca="1">AVERAGE(OFFSET($EN$3,0,0,'Données projet'!$E$15+1,1))-AVERAGE(OFFSET($H$3,0,0,'Données projet'!$E$15+1,1))</f>
        <v>273.72403794510291</v>
      </c>
      <c r="EP202" s="60">
        <f t="shared" si="210"/>
        <v>292.00185554564109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5.6843418860808015E-14</v>
      </c>
      <c r="FF202" s="18">
        <f>FE202*VLOOKUP('Données projet'!$B$16,Paramètres!$A$1:$I$89,3,0)*VLOOKUP('Données projet'!$B$16,Paramètres!$A$1:$I$89,5,0)</f>
        <v>4.4337866711430253E-14</v>
      </c>
      <c r="FG202" s="14">
        <f t="shared" si="182"/>
        <v>7.3222115536967035E-13</v>
      </c>
      <c r="FH202" s="22">
        <f t="shared" si="183"/>
        <v>1.3525069634579169E-12</v>
      </c>
      <c r="FI202" s="60">
        <f t="shared" si="199"/>
        <v>290.51637186933749</v>
      </c>
      <c r="FJ202" s="60">
        <f ca="1">AVERAGE(OFFSET($FI$3,0,0,'Données projet'!$E$16+1,1))-AVERAGE(OFFSET($H$3,0,0,'Données projet'!$E$16+1,1))</f>
        <v>309.21625451786218</v>
      </c>
      <c r="FK202" s="60">
        <f t="shared" si="211"/>
        <v>302.59481222418219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>
        <f>FZ202*VLOOKUP('Données projet'!$B$17,Paramètres!$A$1:$I$89,3,0)*VLOOKUP('Données projet'!$B$17,Paramètres!$A$1:$I$89,5,0)</f>
        <v>0</v>
      </c>
      <c r="GB202" s="14" t="e">
        <f t="shared" si="185"/>
        <v>#NUM!</v>
      </c>
      <c r="GC202" s="22" t="e">
        <f t="shared" si="186"/>
        <v>#NUM!</v>
      </c>
      <c r="GD202" s="60" t="e">
        <f t="shared" si="200"/>
        <v>#NUM!</v>
      </c>
      <c r="GE202" s="60">
        <f ca="1">AVERAGE(OFFSET($GD$3,0,0,'Données projet'!$E$17+1,1))-AVERAGE(OFFSET($H$3,0,0,'Données projet'!$E$17+1,1))</f>
        <v>216.36762889365235</v>
      </c>
      <c r="GF202" s="60">
        <f t="shared" si="212"/>
        <v>333.29599352215496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0.47513749906732039</v>
      </c>
      <c r="GM202" s="23">
        <f>EXP(-LN(2)/25)*GM201+(1-EXP(-LN(2)/25))/(LN(2)/25)*Calculateur!GH202*Calculateur!GJ202*VLOOKUP('Données projet'!$B$17,Paramètres!$A$1:$I$89,3,0)*0.475*44/12</f>
        <v>8.9953015249961799E-2</v>
      </c>
      <c r="GN202" s="23">
        <f>EXP(-LN(2)/2)*GN201+(1-EXP(-LN(2)/2))/(LN(2)/2)*GH202*GK202*VLOOKUP('Données projet'!$B$17,Paramètres!$A$1:$I$89,3,0)*0.475*44/12</f>
        <v>1.0690702760798771E-25</v>
      </c>
      <c r="GO202" s="23">
        <f t="shared" si="187"/>
        <v>0.56509051431728219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4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-9.3464223027694966E-13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496.33873798282525</v>
      </c>
      <c r="T203" s="60">
        <f t="shared" si="204"/>
        <v>280.25465074992246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3.4106051316484809E-13</v>
      </c>
      <c r="AJ203" s="14">
        <f>AI203*VLOOKUP('Données projet'!$B$10,Paramètres!$A$1:$I$89,3,0)*VLOOKUP('Données projet'!$B$10,Paramètres!$A$1:$I$89,5,0)</f>
        <v>1.5961632016114892E-13</v>
      </c>
      <c r="AK203" s="14">
        <f t="shared" si="164"/>
        <v>2.2708641912150958E-12</v>
      </c>
      <c r="AL203" s="22">
        <f t="shared" si="165"/>
        <v>4.2330868906469593E-12</v>
      </c>
      <c r="AM203" s="60">
        <f t="shared" si="193"/>
        <v>290.56523985295831</v>
      </c>
      <c r="AN203" s="60">
        <f ca="1">AVERAGE(OFFSET($AM$3,0,0,'Données projet'!$E$10+1,1))-AVERAGE(OFFSET($H$3,0,0,'Données projet'!$E$10+1,1))</f>
        <v>277.7918215389401</v>
      </c>
      <c r="AO203" s="60">
        <f t="shared" si="205"/>
        <v>164.65640238394164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-2.2737367544323206E-13</v>
      </c>
      <c r="BE203" s="14">
        <f>BD203*VLOOKUP('Données projet'!$B$11,Paramètres!$A$1:$I$89,3,0)*VLOOKUP('Données projet'!$B$11,Paramètres!$A$1:$I$89,5,0)</f>
        <v>-2.1636878955177963E-13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366.21371543563254</v>
      </c>
      <c r="BJ203" s="60">
        <f t="shared" si="206"/>
        <v>237.43356317334084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-5.1159076974727213E-13</v>
      </c>
      <c r="BZ203" s="14">
        <f>BY203*VLOOKUP('Données projet'!$B$12,Paramètres!$A$1:$I$89,3,0)*VLOOKUP('Données projet'!$B$12,Paramètres!$A$1:$I$89,5,0)</f>
        <v>-5.3471467253984886E-13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530.79860063513229</v>
      </c>
      <c r="CE203" s="60">
        <f t="shared" si="207"/>
        <v>302.50876440460434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-8.7434273154940449E-13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469.67944008675863</v>
      </c>
      <c r="CZ203" s="60">
        <f t="shared" si="208"/>
        <v>266.11908070867173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-9.6633812063373625E-13</v>
      </c>
      <c r="DP203" s="18">
        <f>DO203*VLOOKUP('Données projet'!$B$14,Paramètres!$A$1:$I$89,3,0)*VLOOKUP('Données projet'!$B$14,Paramètres!$A$1:$I$89,5,0)</f>
        <v>-1.0401663530501537E-12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542.90832990875208</v>
      </c>
      <c r="DU203" s="60">
        <f t="shared" si="209"/>
        <v>304.94365539329362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5.6843418860808015E-14</v>
      </c>
      <c r="EK203" s="18">
        <f>EJ203*VLOOKUP('Données projet'!$B$15,Paramètres!$A$1:$I$89,3,0)*VLOOKUP('Données projet'!$B$15,Paramètres!$A$1:$I$89,5,0)</f>
        <v>4.5224624045658861E-14</v>
      </c>
      <c r="EL203" s="14">
        <f t="shared" si="179"/>
        <v>7.4514601661523691E-13</v>
      </c>
      <c r="EM203" s="22">
        <f t="shared" si="180"/>
        <v>1.3765621991510601E-12</v>
      </c>
      <c r="EN203" s="60">
        <f t="shared" si="198"/>
        <v>290.56523985295547</v>
      </c>
      <c r="EO203" s="60">
        <f ca="1">AVERAGE(OFFSET($EN$3,0,0,'Données projet'!$E$15+1,1))-AVERAGE(OFFSET($H$3,0,0,'Données projet'!$E$15+1,1))</f>
        <v>273.72403794510291</v>
      </c>
      <c r="EP203" s="60">
        <f t="shared" si="210"/>
        <v>292.00185554564109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5.6843418860808015E-14</v>
      </c>
      <c r="FF203" s="18">
        <f>FE203*VLOOKUP('Données projet'!$B$16,Paramètres!$A$1:$I$89,3,0)*VLOOKUP('Données projet'!$B$16,Paramètres!$A$1:$I$89,5,0)</f>
        <v>4.4337866711430253E-14</v>
      </c>
      <c r="FG203" s="14">
        <f t="shared" si="182"/>
        <v>7.3222115536967035E-13</v>
      </c>
      <c r="FH203" s="22">
        <f t="shared" si="183"/>
        <v>1.3525069634579169E-12</v>
      </c>
      <c r="FI203" s="60">
        <f t="shared" si="199"/>
        <v>290.56523985295547</v>
      </c>
      <c r="FJ203" s="60">
        <f ca="1">AVERAGE(OFFSET($FI$3,0,0,'Données projet'!$E$16+1,1))-AVERAGE(OFFSET($H$3,0,0,'Données projet'!$E$16+1,1))</f>
        <v>309.21625451786218</v>
      </c>
      <c r="FK203" s="60">
        <f t="shared" si="211"/>
        <v>302.59481222418219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>
        <f>FZ203*VLOOKUP('Données projet'!$B$17,Paramètres!$A$1:$I$89,3,0)*VLOOKUP('Données projet'!$B$17,Paramètres!$A$1:$I$89,5,0)</f>
        <v>0</v>
      </c>
      <c r="GB203" s="14" t="e">
        <f t="shared" si="185"/>
        <v>#NUM!</v>
      </c>
      <c r="GC203" s="22" t="e">
        <f t="shared" si="186"/>
        <v>#NUM!</v>
      </c>
      <c r="GD203" s="60" t="e">
        <f t="shared" si="200"/>
        <v>#NUM!</v>
      </c>
      <c r="GE203" s="60">
        <f ca="1">AVERAGE(OFFSET($GD$3,0,0,'Données projet'!$E$17+1,1))-AVERAGE(OFFSET($H$3,0,0,'Données projet'!$E$17+1,1))</f>
        <v>216.36762889365235</v>
      </c>
      <c r="GF203" s="60">
        <f t="shared" si="212"/>
        <v>333.29599352215496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0.46582034251586879</v>
      </c>
      <c r="GM203" s="23">
        <f>EXP(-LN(2)/25)*GM202+(1-EXP(-LN(2)/25))/(LN(2)/25)*Calculateur!GH203*Calculateur!GJ203*VLOOKUP('Données projet'!$B$17,Paramètres!$A$1:$I$89,3,0)*0.475*44/12</f>
        <v>8.7493245317528112E-2</v>
      </c>
      <c r="GN203" s="23">
        <f>EXP(-LN(2)/2)*GN202+(1-EXP(-LN(2)/2))/(LN(2)/2)*GH203*GK203*VLOOKUP('Données projet'!$B$17,Paramètres!$A$1:$I$89,3,0)*0.475*44/12</f>
        <v>7.5594684178105561E-26</v>
      </c>
      <c r="GO203" s="23">
        <f t="shared" si="187"/>
        <v>0.5533135878333969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" thickBot="1" x14ac:dyDescent="0.35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1.2054868146447177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1.1671681906248585</v>
      </c>
      <c r="BA205" s="85">
        <f>EXP(LN('Données projet'!B88)/'Données projet'!A88)</f>
        <v>1.2474493579153909</v>
      </c>
      <c r="BV205" s="85">
        <f>EXP(LN('Données projet'!B114)/'Données projet'!A114)</f>
        <v>1.2548684989282006</v>
      </c>
      <c r="CQ205" s="85">
        <f>EXP(LN('Données projet'!B140)/'Données projet'!A140)</f>
        <v>1.2054868146447177</v>
      </c>
      <c r="DL205" s="85">
        <f>EXP(LN('Données projet'!B166)/'Données projet'!A166)</f>
        <v>1.2054868146447177</v>
      </c>
      <c r="EG205" s="85">
        <f>EXP(LN('Données projet'!B192)/'Données projet'!A192)</f>
        <v>1.156891598310152</v>
      </c>
      <c r="FB205" s="85">
        <f>EXP(LN('Données projet'!B218)/'Données projet'!A218)</f>
        <v>1.2788040393997409</v>
      </c>
      <c r="FW205" s="85">
        <f>EXP(LN('Données projet'!B244)/'Données projet'!A244)</f>
        <v>1.3566516392624868</v>
      </c>
      <c r="GR205" s="8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C23" sqref="C23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 x14ac:dyDescent="0.3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09" t="s">
        <v>238</v>
      </c>
      <c r="P2" s="126">
        <v>0</v>
      </c>
    </row>
    <row r="3" spans="1:16" ht="15" thickBot="1" x14ac:dyDescent="0.35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10"/>
      <c r="P3" s="133">
        <v>0.2</v>
      </c>
    </row>
    <row r="4" spans="1:16" ht="15" thickBot="1" x14ac:dyDescent="0.35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 x14ac:dyDescent="0.3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09" t="s">
        <v>237</v>
      </c>
      <c r="P5" s="126">
        <v>0</v>
      </c>
    </row>
    <row r="6" spans="1:16" x14ac:dyDescent="0.3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11"/>
      <c r="P6" s="134">
        <v>0.05</v>
      </c>
    </row>
    <row r="7" spans="1:16" x14ac:dyDescent="0.3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11"/>
      <c r="P7" s="134">
        <v>0.1</v>
      </c>
    </row>
    <row r="8" spans="1:16" ht="15" thickBot="1" x14ac:dyDescent="0.35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10"/>
      <c r="P8" s="133">
        <v>0.15</v>
      </c>
    </row>
    <row r="9" spans="1:16" ht="15" thickBot="1" x14ac:dyDescent="0.35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 x14ac:dyDescent="0.3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09" t="s">
        <v>236</v>
      </c>
      <c r="P10" s="126">
        <v>0</v>
      </c>
    </row>
    <row r="11" spans="1:16" ht="15" thickBot="1" x14ac:dyDescent="0.35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10"/>
      <c r="P11" s="133">
        <v>0.1</v>
      </c>
    </row>
    <row r="12" spans="1:16" x14ac:dyDescent="0.3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 x14ac:dyDescent="0.3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 x14ac:dyDescent="0.3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 x14ac:dyDescent="0.3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 x14ac:dyDescent="0.3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 x14ac:dyDescent="0.3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 x14ac:dyDescent="0.3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 x14ac:dyDescent="0.3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 x14ac:dyDescent="0.3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 x14ac:dyDescent="0.3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 x14ac:dyDescent="0.3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 x14ac:dyDescent="0.3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 x14ac:dyDescent="0.3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 x14ac:dyDescent="0.3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 x14ac:dyDescent="0.3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 x14ac:dyDescent="0.3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 x14ac:dyDescent="0.3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 x14ac:dyDescent="0.3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 x14ac:dyDescent="0.3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 x14ac:dyDescent="0.3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 x14ac:dyDescent="0.3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 x14ac:dyDescent="0.3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 x14ac:dyDescent="0.3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 x14ac:dyDescent="0.3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 x14ac:dyDescent="0.3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 x14ac:dyDescent="0.3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 x14ac:dyDescent="0.3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 x14ac:dyDescent="0.3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 x14ac:dyDescent="0.3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 x14ac:dyDescent="0.3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 x14ac:dyDescent="0.3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 x14ac:dyDescent="0.3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 x14ac:dyDescent="0.3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 x14ac:dyDescent="0.3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 x14ac:dyDescent="0.3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 x14ac:dyDescent="0.3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 x14ac:dyDescent="0.3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 x14ac:dyDescent="0.3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 x14ac:dyDescent="0.3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 x14ac:dyDescent="0.3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 x14ac:dyDescent="0.3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 x14ac:dyDescent="0.3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 x14ac:dyDescent="0.3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 x14ac:dyDescent="0.3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 x14ac:dyDescent="0.3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 x14ac:dyDescent="0.3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 x14ac:dyDescent="0.3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 x14ac:dyDescent="0.3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 x14ac:dyDescent="0.3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 x14ac:dyDescent="0.3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 x14ac:dyDescent="0.3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 x14ac:dyDescent="0.3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 x14ac:dyDescent="0.3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 x14ac:dyDescent="0.3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 x14ac:dyDescent="0.3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 x14ac:dyDescent="0.3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 x14ac:dyDescent="0.3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 x14ac:dyDescent="0.3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 x14ac:dyDescent="0.3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 x14ac:dyDescent="0.3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 x14ac:dyDescent="0.3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 x14ac:dyDescent="0.3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 x14ac:dyDescent="0.3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 x14ac:dyDescent="0.3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 x14ac:dyDescent="0.3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 x14ac:dyDescent="0.3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 x14ac:dyDescent="0.3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 x14ac:dyDescent="0.3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 x14ac:dyDescent="0.3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 x14ac:dyDescent="0.3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 x14ac:dyDescent="0.3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 x14ac:dyDescent="0.3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 x14ac:dyDescent="0.3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 x14ac:dyDescent="0.3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 x14ac:dyDescent="0.3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 x14ac:dyDescent="0.3">
      <c r="A87" s="282" t="s">
        <v>321</v>
      </c>
      <c r="B87" s="283" t="s">
        <v>322</v>
      </c>
      <c r="C87" s="284">
        <v>0.41</v>
      </c>
      <c r="D87" s="284" t="s">
        <v>323</v>
      </c>
      <c r="E87" s="284">
        <v>1.56</v>
      </c>
      <c r="F87" s="285" t="s">
        <v>274</v>
      </c>
      <c r="G87" s="286">
        <v>0.43</v>
      </c>
      <c r="H87" s="284" t="s">
        <v>278</v>
      </c>
      <c r="I87" s="287">
        <v>0.25</v>
      </c>
      <c r="J87" s="96"/>
      <c r="K87" s="96"/>
      <c r="L87" s="96"/>
      <c r="M87" s="96"/>
      <c r="N87" s="96"/>
    </row>
    <row r="88" spans="1:14" x14ac:dyDescent="0.3">
      <c r="A88" s="127" t="s">
        <v>148</v>
      </c>
      <c r="B88" s="135"/>
      <c r="C88" s="129">
        <v>0.42</v>
      </c>
      <c r="D88" s="129" t="s">
        <v>161</v>
      </c>
      <c r="E88" s="129">
        <v>1.3</v>
      </c>
      <c r="F88" s="130" t="s">
        <v>274</v>
      </c>
      <c r="G88" s="136"/>
      <c r="H88" s="135"/>
      <c r="I88" s="137"/>
    </row>
    <row r="89" spans="1:14" ht="15" thickBot="1" x14ac:dyDescent="0.35">
      <c r="A89" s="138" t="s">
        <v>149</v>
      </c>
      <c r="B89" s="139"/>
      <c r="C89" s="140">
        <v>0.56999999999999995</v>
      </c>
      <c r="D89" s="141" t="s">
        <v>161</v>
      </c>
      <c r="E89" s="140">
        <v>1.56</v>
      </c>
      <c r="F89" s="140" t="s">
        <v>274</v>
      </c>
      <c r="G89" s="139"/>
      <c r="H89" s="139"/>
      <c r="I89" s="142"/>
    </row>
    <row r="93" spans="1:14" x14ac:dyDescent="0.3">
      <c r="A93" s="127" t="s">
        <v>208</v>
      </c>
    </row>
    <row r="94" spans="1:14" x14ac:dyDescent="0.3">
      <c r="A94" s="127" t="s">
        <v>209</v>
      </c>
    </row>
    <row r="95" spans="1:14" x14ac:dyDescent="0.3">
      <c r="A95" s="127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F1" zoomScaleNormal="100" workbookViewId="0">
      <selection activeCell="G22" sqref="G2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13" t="s">
        <v>191</v>
      </c>
      <c r="C2" s="314"/>
      <c r="D2" s="314"/>
      <c r="E2" s="314"/>
      <c r="F2" s="314"/>
      <c r="G2" s="315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12"/>
      <c r="C4" s="312"/>
      <c r="D4" s="312"/>
      <c r="E4" s="312"/>
      <c r="F4" s="312"/>
      <c r="G4" s="312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3" t="s">
        <v>296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3"/>
      <c r="C6" s="233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4"/>
      <c r="B7" s="29" t="s">
        <v>295</v>
      </c>
      <c r="C7" s="105" t="s">
        <v>214</v>
      </c>
      <c r="D7" s="231"/>
      <c r="E7" s="106"/>
      <c r="F7" s="29" t="s">
        <v>295</v>
      </c>
      <c r="G7" s="105" t="s">
        <v>215</v>
      </c>
      <c r="H7" s="232"/>
      <c r="I7" s="232"/>
      <c r="J7" s="232"/>
      <c r="K7" s="232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 x14ac:dyDescent="0.3">
      <c r="A8" s="110">
        <v>1</v>
      </c>
      <c r="B8" s="62">
        <v>1</v>
      </c>
      <c r="C8" s="52" t="s">
        <v>177</v>
      </c>
      <c r="D8" s="25"/>
      <c r="E8" s="110">
        <v>4</v>
      </c>
      <c r="F8" s="62">
        <v>0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0">
        <v>2</v>
      </c>
      <c r="B9" s="62">
        <v>0</v>
      </c>
      <c r="C9" s="113" t="s">
        <v>216</v>
      </c>
      <c r="D9" s="25"/>
      <c r="E9" s="110">
        <v>5</v>
      </c>
      <c r="F9" s="62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0">
        <v>3</v>
      </c>
      <c r="B10" s="62">
        <v>0</v>
      </c>
      <c r="C10" s="114" t="s">
        <v>217</v>
      </c>
      <c r="D10" s="25"/>
      <c r="E10" s="5"/>
      <c r="F10" s="111">
        <f>SUM(F7:F9)</f>
        <v>0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2"/>
      <c r="B13" s="112"/>
      <c r="C13" s="103" t="s">
        <v>273</v>
      </c>
      <c r="D13" s="232"/>
      <c r="E13" s="104"/>
      <c r="F13" s="112"/>
      <c r="G13" s="103" t="s">
        <v>301</v>
      </c>
      <c r="H13" s="232"/>
      <c r="I13" s="232"/>
      <c r="J13" s="232"/>
      <c r="K13" s="232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 x14ac:dyDescent="0.3">
      <c r="A14" s="232"/>
      <c r="B14" s="112"/>
      <c r="C14" s="103" t="s">
        <v>309</v>
      </c>
      <c r="D14" s="232"/>
      <c r="E14" s="104"/>
      <c r="F14" s="112"/>
      <c r="G14" s="103" t="s">
        <v>294</v>
      </c>
      <c r="H14" s="232"/>
      <c r="I14" s="232"/>
      <c r="J14" s="232"/>
      <c r="K14" s="232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1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1">
        <f>SUM(B16:B18)</f>
        <v>1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D1" zoomScale="90" zoomScaleNormal="90" workbookViewId="0">
      <selection activeCell="I12" sqref="I1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13" t="s">
        <v>271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5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7"/>
      <c r="J3" s="227"/>
      <c r="K3" s="227"/>
      <c r="L3" s="227"/>
      <c r="M3" s="227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7"/>
      <c r="J4" s="227"/>
      <c r="K4" s="227"/>
      <c r="L4" s="227"/>
      <c r="M4" s="227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0" t="str">
        <f>IF('Données projet'!$B$9="","",'Données projet'!$B$9)</f>
        <v>Alisier torminal</v>
      </c>
      <c r="B6" s="151">
        <f>'Données projet'!D9</f>
        <v>8.9200000000000002E-2</v>
      </c>
      <c r="C6" s="152">
        <f ca="1">IF(OR('Données projet'!B9="",'Données projet'!C9="",'Données projet'!C9=0%),0,Calculateur!S3)</f>
        <v>496.33873798282525</v>
      </c>
      <c r="D6" s="152">
        <f>IF(OR('Données projet'!B9="",'Données projet'!C9="",'Données projet'!C9=0%),0,Calculateur!T3)</f>
        <v>280.25465074992246</v>
      </c>
      <c r="E6" s="152">
        <f ca="1">MIN(C6,D6)</f>
        <v>280.25465074992246</v>
      </c>
      <c r="F6" s="152">
        <f ca="1">E6*B6</f>
        <v>24.998714846893083</v>
      </c>
      <c r="G6" s="152">
        <f ca="1">F6*(100%-'Données projet'!$C$24)*(100%-'Données projet'!$C$25)*(100%-'Données projet'!$C$26)*(100%-'Données projet'!$C$27)</f>
        <v>21.373901194093584</v>
      </c>
      <c r="H6" s="153">
        <f>IF(OR('Données projet'!B9="",'Données projet'!C9="",'Données projet'!C9=0%),0,AVERAGE(Calculateur!$AC$3:$AC$33)*B6)</f>
        <v>0</v>
      </c>
      <c r="I6" s="154">
        <f>H6*(100%-'Données projet'!$C$24)*(100%-'Données projet'!$C$25)*(100%-'Données projet'!$C$26)*(100%-'Données projet'!$C$27)</f>
        <v>0</v>
      </c>
      <c r="J6" s="155">
        <f>IF(OR('Données projet'!B9="",'Données projet'!C9="",'Données projet'!C9=0%),0,SUM(Calculateur!$V$3:$V$33)*VLOOKUP('Données projet'!$B$9,Paramètres!$A$1:$I$89,9,0)*B6)</f>
        <v>0.64670000000000005</v>
      </c>
      <c r="K6" s="156">
        <f>J6*(100%-'Données projet'!$C$24)*(100%-'Données projet'!$C$25)*(100%-'Données projet'!$C$26)*(100%-'Données projet'!$C$27)</f>
        <v>0.55292850000000004</v>
      </c>
      <c r="L6" s="157">
        <f ca="1">G6+I6+K6</f>
        <v>21.926829694093584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58" t="str">
        <f>IF('Données projet'!$B$10="","",'Données projet'!$B$10)</f>
        <v>Cèdre de l'Atlas</v>
      </c>
      <c r="B7" s="159">
        <f>'Données projet'!D10</f>
        <v>1.6501999999999999</v>
      </c>
      <c r="C7" s="152">
        <f ca="1">IF(OR('Données projet'!B10="",'Données projet'!C10="",'Données projet'!C10=0%),0,Calculateur!AN3)</f>
        <v>277.7918215389401</v>
      </c>
      <c r="D7" s="152">
        <f>IF(OR('Données projet'!B10="",'Données projet'!C10="",'Données projet'!C10=0%),0,Calculateur!AO3)</f>
        <v>164.65640238394164</v>
      </c>
      <c r="E7" s="152">
        <f t="shared" ref="E7:E15" ca="1" si="0">MIN(C7,D7)</f>
        <v>164.65640238394164</v>
      </c>
      <c r="F7" s="152">
        <f t="shared" ref="F7:F15" ca="1" si="1">E7*B7</f>
        <v>271.71599521398048</v>
      </c>
      <c r="G7" s="152">
        <f ca="1">F7*(100%-'Données projet'!$C$24)*(100%-'Données projet'!$C$25)*(100%-'Données projet'!$C$26)*(100%-'Données projet'!$C$27)</f>
        <v>232.3171759079533</v>
      </c>
      <c r="H7" s="160">
        <f>IF(OR('Données projet'!B10="",'Données projet'!C10="",'Données projet'!C10=0%),0,AVERAGE(Calculateur!$AX$3:$AX$33)*B7)</f>
        <v>0</v>
      </c>
      <c r="I7" s="154">
        <f>H7*(100%-'Données projet'!$C$24)*(100%-'Données projet'!$C$25)*(100%-'Données projet'!$C$26)*(100%-'Données projet'!$C$27)</f>
        <v>0</v>
      </c>
      <c r="J7" s="155">
        <f>IF(OR('Données projet'!B10="",'Données projet'!C10="",'Données projet'!C10=0%),0,SUM(Calculateur!$AQ$3:$AQ$33)*VLOOKUP('Données projet'!$B$10,Paramètres!$A$1:$I$89,9,0)*B7)</f>
        <v>0</v>
      </c>
      <c r="K7" s="156">
        <f>J7*(100%-'Données projet'!$C$24)*(100%-'Données projet'!$C$25)*(100%-'Données projet'!$C$26)*(100%-'Données projet'!$C$27)</f>
        <v>0</v>
      </c>
      <c r="L7" s="157">
        <f t="shared" ref="L7:L15" ca="1" si="2">G7+I7+K7</f>
        <v>232.3171759079533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58" t="str">
        <f>IF('Données projet'!$B$11="","",'Données projet'!$B$11)</f>
        <v>Charme</v>
      </c>
      <c r="B8" s="159">
        <f>'Données projet'!D11</f>
        <v>0.65784999999999993</v>
      </c>
      <c r="C8" s="152">
        <f ca="1">IF(OR('Données projet'!B11="",'Données projet'!C11="",'Données projet'!C11=0%),0,Calculateur!BI3)</f>
        <v>366.21371543563254</v>
      </c>
      <c r="D8" s="152">
        <f>IF(OR('Données projet'!B11="",'Données projet'!C11="",'Données projet'!C11=0%),0,Calculateur!BJ3)</f>
        <v>237.43356317334084</v>
      </c>
      <c r="E8" s="152">
        <f t="shared" ca="1" si="0"/>
        <v>237.43356317334084</v>
      </c>
      <c r="F8" s="152">
        <f t="shared" ca="1" si="1"/>
        <v>156.19566953358225</v>
      </c>
      <c r="G8" s="152">
        <f ca="1">F8*(100%-'Données projet'!$C$24)*(100%-'Données projet'!$C$25)*(100%-'Données projet'!$C$26)*(100%-'Données projet'!$C$27)</f>
        <v>133.54729745121281</v>
      </c>
      <c r="H8" s="160">
        <f>IF(OR('Données projet'!B11="",'Données projet'!C11="",'Données projet'!C11=0%),0,AVERAGE(Calculateur!$BS$3:$BS$33)*B8)</f>
        <v>0</v>
      </c>
      <c r="I8" s="154">
        <f>H8*(100%-'Données projet'!$C$24)*(100%-'Données projet'!$C$25)*(100%-'Données projet'!$C$26)*(100%-'Données projet'!$C$27)</f>
        <v>0</v>
      </c>
      <c r="J8" s="155">
        <f>IF(OR('Données projet'!B11="",'Données projet'!C11="",'Données projet'!C11=0%),0,SUM(Calculateur!$BL$3:$BL$33)*VLOOKUP('Données projet'!$B$11,Paramètres!$A$1:$I$89,9,0)*B8)</f>
        <v>4.4278365384615377</v>
      </c>
      <c r="K8" s="156">
        <f>J8*(100%-'Données projet'!$C$24)*(100%-'Données projet'!$C$25)*(100%-'Données projet'!$C$26)*(100%-'Données projet'!$C$27)</f>
        <v>3.7858002403846149</v>
      </c>
      <c r="L8" s="157">
        <f t="shared" ca="1" si="2"/>
        <v>137.33309769159743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58" t="str">
        <f>IF('Données projet'!$B$12="","",'Données projet'!$B$12)</f>
        <v>Chêne chevelu</v>
      </c>
      <c r="B9" s="159">
        <f>'Données projet'!D12</f>
        <v>0.12265</v>
      </c>
      <c r="C9" s="152">
        <f ca="1">IF(OR('Données projet'!B12="",'Données projet'!C12="",'Données projet'!C12=0%),0,Calculateur!CD3)</f>
        <v>530.79860063513229</v>
      </c>
      <c r="D9" s="152">
        <f>IF(OR('Données projet'!B12="",'Données projet'!C12="",'Données projet'!C12=0%),0,Calculateur!CE3)</f>
        <v>302.50876440460434</v>
      </c>
      <c r="E9" s="152">
        <f t="shared" ca="1" si="0"/>
        <v>302.50876440460434</v>
      </c>
      <c r="F9" s="152">
        <f t="shared" ca="1" si="1"/>
        <v>37.102699954224718</v>
      </c>
      <c r="G9" s="152">
        <f ca="1">F9*(100%-'Données projet'!$C$24)*(100%-'Données projet'!$C$25)*(100%-'Données projet'!$C$26)*(100%-'Données projet'!$C$27)</f>
        <v>31.722808460862133</v>
      </c>
      <c r="H9" s="160">
        <f>IF(OR('Données projet'!B12="",'Données projet'!C12="",'Données projet'!C12=0%),0,AVERAGE(Calculateur!$CN$3:$CN$33)*B9)</f>
        <v>0</v>
      </c>
      <c r="I9" s="154">
        <f>H9*(100%-'Données projet'!$C$24)*(100%-'Données projet'!$C$25)*(100%-'Données projet'!$C$26)*(100%-'Données projet'!$C$27)</f>
        <v>0</v>
      </c>
      <c r="J9" s="155">
        <f>IF(OR('Données projet'!B12="",'Données projet'!C12="",'Données projet'!C12=0%),0,SUM(Calculateur!$CG$3:$CG$33)*VLOOKUP('Données projet'!$B$12,Paramètres!$A$1:$I$89,9,0)*B9)</f>
        <v>0.57000801282051272</v>
      </c>
      <c r="K9" s="156">
        <f>J9*(100%-'Données projet'!$C$24)*(100%-'Données projet'!$C$25)*(100%-'Données projet'!$C$26)*(100%-'Données projet'!$C$27)</f>
        <v>0.48735685096153841</v>
      </c>
      <c r="L9" s="157">
        <f t="shared" ca="1" si="2"/>
        <v>32.210165311823673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58" t="str">
        <f>IF('Données projet'!$B$13="","",'Données projet'!$B$13)</f>
        <v>Chêne sessile</v>
      </c>
      <c r="B10" s="159">
        <f>'Données projet'!D13</f>
        <v>4.8837000000000002</v>
      </c>
      <c r="C10" s="152">
        <f ca="1">IF(OR('Données projet'!B13="",'Données projet'!C13="",'Données projet'!C13=0%),0,Calculateur!CY3)</f>
        <v>469.67944008675863</v>
      </c>
      <c r="D10" s="152">
        <f>IF(OR('Données projet'!B13="",'Données projet'!C13="",'Données projet'!C13=0%),0,Calculateur!CZ3)</f>
        <v>266.11908070867173</v>
      </c>
      <c r="E10" s="152">
        <f t="shared" ca="1" si="0"/>
        <v>266.11908070867173</v>
      </c>
      <c r="F10" s="152">
        <f t="shared" ca="1" si="1"/>
        <v>1299.6457544569403</v>
      </c>
      <c r="G10" s="152">
        <f ca="1">F10*(100%-'Données projet'!$C$24)*(100%-'Données projet'!$C$25)*(100%-'Données projet'!$C$26)*(100%-'Données projet'!$C$27)</f>
        <v>1111.197120060684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projet'!$B$13,Paramètres!$A$1:$I$89,9,0)*B10)</f>
        <v>35.406824999999998</v>
      </c>
      <c r="K10" s="156">
        <f>J10*(100%-'Données projet'!$C$24)*(100%-'Données projet'!$C$25)*(100%-'Données projet'!$C$26)*(100%-'Données projet'!$C$27)</f>
        <v>30.272835374999996</v>
      </c>
      <c r="L10" s="157">
        <f t="shared" ca="1" si="2"/>
        <v>1141.4699554356839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58" t="str">
        <f>IF('Données projet'!$B$14="","",'Données projet'!$B$14)</f>
        <v>Cormier</v>
      </c>
      <c r="B11" s="159">
        <f>'Données projet'!D14</f>
        <v>0.18955000000000002</v>
      </c>
      <c r="C11" s="152">
        <f ca="1">IF(OR('Données projet'!B14="",'Données projet'!C14="",'Données projet'!C14=0%),0,Calculateur!DT3)</f>
        <v>542.90832990875208</v>
      </c>
      <c r="D11" s="152">
        <f>IF(OR('Données projet'!B14="",'Données projet'!C14="",'Données projet'!C14=0%),0,Calculateur!DU3)</f>
        <v>304.94365539329362</v>
      </c>
      <c r="E11" s="152">
        <f t="shared" ca="1" si="0"/>
        <v>304.94365539329362</v>
      </c>
      <c r="F11" s="152">
        <f t="shared" ca="1" si="1"/>
        <v>57.802069879798815</v>
      </c>
      <c r="G11" s="152">
        <f ca="1">F11*(100%-'Données projet'!$C$24)*(100%-'Données projet'!$C$25)*(100%-'Données projet'!$C$26)*(100%-'Données projet'!$C$27)</f>
        <v>49.420769747227986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projet'!$B$14,Paramètres!$A$1:$I$89,9,0)*B11)</f>
        <v>1.3742375000000002</v>
      </c>
      <c r="K11" s="156">
        <f>J11*(100%-'Données projet'!$C$24)*(100%-'Données projet'!$C$25)*(100%-'Données projet'!$C$26)*(100%-'Données projet'!$C$27)</f>
        <v>1.1749730625000001</v>
      </c>
      <c r="L11" s="157">
        <f t="shared" ca="1" si="2"/>
        <v>50.595742809727987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58" t="str">
        <f>IF('Données projet'!$B$15="","",'Données projet'!$B$15)</f>
        <v>Erable plane</v>
      </c>
      <c r="B12" s="159">
        <f>'Données projet'!D15</f>
        <v>0.34565000000000001</v>
      </c>
      <c r="C12" s="152">
        <f ca="1">IF(OR('Données projet'!B15="",'Données projet'!C15="",'Données projet'!C15=0%),0,Calculateur!EO3)</f>
        <v>273.72403794510291</v>
      </c>
      <c r="D12" s="152">
        <f>IF(OR('Données projet'!B15="",'Données projet'!C15="",'Données projet'!C15=0%),0,Calculateur!EP3)</f>
        <v>292.00185554564109</v>
      </c>
      <c r="E12" s="152">
        <f t="shared" ca="1" si="0"/>
        <v>273.72403794510291</v>
      </c>
      <c r="F12" s="152">
        <f t="shared" ca="1" si="1"/>
        <v>94.612713715724823</v>
      </c>
      <c r="G12" s="152">
        <f ca="1">F12*(100%-'Données projet'!$C$24)*(100%-'Données projet'!$C$25)*(100%-'Données projet'!$C$26)*(100%-'Données projet'!$C$27)</f>
        <v>80.893870226944728</v>
      </c>
      <c r="H12" s="160">
        <f>IF(OR('Données projet'!B15="",'Données projet'!C15="",'Données projet'!C15=0%),0,AVERAGE(Calculateur!$EY$3:$EY$33)*B12)</f>
        <v>0</v>
      </c>
      <c r="I12" s="154">
        <f>H12*(100%-'Données projet'!$C$24)*(100%-'Données projet'!$C$25)*(100%-'Données projet'!$C$26)*(100%-'Données projet'!$C$27)</f>
        <v>0</v>
      </c>
      <c r="J12" s="155">
        <f>IF(OR('Données projet'!B15="",'Données projet'!C15="",'Données projet'!C15=0%),0,SUM(Calculateur!$ER$3:$ER$33)*VLOOKUP('Données projet'!$B$15,Paramètres!$A$1:$I$89,9,0)*B12)</f>
        <v>5.4439875000000004</v>
      </c>
      <c r="K12" s="156">
        <f>J12*(100%-'Données projet'!$C$24)*(100%-'Données projet'!$C$25)*(100%-'Données projet'!$C$26)*(100%-'Données projet'!$C$27)</f>
        <v>4.6546093124999999</v>
      </c>
      <c r="L12" s="157">
        <f t="shared" ca="1" si="2"/>
        <v>85.548479539444727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58" t="str">
        <f>IF('Données projet'!$B$16="","",'Données projet'!$B$16)</f>
        <v>Merisier</v>
      </c>
      <c r="B13" s="159">
        <f>'Données projet'!D16</f>
        <v>0.21185000000000001</v>
      </c>
      <c r="C13" s="152">
        <f ca="1">IF(OR('Données projet'!B16="",'Données projet'!C16="",'Données projet'!C16=0%),0,Calculateur!FJ3)</f>
        <v>309.21625451786218</v>
      </c>
      <c r="D13" s="152">
        <f>IF(OR('Données projet'!B16="",'Données projet'!C16="",'Données projet'!C16=0%),0,Calculateur!FK3)</f>
        <v>302.59481222418219</v>
      </c>
      <c r="E13" s="152">
        <f t="shared" ca="1" si="0"/>
        <v>302.59481222418219</v>
      </c>
      <c r="F13" s="152">
        <f t="shared" ca="1" si="1"/>
        <v>64.104710969693002</v>
      </c>
      <c r="G13" s="152">
        <f ca="1">F13*(100%-'Données projet'!$C$24)*(100%-'Données projet'!$C$25)*(100%-'Données projet'!$C$26)*(100%-'Données projet'!$C$27)</f>
        <v>54.809527879087518</v>
      </c>
      <c r="H13" s="160">
        <f>IF(OR('Données projet'!B16="",'Données projet'!C16="",'Données projet'!C16=0%),0,AVERAGE(Calculateur!$FT$3:$FT$33)*B13)</f>
        <v>0</v>
      </c>
      <c r="I13" s="154">
        <f>H13*(100%-'Données projet'!$C$24)*(100%-'Données projet'!$C$25)*(100%-'Données projet'!$C$26)*(100%-'Données projet'!$C$27)</f>
        <v>0</v>
      </c>
      <c r="J13" s="155">
        <f>IF(OR('Données projet'!C16="",'Données projet'!C16=0%),0,SUM(Calculateur!$FM$3:$FM$33)*VLOOKUP('Données projet'!$B$16,Paramètres!$A$1:$I$89,9,0)*B13)</f>
        <v>2.9129375</v>
      </c>
      <c r="K13" s="156">
        <f>J13*(100%-'Données projet'!$C$24)*(100%-'Données projet'!$C$25)*(100%-'Données projet'!$C$26)*(100%-'Données projet'!$C$27)</f>
        <v>2.4905615624999999</v>
      </c>
      <c r="L13" s="157">
        <f t="shared" ca="1" si="2"/>
        <v>57.300089441587517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58" t="str">
        <f>IF('Données projet'!$B$17="","",'Données projet'!$B$17)</f>
        <v>Pin maritime</v>
      </c>
      <c r="B14" s="159">
        <f>'Données projet'!D17</f>
        <v>2.4753000000000003</v>
      </c>
      <c r="C14" s="152">
        <f ca="1">IF(OR('Données projet'!B17="",'Données projet'!C17="",'Données projet'!C17=0%),0,Calculateur!GE3)</f>
        <v>216.36762889365235</v>
      </c>
      <c r="D14" s="152">
        <f>IF(OR('Données projet'!B17="",'Données projet'!C17="",'Données projet'!C17=0%),0,Calculateur!GF3)</f>
        <v>333.29599352215496</v>
      </c>
      <c r="E14" s="152">
        <f t="shared" ca="1" si="0"/>
        <v>216.36762889365235</v>
      </c>
      <c r="F14" s="152">
        <f t="shared" ca="1" si="1"/>
        <v>535.57479180045777</v>
      </c>
      <c r="G14" s="152">
        <f ca="1">F14*(100%-'Données projet'!$C$24)*(100%-'Données projet'!$C$25)*(100%-'Données projet'!$C$26)*(100%-'Données projet'!$C$27)</f>
        <v>457.91644698939137</v>
      </c>
      <c r="H14" s="160">
        <f>IF(OR('Données projet'!B17="",'Données projet'!C17="",'Données projet'!C17=0%),0,AVERAGE(Calculateur!$GO$3:$GO$33)*B14)</f>
        <v>21.026010496573253</v>
      </c>
      <c r="I14" s="154">
        <f>H14*(100%-'Données projet'!$C$24)*(100%-'Données projet'!$C$25)*(100%-'Données projet'!$C$26)*(100%-'Données projet'!$C$27)</f>
        <v>17.977238974570131</v>
      </c>
      <c r="J14" s="155">
        <f>IF(OR('Données projet'!B17="",'Données projet'!C17="",'Données projet'!C17=0%),0,SUM(Calculateur!$GH$3:$GH$33)*VLOOKUP('Données projet'!$B$17,Paramètres!$A$1:$I$89,9,0)*B14)</f>
        <v>163.48750051499999</v>
      </c>
      <c r="K14" s="156">
        <f>J14*(100%-'Données projet'!$C$24)*(100%-'Données projet'!$C$25)*(100%-'Données projet'!$C$26)*(100%-'Données projet'!$C$27)</f>
        <v>139.78181294032498</v>
      </c>
      <c r="L14" s="157">
        <f t="shared" ca="1" si="2"/>
        <v>615.67549890428654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1" t="str">
        <f>IF('Données projet'!B18="","",'Données projet'!B18)</f>
        <v/>
      </c>
      <c r="B15" s="162">
        <f>'Données projet'!D18</f>
        <v>0</v>
      </c>
      <c r="C15" s="163">
        <f>IF(OR('Données projet'!B18="",'Données projet'!C18="",'Données projet'!C18=0%),0,Calculateur!GZ3)</f>
        <v>0</v>
      </c>
      <c r="D15" s="163">
        <f>IF(OR('Données projet'!B18="",'Données projet'!C18="",'Données projet'!C18=0%),0,Calculateur!HA3)</f>
        <v>0</v>
      </c>
      <c r="E15" s="163">
        <f t="shared" si="0"/>
        <v>0</v>
      </c>
      <c r="F15" s="164">
        <f t="shared" si="1"/>
        <v>0</v>
      </c>
      <c r="G15" s="164">
        <f>F15*(100%-'Données projet'!$C$24)*(100%-'Données projet'!$C$25)*(100%-'Données projet'!$C$26)*(100%-'Données projet'!$C$27)</f>
        <v>0</v>
      </c>
      <c r="H15" s="165">
        <f>IF(OR('Données projet'!B18="",'Données projet'!C18="",'Données projet'!C18=0%),0,AVERAGE(Calculateur!$HJ$3:$HJ$33)*B15)</f>
        <v>0</v>
      </c>
      <c r="I15" s="166">
        <f>H15*(100%-'Données projet'!$C$24)*(100%-'Données projet'!$C$25)*(100%-'Données projet'!$C$26)*(100%-'Données projet'!$C$27)</f>
        <v>0</v>
      </c>
      <c r="J15" s="167">
        <f>IF(OR('Données projet'!B18="",'Données projet'!C18="",'Données projet'!C18=0%),0,SUM(Calculateur!$HC$3:$HC$33)*VLOOKUP('Données projet'!$B$18,Paramètres!$A$1:$I$89,9,0)*B15)</f>
        <v>0</v>
      </c>
      <c r="K15" s="168">
        <f>J15*(100%-'Données projet'!$C$24)*(100%-'Données projet'!$C$25)*(100%-'Données projet'!$C$26)*(100%-'Données projet'!$C$27)</f>
        <v>0</v>
      </c>
      <c r="L15" s="169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2"/>
      <c r="B16" s="229"/>
      <c r="C16" s="230"/>
      <c r="D16" s="25"/>
      <c r="E16" s="25"/>
      <c r="F16" s="170">
        <f t="shared" ref="F16:L16" ca="1" si="3">SUM(F6:F15)</f>
        <v>2541.7531203712952</v>
      </c>
      <c r="G16" s="171">
        <f t="shared" ca="1" si="3"/>
        <v>2173.1989179174575</v>
      </c>
      <c r="H16" s="172">
        <f t="shared" si="3"/>
        <v>21.026010496573253</v>
      </c>
      <c r="I16" s="172">
        <f t="shared" si="3"/>
        <v>17.977238974570131</v>
      </c>
      <c r="J16" s="173">
        <f t="shared" si="3"/>
        <v>214.27003256628205</v>
      </c>
      <c r="K16" s="173">
        <f t="shared" si="3"/>
        <v>183.20087784417115</v>
      </c>
      <c r="L16" s="174">
        <f t="shared" ca="1" si="3"/>
        <v>2374.3770347361988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2"/>
      <c r="B17" s="229"/>
      <c r="C17" s="230"/>
      <c r="D17" s="227"/>
      <c r="E17" s="227"/>
      <c r="F17" s="316" t="s">
        <v>246</v>
      </c>
      <c r="G17" s="317"/>
      <c r="H17" s="317"/>
      <c r="I17" s="317"/>
      <c r="J17" s="317"/>
      <c r="K17" s="317"/>
      <c r="L17" s="317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2"/>
      <c r="B18" s="229"/>
      <c r="C18" s="230"/>
      <c r="D18" s="227"/>
      <c r="E18" s="227"/>
      <c r="F18" s="318"/>
      <c r="G18" s="318"/>
      <c r="H18" s="318"/>
      <c r="I18" s="318"/>
      <c r="J18" s="318"/>
      <c r="K18" s="318"/>
      <c r="L18" s="318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7"/>
      <c r="J19" s="227"/>
      <c r="K19" s="227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7"/>
      <c r="J20" s="227"/>
      <c r="K20" s="227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5" t="str">
        <f>A6</f>
        <v>Alisier torminal</v>
      </c>
      <c r="B21" s="5"/>
      <c r="C21" s="5"/>
      <c r="D21" s="5"/>
      <c r="E21" s="5"/>
      <c r="F21" s="5"/>
      <c r="G21" s="5"/>
      <c r="H21" s="5"/>
      <c r="I21" s="227"/>
      <c r="J21" s="227"/>
      <c r="K21" s="227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7"/>
      <c r="J22" s="227"/>
      <c r="K22" s="227"/>
      <c r="L22" s="227"/>
      <c r="M22" s="227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7"/>
      <c r="J23" s="227"/>
      <c r="K23" s="227"/>
      <c r="L23" s="227"/>
      <c r="M23" s="227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7"/>
      <c r="J24" s="227"/>
      <c r="K24" s="227"/>
      <c r="L24" s="227"/>
      <c r="M24" s="227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7"/>
      <c r="J25" s="227"/>
      <c r="K25" s="227"/>
      <c r="L25" s="227"/>
      <c r="M25" s="227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7"/>
      <c r="J26" s="227"/>
      <c r="K26" s="227"/>
      <c r="L26" s="227"/>
      <c r="M26" s="227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7"/>
      <c r="J27" s="227"/>
      <c r="K27" s="227"/>
      <c r="L27" s="227"/>
      <c r="M27" s="227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7"/>
      <c r="J28" s="227"/>
      <c r="K28" s="227"/>
      <c r="L28" s="227"/>
      <c r="M28" s="227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7"/>
      <c r="J29" s="227"/>
      <c r="K29" s="227"/>
      <c r="L29" s="227"/>
      <c r="M29" s="227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7"/>
      <c r="J30" s="227"/>
      <c r="K30" s="227"/>
      <c r="L30" s="227"/>
      <c r="M30" s="227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7"/>
      <c r="J31" s="227"/>
      <c r="K31" s="227"/>
      <c r="L31" s="227"/>
      <c r="M31" s="227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7"/>
      <c r="J32" s="227"/>
      <c r="K32" s="227"/>
      <c r="L32" s="227"/>
      <c r="M32" s="227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7"/>
      <c r="J33" s="227"/>
      <c r="K33" s="227"/>
      <c r="L33" s="227"/>
      <c r="M33" s="227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7"/>
      <c r="J34" s="227"/>
      <c r="K34" s="227"/>
      <c r="L34" s="227"/>
      <c r="M34" s="227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7"/>
      <c r="J35" s="227"/>
      <c r="K35" s="227"/>
      <c r="L35" s="227"/>
      <c r="M35" s="227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7"/>
      <c r="J36" s="227"/>
      <c r="K36" s="227"/>
      <c r="L36" s="227"/>
      <c r="M36" s="227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7"/>
      <c r="J37" s="227"/>
      <c r="K37" s="227"/>
      <c r="L37" s="227"/>
      <c r="M37" s="227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7"/>
      <c r="J38" s="227"/>
      <c r="K38" s="227"/>
      <c r="L38" s="227"/>
      <c r="M38" s="227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5" t="str">
        <f>A7</f>
        <v>Cèdre de l'Atlas</v>
      </c>
      <c r="B39" s="5"/>
      <c r="C39" s="5"/>
      <c r="D39" s="5"/>
      <c r="E39" s="5"/>
      <c r="F39" s="5"/>
      <c r="G39" s="5"/>
      <c r="H39" s="5"/>
      <c r="I39" s="227"/>
      <c r="J39" s="227"/>
      <c r="K39" s="227"/>
      <c r="L39" s="227"/>
      <c r="M39" s="227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7"/>
      <c r="J40" s="227"/>
      <c r="K40" s="227"/>
      <c r="L40" s="227"/>
      <c r="M40" s="227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7"/>
      <c r="J41" s="227"/>
      <c r="K41" s="227"/>
      <c r="L41" s="227"/>
      <c r="M41" s="227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7"/>
      <c r="J42" s="227"/>
      <c r="K42" s="227"/>
      <c r="L42" s="227"/>
      <c r="M42" s="227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7"/>
      <c r="J43" s="227"/>
      <c r="K43" s="227"/>
      <c r="L43" s="227"/>
      <c r="M43" s="227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7"/>
      <c r="J44" s="227"/>
      <c r="K44" s="227"/>
      <c r="L44" s="227"/>
      <c r="M44" s="227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7"/>
      <c r="J45" s="227"/>
      <c r="K45" s="227"/>
      <c r="L45" s="227"/>
      <c r="M45" s="227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7"/>
      <c r="J46" s="227"/>
      <c r="K46" s="227"/>
      <c r="L46" s="227"/>
      <c r="M46" s="227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7"/>
      <c r="J47" s="227"/>
      <c r="K47" s="227"/>
      <c r="L47" s="227"/>
      <c r="M47" s="227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7"/>
      <c r="J48" s="227"/>
      <c r="K48" s="227"/>
      <c r="L48" s="227"/>
      <c r="M48" s="227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7"/>
      <c r="J49" s="227"/>
      <c r="K49" s="227"/>
      <c r="L49" s="227"/>
      <c r="M49" s="227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7"/>
      <c r="J50" s="227"/>
      <c r="K50" s="227"/>
      <c r="L50" s="227"/>
      <c r="M50" s="227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7"/>
      <c r="J51" s="227"/>
      <c r="K51" s="227"/>
      <c r="L51" s="227"/>
      <c r="M51" s="227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7"/>
      <c r="J52" s="227"/>
      <c r="K52" s="227"/>
      <c r="L52" s="227"/>
      <c r="M52" s="227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7"/>
      <c r="J53" s="227"/>
      <c r="K53" s="227"/>
      <c r="L53" s="227"/>
      <c r="M53" s="227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7"/>
      <c r="J54" s="227"/>
      <c r="K54" s="227"/>
      <c r="L54" s="227"/>
      <c r="M54" s="227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7"/>
      <c r="J55" s="227"/>
      <c r="K55" s="227"/>
      <c r="L55" s="227"/>
      <c r="M55" s="227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7"/>
      <c r="J56" s="227"/>
      <c r="K56" s="227"/>
      <c r="L56" s="227"/>
      <c r="M56" s="227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5" t="str">
        <f>A8</f>
        <v>Charme</v>
      </c>
      <c r="B57" s="5"/>
      <c r="C57" s="5"/>
      <c r="D57" s="5"/>
      <c r="E57" s="5"/>
      <c r="F57" s="5"/>
      <c r="G57" s="5"/>
      <c r="H57" s="5"/>
      <c r="I57" s="227"/>
      <c r="J57" s="227"/>
      <c r="K57" s="227"/>
      <c r="L57" s="227"/>
      <c r="M57" s="227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7"/>
      <c r="J58" s="227"/>
      <c r="K58" s="227"/>
      <c r="L58" s="227"/>
      <c r="M58" s="227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7"/>
      <c r="J59" s="227"/>
      <c r="K59" s="227"/>
      <c r="L59" s="227"/>
      <c r="M59" s="227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7"/>
      <c r="J60" s="227"/>
      <c r="K60" s="227"/>
      <c r="L60" s="227"/>
      <c r="M60" s="227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7"/>
      <c r="J61" s="227"/>
      <c r="K61" s="227"/>
      <c r="L61" s="227"/>
      <c r="M61" s="227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7"/>
      <c r="J62" s="227"/>
      <c r="K62" s="227"/>
      <c r="L62" s="227"/>
      <c r="M62" s="227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7"/>
      <c r="J63" s="227"/>
      <c r="K63" s="227"/>
      <c r="L63" s="227"/>
      <c r="M63" s="227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7"/>
      <c r="J64" s="227"/>
      <c r="K64" s="227"/>
      <c r="L64" s="227"/>
      <c r="M64" s="227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7"/>
      <c r="J65" s="227"/>
      <c r="K65" s="227"/>
      <c r="L65" s="227"/>
      <c r="M65" s="227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7"/>
      <c r="J66" s="227"/>
      <c r="K66" s="227"/>
      <c r="L66" s="227"/>
      <c r="M66" s="227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7"/>
      <c r="J67" s="227"/>
      <c r="K67" s="227"/>
      <c r="L67" s="227"/>
      <c r="M67" s="227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7"/>
      <c r="J68" s="227"/>
      <c r="K68" s="227"/>
      <c r="L68" s="227"/>
      <c r="M68" s="227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7"/>
      <c r="J69" s="227"/>
      <c r="K69" s="227"/>
      <c r="L69" s="227"/>
      <c r="M69" s="227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7"/>
      <c r="J70" s="227"/>
      <c r="K70" s="227"/>
      <c r="L70" s="227"/>
      <c r="M70" s="227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7"/>
      <c r="J71" s="227"/>
      <c r="K71" s="227"/>
      <c r="L71" s="227"/>
      <c r="M71" s="227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7"/>
      <c r="J72" s="227"/>
      <c r="K72" s="227"/>
      <c r="L72" s="227"/>
      <c r="M72" s="227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7"/>
      <c r="J73" s="227"/>
      <c r="K73" s="227"/>
      <c r="L73" s="227"/>
      <c r="M73" s="227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7"/>
      <c r="J74" s="227"/>
      <c r="K74" s="227"/>
      <c r="L74" s="227"/>
      <c r="M74" s="227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7"/>
      <c r="J75" s="227"/>
      <c r="K75" s="227"/>
      <c r="L75" s="227"/>
      <c r="M75" s="227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5" t="str">
        <f>A9</f>
        <v>Chêne chevelu</v>
      </c>
      <c r="B76" s="5"/>
      <c r="C76" s="5"/>
      <c r="D76" s="5"/>
      <c r="E76" s="5"/>
      <c r="F76" s="5"/>
      <c r="G76" s="5"/>
      <c r="H76" s="5"/>
      <c r="I76" s="227"/>
      <c r="J76" s="227"/>
      <c r="K76" s="227"/>
      <c r="L76" s="227"/>
      <c r="M76" s="227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7"/>
      <c r="J77" s="227"/>
      <c r="K77" s="227"/>
      <c r="L77" s="227"/>
      <c r="M77" s="227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7"/>
      <c r="J78" s="227"/>
      <c r="K78" s="227"/>
      <c r="L78" s="227"/>
      <c r="M78" s="227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7"/>
      <c r="J79" s="227"/>
      <c r="K79" s="227"/>
      <c r="L79" s="227"/>
      <c r="M79" s="227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7"/>
      <c r="J80" s="227"/>
      <c r="K80" s="227"/>
      <c r="L80" s="227"/>
      <c r="M80" s="227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7"/>
      <c r="J81" s="227"/>
      <c r="K81" s="227"/>
      <c r="L81" s="227"/>
      <c r="M81" s="227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7"/>
      <c r="J82" s="227"/>
      <c r="K82" s="227"/>
      <c r="L82" s="227"/>
      <c r="M82" s="227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7"/>
      <c r="J83" s="227"/>
      <c r="K83" s="227"/>
      <c r="L83" s="227"/>
      <c r="M83" s="227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7"/>
      <c r="J84" s="227"/>
      <c r="K84" s="227"/>
      <c r="L84" s="227"/>
      <c r="M84" s="227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7"/>
      <c r="J85" s="227"/>
      <c r="K85" s="227"/>
      <c r="L85" s="227"/>
      <c r="M85" s="227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7"/>
      <c r="J86" s="227"/>
      <c r="K86" s="227"/>
      <c r="L86" s="227"/>
      <c r="M86" s="227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7"/>
      <c r="J87" s="227"/>
      <c r="K87" s="227"/>
      <c r="L87" s="227"/>
      <c r="M87" s="227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7"/>
      <c r="J88" s="227"/>
      <c r="K88" s="227"/>
      <c r="L88" s="227"/>
      <c r="M88" s="227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7"/>
      <c r="J89" s="227"/>
      <c r="K89" s="227"/>
      <c r="L89" s="227"/>
      <c r="M89" s="227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7"/>
      <c r="J90" s="227"/>
      <c r="K90" s="227"/>
      <c r="L90" s="227"/>
      <c r="M90" s="227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7"/>
      <c r="J91" s="227"/>
      <c r="K91" s="227"/>
      <c r="L91" s="227"/>
      <c r="M91" s="227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7"/>
      <c r="J92" s="227"/>
      <c r="K92" s="227"/>
      <c r="L92" s="227"/>
      <c r="M92" s="227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7"/>
      <c r="J93" s="227"/>
      <c r="K93" s="227"/>
      <c r="L93" s="227"/>
      <c r="M93" s="227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5" t="str">
        <f>A10</f>
        <v>Chêne sessile</v>
      </c>
      <c r="B94" s="5"/>
      <c r="C94" s="5"/>
      <c r="D94" s="5"/>
      <c r="E94" s="5"/>
      <c r="F94" s="5"/>
      <c r="G94" s="5"/>
      <c r="H94" s="5"/>
      <c r="I94" s="227"/>
      <c r="J94" s="227"/>
      <c r="K94" s="227"/>
      <c r="L94" s="227"/>
      <c r="M94" s="227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7"/>
      <c r="J95" s="227"/>
      <c r="K95" s="227"/>
      <c r="L95" s="227"/>
      <c r="M95" s="227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7"/>
      <c r="J96" s="227"/>
      <c r="K96" s="227"/>
      <c r="L96" s="227"/>
      <c r="M96" s="227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7"/>
      <c r="J97" s="227"/>
      <c r="K97" s="227"/>
      <c r="L97" s="227"/>
      <c r="M97" s="227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7"/>
      <c r="J98" s="227"/>
      <c r="K98" s="227"/>
      <c r="L98" s="227"/>
      <c r="M98" s="227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7"/>
      <c r="J99" s="227"/>
      <c r="K99" s="227"/>
      <c r="L99" s="227"/>
      <c r="M99" s="227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7"/>
      <c r="J100" s="227"/>
      <c r="K100" s="227"/>
      <c r="L100" s="227"/>
      <c r="M100" s="227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7"/>
      <c r="J101" s="227"/>
      <c r="K101" s="227"/>
      <c r="L101" s="227"/>
      <c r="M101" s="227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7"/>
      <c r="J102" s="227"/>
      <c r="K102" s="227"/>
      <c r="L102" s="227"/>
      <c r="M102" s="227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7"/>
      <c r="J103" s="227"/>
      <c r="K103" s="227"/>
      <c r="L103" s="227"/>
      <c r="M103" s="227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7"/>
      <c r="J104" s="227"/>
      <c r="K104" s="227"/>
      <c r="L104" s="227"/>
      <c r="M104" s="227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7"/>
      <c r="J105" s="227"/>
      <c r="K105" s="227"/>
      <c r="L105" s="227"/>
      <c r="M105" s="227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7"/>
      <c r="J106" s="227"/>
      <c r="K106" s="227"/>
      <c r="L106" s="227"/>
      <c r="M106" s="227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7"/>
      <c r="J107" s="227"/>
      <c r="K107" s="227"/>
      <c r="L107" s="227"/>
      <c r="M107" s="227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7"/>
      <c r="J108" s="227"/>
      <c r="K108" s="227"/>
      <c r="L108" s="227"/>
      <c r="M108" s="227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7"/>
      <c r="J109" s="227"/>
      <c r="K109" s="227"/>
      <c r="L109" s="227"/>
      <c r="M109" s="227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7"/>
      <c r="J110" s="227"/>
      <c r="K110" s="227"/>
      <c r="L110" s="227"/>
      <c r="M110" s="227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7"/>
      <c r="J111" s="227"/>
      <c r="K111" s="227"/>
      <c r="L111" s="227"/>
      <c r="M111" s="227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5" t="str">
        <f>A11</f>
        <v>Cormier</v>
      </c>
      <c r="B112" s="5"/>
      <c r="C112" s="5"/>
      <c r="D112" s="5"/>
      <c r="E112" s="5"/>
      <c r="F112" s="5"/>
      <c r="G112" s="5"/>
      <c r="H112" s="5"/>
      <c r="I112" s="227"/>
      <c r="J112" s="227"/>
      <c r="K112" s="227"/>
      <c r="L112" s="227"/>
      <c r="M112" s="227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7"/>
      <c r="J113" s="227"/>
      <c r="K113" s="227"/>
      <c r="L113" s="227"/>
      <c r="M113" s="227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7"/>
      <c r="J114" s="227"/>
      <c r="K114" s="227"/>
      <c r="L114" s="227"/>
      <c r="M114" s="227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7"/>
      <c r="J115" s="227"/>
      <c r="K115" s="227"/>
      <c r="L115" s="227"/>
      <c r="M115" s="227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7"/>
      <c r="J116" s="227"/>
      <c r="K116" s="227"/>
      <c r="L116" s="227"/>
      <c r="M116" s="227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7"/>
      <c r="J117" s="227"/>
      <c r="K117" s="227"/>
      <c r="L117" s="227"/>
      <c r="M117" s="227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7"/>
      <c r="J118" s="227"/>
      <c r="K118" s="227"/>
      <c r="L118" s="227"/>
      <c r="M118" s="227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7"/>
      <c r="J119" s="227"/>
      <c r="K119" s="227"/>
      <c r="L119" s="227"/>
      <c r="M119" s="227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7"/>
      <c r="J120" s="227"/>
      <c r="K120" s="227"/>
      <c r="L120" s="227"/>
      <c r="M120" s="227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7"/>
      <c r="J121" s="227"/>
      <c r="K121" s="227"/>
      <c r="L121" s="227"/>
      <c r="M121" s="227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7"/>
      <c r="J122" s="227"/>
      <c r="K122" s="227"/>
      <c r="L122" s="227"/>
      <c r="M122" s="227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7"/>
      <c r="J123" s="227"/>
      <c r="K123" s="227"/>
      <c r="L123" s="227"/>
      <c r="M123" s="227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7"/>
      <c r="J124" s="227"/>
      <c r="K124" s="227"/>
      <c r="L124" s="227"/>
      <c r="M124" s="227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7"/>
      <c r="J125" s="227"/>
      <c r="K125" s="227"/>
      <c r="L125" s="227"/>
      <c r="M125" s="227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7"/>
      <c r="J126" s="227"/>
      <c r="K126" s="227"/>
      <c r="L126" s="227"/>
      <c r="M126" s="227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7"/>
      <c r="J127" s="227"/>
      <c r="K127" s="227"/>
      <c r="L127" s="227"/>
      <c r="M127" s="227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7"/>
      <c r="J128" s="227"/>
      <c r="K128" s="227"/>
      <c r="L128" s="227"/>
      <c r="M128" s="227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7"/>
      <c r="J129" s="227"/>
      <c r="K129" s="227"/>
      <c r="L129" s="227"/>
      <c r="M129" s="227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5" t="str">
        <f>A12</f>
        <v>Erable plane</v>
      </c>
      <c r="B130" s="5"/>
      <c r="C130" s="5"/>
      <c r="D130" s="5"/>
      <c r="E130" s="5"/>
      <c r="F130" s="5"/>
      <c r="G130" s="5"/>
      <c r="H130" s="5"/>
      <c r="I130" s="227"/>
      <c r="J130" s="227"/>
      <c r="K130" s="227"/>
      <c r="L130" s="227"/>
      <c r="M130" s="227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7"/>
      <c r="J131" s="227"/>
      <c r="K131" s="227"/>
      <c r="L131" s="227"/>
      <c r="M131" s="227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7"/>
      <c r="J132" s="227"/>
      <c r="K132" s="227"/>
      <c r="L132" s="227"/>
      <c r="M132" s="227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7"/>
      <c r="J133" s="227"/>
      <c r="K133" s="227"/>
      <c r="L133" s="227"/>
      <c r="M133" s="227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7"/>
      <c r="J134" s="227"/>
      <c r="K134" s="227"/>
      <c r="L134" s="227"/>
      <c r="M134" s="227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7"/>
      <c r="J135" s="227"/>
      <c r="K135" s="227"/>
      <c r="L135" s="227"/>
      <c r="M135" s="227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7"/>
      <c r="J136" s="227"/>
      <c r="K136" s="227"/>
      <c r="L136" s="227"/>
      <c r="M136" s="227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7"/>
      <c r="J137" s="227"/>
      <c r="K137" s="227"/>
      <c r="L137" s="227"/>
      <c r="M137" s="227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7"/>
      <c r="J138" s="227"/>
      <c r="K138" s="227"/>
      <c r="L138" s="227"/>
      <c r="M138" s="227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7"/>
      <c r="J139" s="227"/>
      <c r="K139" s="227"/>
      <c r="L139" s="227"/>
      <c r="M139" s="227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7"/>
      <c r="J140" s="227"/>
      <c r="K140" s="227"/>
      <c r="L140" s="227"/>
      <c r="M140" s="227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7"/>
      <c r="J141" s="227"/>
      <c r="K141" s="227"/>
      <c r="L141" s="227"/>
      <c r="M141" s="227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7"/>
      <c r="J142" s="227"/>
      <c r="K142" s="227"/>
      <c r="L142" s="227"/>
      <c r="M142" s="227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7"/>
      <c r="J143" s="227"/>
      <c r="K143" s="227"/>
      <c r="L143" s="227"/>
      <c r="M143" s="227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7"/>
      <c r="J144" s="227"/>
      <c r="K144" s="227"/>
      <c r="L144" s="227"/>
      <c r="M144" s="227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7"/>
      <c r="J145" s="227"/>
      <c r="K145" s="227"/>
      <c r="L145" s="227"/>
      <c r="M145" s="227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7"/>
      <c r="J146" s="227"/>
      <c r="K146" s="227"/>
      <c r="L146" s="227"/>
      <c r="M146" s="227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7"/>
      <c r="J147" s="227"/>
      <c r="K147" s="227"/>
      <c r="L147" s="227"/>
      <c r="M147" s="227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5" t="str">
        <f>A13</f>
        <v>Merisier</v>
      </c>
      <c r="B148" s="5"/>
      <c r="C148" s="5"/>
      <c r="D148" s="5"/>
      <c r="E148" s="5"/>
      <c r="F148" s="5"/>
      <c r="G148" s="5"/>
      <c r="H148" s="5"/>
      <c r="I148" s="227"/>
      <c r="J148" s="227"/>
      <c r="K148" s="227"/>
      <c r="L148" s="227"/>
      <c r="M148" s="227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7"/>
      <c r="J149" s="227"/>
      <c r="K149" s="227"/>
      <c r="L149" s="227"/>
      <c r="M149" s="227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7"/>
      <c r="J150" s="227"/>
      <c r="K150" s="227"/>
      <c r="L150" s="227"/>
      <c r="M150" s="227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7"/>
      <c r="J151" s="227"/>
      <c r="K151" s="227"/>
      <c r="L151" s="227"/>
      <c r="M151" s="227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7"/>
      <c r="J152" s="227"/>
      <c r="K152" s="227"/>
      <c r="L152" s="227"/>
      <c r="M152" s="227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7"/>
      <c r="J153" s="227"/>
      <c r="K153" s="227"/>
      <c r="L153" s="227"/>
      <c r="M153" s="227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7"/>
      <c r="J154" s="227"/>
      <c r="K154" s="227"/>
      <c r="L154" s="227"/>
      <c r="M154" s="227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7"/>
      <c r="J155" s="227"/>
      <c r="K155" s="227"/>
      <c r="L155" s="227"/>
      <c r="M155" s="227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7"/>
      <c r="J156" s="227"/>
      <c r="K156" s="227"/>
      <c r="L156" s="227"/>
      <c r="M156" s="227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7"/>
      <c r="J157" s="227"/>
      <c r="K157" s="227"/>
      <c r="L157" s="227"/>
      <c r="M157" s="227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7"/>
      <c r="J158" s="227"/>
      <c r="K158" s="227"/>
      <c r="L158" s="227"/>
      <c r="M158" s="227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7"/>
      <c r="J159" s="227"/>
      <c r="K159" s="227"/>
      <c r="L159" s="227"/>
      <c r="M159" s="227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7"/>
      <c r="J160" s="227"/>
      <c r="K160" s="227"/>
      <c r="L160" s="227"/>
      <c r="M160" s="227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7"/>
      <c r="J161" s="227"/>
      <c r="K161" s="227"/>
      <c r="L161" s="227"/>
      <c r="M161" s="227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7"/>
      <c r="J162" s="227"/>
      <c r="K162" s="227"/>
      <c r="L162" s="227"/>
      <c r="M162" s="227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7"/>
      <c r="J163" s="227"/>
      <c r="K163" s="227"/>
      <c r="L163" s="227"/>
      <c r="M163" s="227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7"/>
      <c r="J164" s="227"/>
      <c r="K164" s="227"/>
      <c r="L164" s="227"/>
      <c r="M164" s="227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7"/>
      <c r="J165" s="227"/>
      <c r="K165" s="227"/>
      <c r="L165" s="227"/>
      <c r="M165" s="227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5" t="str">
        <f>A14</f>
        <v>Pin maritime</v>
      </c>
      <c r="B166" s="5"/>
      <c r="C166" s="5"/>
      <c r="D166" s="5"/>
      <c r="E166" s="5"/>
      <c r="F166" s="5"/>
      <c r="G166" s="5"/>
      <c r="H166" s="5"/>
      <c r="I166" s="227"/>
      <c r="J166" s="227"/>
      <c r="K166" s="227"/>
      <c r="L166" s="227"/>
      <c r="M166" s="227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7"/>
      <c r="J167" s="227"/>
      <c r="K167" s="227"/>
      <c r="L167" s="227"/>
      <c r="M167" s="227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7"/>
      <c r="J168" s="227"/>
      <c r="K168" s="227"/>
      <c r="L168" s="227"/>
      <c r="M168" s="227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7"/>
      <c r="J169" s="227"/>
      <c r="K169" s="227"/>
      <c r="L169" s="227"/>
      <c r="M169" s="227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7"/>
      <c r="J170" s="227"/>
      <c r="K170" s="227"/>
      <c r="L170" s="227"/>
      <c r="M170" s="227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7"/>
      <c r="J171" s="227"/>
      <c r="K171" s="227"/>
      <c r="L171" s="227"/>
      <c r="M171" s="227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7"/>
      <c r="J172" s="227"/>
      <c r="K172" s="227"/>
      <c r="L172" s="227"/>
      <c r="M172" s="227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7"/>
      <c r="J173" s="227"/>
      <c r="K173" s="227"/>
      <c r="L173" s="227"/>
      <c r="M173" s="227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7"/>
      <c r="J174" s="227"/>
      <c r="K174" s="227"/>
      <c r="L174" s="227"/>
      <c r="M174" s="227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7"/>
      <c r="J175" s="227"/>
      <c r="K175" s="227"/>
      <c r="L175" s="227"/>
      <c r="M175" s="227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7"/>
      <c r="J176" s="227"/>
      <c r="K176" s="227"/>
      <c r="L176" s="227"/>
      <c r="M176" s="227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7"/>
      <c r="J177" s="227"/>
      <c r="K177" s="227"/>
      <c r="L177" s="227"/>
      <c r="M177" s="227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7"/>
      <c r="J178" s="227"/>
      <c r="K178" s="227"/>
      <c r="L178" s="227"/>
      <c r="M178" s="227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7"/>
      <c r="J179" s="227"/>
      <c r="K179" s="227"/>
      <c r="L179" s="227"/>
      <c r="M179" s="227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7"/>
      <c r="J180" s="227"/>
      <c r="K180" s="227"/>
      <c r="L180" s="227"/>
      <c r="M180" s="227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7"/>
      <c r="J181" s="227"/>
      <c r="K181" s="227"/>
      <c r="L181" s="227"/>
      <c r="M181" s="227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7"/>
      <c r="J182" s="227"/>
      <c r="K182" s="227"/>
      <c r="L182" s="227"/>
      <c r="M182" s="227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7"/>
      <c r="J183" s="227"/>
      <c r="K183" s="227"/>
      <c r="L183" s="227"/>
      <c r="M183" s="227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5" t="str">
        <f>A15</f>
        <v/>
      </c>
      <c r="B184" s="5"/>
      <c r="C184" s="5"/>
      <c r="D184" s="5"/>
      <c r="E184" s="5"/>
      <c r="F184" s="5"/>
      <c r="G184" s="5"/>
      <c r="H184" s="5"/>
      <c r="I184" s="227"/>
      <c r="J184" s="227"/>
      <c r="K184" s="227"/>
      <c r="L184" s="227"/>
      <c r="M184" s="227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7"/>
      <c r="J185" s="227"/>
      <c r="K185" s="227"/>
      <c r="L185" s="227"/>
      <c r="M185" s="227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7"/>
      <c r="J186" s="227"/>
      <c r="K186" s="227"/>
      <c r="L186" s="227"/>
      <c r="M186" s="227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7"/>
      <c r="J187" s="227"/>
      <c r="K187" s="227"/>
      <c r="L187" s="227"/>
      <c r="M187" s="227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7"/>
      <c r="J188" s="227"/>
      <c r="K188" s="227"/>
      <c r="L188" s="227"/>
      <c r="M188" s="227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7"/>
      <c r="J189" s="227"/>
      <c r="K189" s="227"/>
      <c r="L189" s="227"/>
      <c r="M189" s="227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7"/>
      <c r="J190" s="227"/>
      <c r="K190" s="227"/>
      <c r="L190" s="227"/>
      <c r="M190" s="227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7"/>
      <c r="J191" s="227"/>
      <c r="K191" s="227"/>
      <c r="L191" s="227"/>
      <c r="M191" s="227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7"/>
      <c r="J192" s="227"/>
      <c r="K192" s="227"/>
      <c r="L192" s="227"/>
      <c r="M192" s="227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7"/>
      <c r="J193" s="227"/>
      <c r="K193" s="227"/>
      <c r="L193" s="227"/>
      <c r="M193" s="227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7"/>
      <c r="J194" s="227"/>
      <c r="K194" s="227"/>
      <c r="L194" s="227"/>
      <c r="M194" s="227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7"/>
      <c r="J195" s="227"/>
      <c r="K195" s="227"/>
      <c r="L195" s="227"/>
      <c r="M195" s="227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7"/>
      <c r="J196" s="227"/>
      <c r="K196" s="227"/>
      <c r="L196" s="227"/>
      <c r="M196" s="227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7"/>
      <c r="J197" s="227"/>
      <c r="K197" s="227"/>
      <c r="L197" s="227"/>
      <c r="M197" s="227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7"/>
      <c r="J198" s="227"/>
      <c r="K198" s="227"/>
      <c r="L198" s="227"/>
      <c r="M198" s="227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7"/>
      <c r="J199" s="227"/>
      <c r="K199" s="227"/>
      <c r="L199" s="227"/>
      <c r="M199" s="227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7"/>
      <c r="J200" s="227"/>
      <c r="K200" s="227"/>
      <c r="L200" s="227"/>
      <c r="M200" s="227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7"/>
      <c r="J201" s="227"/>
      <c r="K201" s="227"/>
      <c r="L201" s="227"/>
      <c r="M201" s="227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7"/>
      <c r="J202" s="227"/>
      <c r="K202" s="227"/>
      <c r="L202" s="227"/>
      <c r="M202" s="227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7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0" zoomScale="80" zoomScaleNormal="80" workbookViewId="0">
      <selection activeCell="S5" sqref="S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13" t="s">
        <v>272</v>
      </c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 x14ac:dyDescent="0.3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 x14ac:dyDescent="0.3">
      <c r="A4" s="95"/>
      <c r="B4" s="95"/>
      <c r="C4" s="95"/>
      <c r="D4" s="95"/>
      <c r="E4" s="95"/>
      <c r="G4" s="176"/>
      <c r="H4" s="322" t="s">
        <v>315</v>
      </c>
      <c r="I4" s="322"/>
      <c r="K4" s="319" t="s">
        <v>253</v>
      </c>
      <c r="L4" s="320"/>
      <c r="M4" s="264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 x14ac:dyDescent="0.3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5" thickBot="1" x14ac:dyDescent="0.35">
      <c r="A6" s="95"/>
      <c r="B6" s="95"/>
      <c r="C6" s="95"/>
      <c r="D6" s="95"/>
      <c r="E6" s="95"/>
      <c r="F6" s="225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 x14ac:dyDescent="0.55000000000000004">
      <c r="A7" s="271"/>
      <c r="B7" s="272"/>
      <c r="C7" s="272"/>
      <c r="D7" s="272"/>
      <c r="E7" s="273"/>
      <c r="F7" s="273" t="s">
        <v>192</v>
      </c>
      <c r="G7" s="274"/>
      <c r="H7" s="272"/>
      <c r="I7" s="272"/>
      <c r="J7" s="275"/>
      <c r="K7" s="269"/>
      <c r="L7" s="270"/>
      <c r="M7" s="270"/>
      <c r="N7" s="276" t="s">
        <v>191</v>
      </c>
      <c r="O7" s="276"/>
      <c r="P7" s="277"/>
      <c r="Q7" s="278"/>
      <c r="R7" s="330" t="s">
        <v>310</v>
      </c>
      <c r="S7" s="331"/>
      <c r="T7" s="331"/>
      <c r="U7" s="331"/>
      <c r="V7" s="332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x14ac:dyDescent="0.3">
      <c r="A8" s="25"/>
      <c r="C8" s="25"/>
      <c r="D8" s="25"/>
      <c r="E8" s="25"/>
      <c r="F8" s="217"/>
      <c r="G8" s="217"/>
      <c r="H8" s="5"/>
      <c r="I8" s="5"/>
      <c r="J8" s="210"/>
      <c r="K8" s="221"/>
      <c r="L8" s="25"/>
      <c r="M8" s="25"/>
      <c r="N8" s="25"/>
      <c r="O8" s="25"/>
      <c r="P8" s="25"/>
      <c r="Q8" s="261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6" t="s">
        <v>311</v>
      </c>
      <c r="C9" s="25"/>
      <c r="D9" s="25"/>
      <c r="E9" s="25"/>
      <c r="F9" s="257"/>
      <c r="G9" s="256" t="s">
        <v>314</v>
      </c>
      <c r="J9" s="210"/>
      <c r="K9" s="221"/>
      <c r="O9" s="25"/>
      <c r="P9" s="25"/>
      <c r="Q9" s="261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6" t="s">
        <v>317</v>
      </c>
      <c r="C10" s="25"/>
      <c r="D10" s="25"/>
      <c r="E10" s="25"/>
      <c r="F10" s="257"/>
      <c r="G10" s="256" t="s">
        <v>316</v>
      </c>
      <c r="J10" s="210"/>
      <c r="K10" s="221"/>
      <c r="O10" s="25"/>
      <c r="P10" s="25"/>
      <c r="Q10" s="261"/>
      <c r="R10" s="25"/>
      <c r="S10" s="181" t="str">
        <f>B14</f>
        <v>Alisier torminal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705.5478114794895</v>
      </c>
      <c r="U10" s="186">
        <f>'Données projet'!D9</f>
        <v>8.9200000000000002E-2</v>
      </c>
      <c r="V10" s="185">
        <f>U10*T10</f>
        <v>62.934864783970461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6" t="s">
        <v>312</v>
      </c>
      <c r="B11" s="25"/>
      <c r="C11" s="25"/>
      <c r="D11" s="25"/>
      <c r="E11" s="25"/>
      <c r="F11" s="257"/>
      <c r="G11" s="256" t="s">
        <v>313</v>
      </c>
      <c r="J11" s="210"/>
      <c r="K11" s="221"/>
      <c r="M11" s="5"/>
      <c r="N11" s="5"/>
      <c r="O11" s="25"/>
      <c r="P11" s="25"/>
      <c r="Q11" s="261"/>
      <c r="R11" s="25"/>
      <c r="S11" s="181" t="str">
        <f>B45</f>
        <v>Cèdre de l'Atlas</v>
      </c>
      <c r="T11" s="26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800.24193610640418</v>
      </c>
      <c r="U11" s="186">
        <f>'Données projet'!D10</f>
        <v>1.6501999999999999</v>
      </c>
      <c r="V11" s="185">
        <f t="shared" ref="V11" si="0">U11*T11</f>
        <v>1320.5592429627882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7"/>
      <c r="G12" s="1"/>
      <c r="J12" s="210"/>
      <c r="K12" s="221"/>
      <c r="L12" s="213"/>
      <c r="M12" s="25"/>
      <c r="N12" s="25"/>
      <c r="O12" s="25"/>
      <c r="P12" s="25"/>
      <c r="Q12" s="261"/>
      <c r="R12" s="25"/>
      <c r="S12" s="181" t="str">
        <f>B76</f>
        <v>Charme</v>
      </c>
      <c r="T12" s="26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414.13428926873081</v>
      </c>
      <c r="U12" s="186">
        <f>'Données projet'!D11</f>
        <v>0.65784999999999993</v>
      </c>
      <c r="V12" s="185">
        <f t="shared" ref="V12:V19" si="1">U12*T12</f>
        <v>272.43824219543455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7"/>
      <c r="J13" s="25"/>
      <c r="K13" s="221"/>
      <c r="L13" s="180" t="s">
        <v>257</v>
      </c>
      <c r="M13" s="25"/>
      <c r="N13" s="25"/>
      <c r="O13" s="25"/>
      <c r="P13" s="25"/>
      <c r="Q13" s="261"/>
      <c r="R13" s="25"/>
      <c r="S13" s="181" t="str">
        <f>B107</f>
        <v>Chêne chevelu</v>
      </c>
      <c r="T13" s="26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661.04343783385639</v>
      </c>
      <c r="U13" s="186">
        <f>'Données projet'!D12</f>
        <v>0.12265</v>
      </c>
      <c r="V13" s="185">
        <f t="shared" si="1"/>
        <v>81.076977650322476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2" t="str">
        <f>IF('Données projet'!$B$9="","",'Données projet'!$B$9)</f>
        <v>Alisier torminal</v>
      </c>
      <c r="C14" s="5"/>
      <c r="D14" s="5"/>
      <c r="E14" s="5"/>
      <c r="F14" s="257"/>
      <c r="G14" s="217"/>
      <c r="H14" s="181" t="s">
        <v>178</v>
      </c>
      <c r="I14" s="181" t="s">
        <v>290</v>
      </c>
      <c r="J14" s="211"/>
      <c r="K14" s="179"/>
      <c r="L14" s="213"/>
      <c r="M14" s="25"/>
      <c r="N14" s="25"/>
      <c r="O14" s="5"/>
      <c r="P14" s="5"/>
      <c r="Q14" s="262"/>
      <c r="R14" s="5"/>
      <c r="S14" s="181" t="str">
        <f>B138</f>
        <v>Chêne sessile</v>
      </c>
      <c r="T14" s="26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705.5478114794895</v>
      </c>
      <c r="U14" s="186">
        <f>'Données projet'!D13</f>
        <v>4.8837000000000002</v>
      </c>
      <c r="V14" s="185">
        <f t="shared" si="1"/>
        <v>3445.6838469223831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7"/>
      <c r="G15" s="323" t="s">
        <v>318</v>
      </c>
      <c r="H15" s="199">
        <v>0</v>
      </c>
      <c r="I15" s="200">
        <v>0</v>
      </c>
      <c r="J15" s="212"/>
      <c r="K15" s="221"/>
      <c r="L15" s="213"/>
      <c r="M15" s="25"/>
      <c r="N15" s="25"/>
      <c r="O15" s="25"/>
      <c r="P15" s="25"/>
      <c r="Q15" s="261"/>
      <c r="R15" s="25"/>
      <c r="S15" s="181" t="str">
        <f>B169</f>
        <v>Cormier</v>
      </c>
      <c r="T15" s="26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705.5478114794895</v>
      </c>
      <c r="U15" s="186">
        <f>'Données projet'!D14</f>
        <v>0.18955000000000002</v>
      </c>
      <c r="V15" s="185">
        <f t="shared" si="1"/>
        <v>133.73658766593726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3" t="s">
        <v>180</v>
      </c>
      <c r="B16" s="51" t="s">
        <v>256</v>
      </c>
      <c r="C16" s="51" t="s">
        <v>255</v>
      </c>
      <c r="D16" s="253" t="s">
        <v>252</v>
      </c>
      <c r="E16" s="253" t="s">
        <v>320</v>
      </c>
      <c r="F16" s="257"/>
      <c r="G16" s="323"/>
      <c r="H16" s="199"/>
      <c r="I16" s="200"/>
      <c r="J16" s="212"/>
      <c r="K16" s="221"/>
      <c r="L16" s="319" t="s">
        <v>254</v>
      </c>
      <c r="M16" s="320"/>
      <c r="N16" s="2"/>
      <c r="O16" s="25"/>
      <c r="P16" s="25"/>
      <c r="Q16" s="261"/>
      <c r="R16" s="25"/>
      <c r="S16" s="181" t="str">
        <f>B200</f>
        <v>Erable plane</v>
      </c>
      <c r="T16" s="26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377.94748900172476</v>
      </c>
      <c r="U16" s="186">
        <f>'Données projet'!D15</f>
        <v>0.34565000000000001</v>
      </c>
      <c r="V16" s="185">
        <f t="shared" si="1"/>
        <v>130.63754957344617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6">
        <v>0</v>
      </c>
      <c r="B17" s="209" t="s">
        <v>132</v>
      </c>
      <c r="C17" s="208" t="s">
        <v>132</v>
      </c>
      <c r="D17" s="207" t="s">
        <v>132</v>
      </c>
      <c r="E17" s="202"/>
      <c r="F17" s="257"/>
      <c r="G17" s="323"/>
      <c r="J17" s="212"/>
      <c r="K17" s="221"/>
      <c r="L17" s="290" t="s">
        <v>289</v>
      </c>
      <c r="M17" s="292"/>
      <c r="N17" s="183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1"/>
      <c r="R17" s="25"/>
      <c r="S17" s="181" t="str">
        <f>B231</f>
        <v>Merisier</v>
      </c>
      <c r="T17" s="26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2660.6029057875253</v>
      </c>
      <c r="U17" s="186">
        <f>'Données projet'!D16</f>
        <v>0.21185000000000001</v>
      </c>
      <c r="V17" s="185">
        <f t="shared" si="1"/>
        <v>563.64872559108721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6">
        <v>1</v>
      </c>
      <c r="B18" s="209" t="s">
        <v>132</v>
      </c>
      <c r="C18" s="208" t="s">
        <v>132</v>
      </c>
      <c r="D18" s="207" t="s">
        <v>132</v>
      </c>
      <c r="E18" s="202"/>
      <c r="F18" s="257"/>
      <c r="G18" s="323"/>
      <c r="J18" s="212"/>
      <c r="K18" s="221"/>
      <c r="L18" s="290" t="s">
        <v>255</v>
      </c>
      <c r="M18" s="292"/>
      <c r="N18" s="201"/>
      <c r="O18" s="25"/>
      <c r="P18" s="25"/>
      <c r="Q18" s="261"/>
      <c r="R18" s="25"/>
      <c r="S18" s="181" t="str">
        <f>B262</f>
        <v>Pin maritime</v>
      </c>
      <c r="T18" s="26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2996.3021477436941</v>
      </c>
      <c r="U18" s="186">
        <f>'Données projet'!D17</f>
        <v>2.4753000000000003</v>
      </c>
      <c r="V18" s="185">
        <f t="shared" si="1"/>
        <v>7416.7467063099666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6">
        <v>2</v>
      </c>
      <c r="B19" s="209" t="s">
        <v>132</v>
      </c>
      <c r="C19" s="208" t="s">
        <v>132</v>
      </c>
      <c r="D19" s="207" t="s">
        <v>132</v>
      </c>
      <c r="E19" s="202"/>
      <c r="F19" s="257"/>
      <c r="G19" s="323"/>
      <c r="H19" s="228" t="s">
        <v>178</v>
      </c>
      <c r="I19" s="228" t="s">
        <v>287</v>
      </c>
      <c r="J19" s="256"/>
      <c r="K19" s="179"/>
      <c r="L19" s="319" t="s">
        <v>288</v>
      </c>
      <c r="M19" s="320"/>
      <c r="N19" s="187">
        <f>N17*N18</f>
        <v>0</v>
      </c>
      <c r="O19" s="25"/>
      <c r="P19" s="5"/>
      <c r="Q19" s="262"/>
      <c r="R19" s="5"/>
      <c r="S19" s="181" t="str">
        <f>B293</f>
        <v/>
      </c>
      <c r="T19" s="26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6">
        <v>3</v>
      </c>
      <c r="B20" s="209" t="s">
        <v>132</v>
      </c>
      <c r="C20" s="208" t="s">
        <v>132</v>
      </c>
      <c r="D20" s="207" t="s">
        <v>132</v>
      </c>
      <c r="E20" s="202"/>
      <c r="F20" s="257"/>
      <c r="G20" s="323"/>
      <c r="H20" s="199">
        <v>0</v>
      </c>
      <c r="I20" s="200">
        <v>7000</v>
      </c>
      <c r="J20" s="5"/>
      <c r="K20" s="179"/>
      <c r="O20" s="25"/>
      <c r="P20" s="5"/>
      <c r="Q20" s="262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6">
        <v>4</v>
      </c>
      <c r="B21" s="209" t="s">
        <v>132</v>
      </c>
      <c r="C21" s="208" t="s">
        <v>132</v>
      </c>
      <c r="D21" s="207" t="s">
        <v>132</v>
      </c>
      <c r="E21" s="202"/>
      <c r="F21" s="257"/>
      <c r="H21" s="199"/>
      <c r="I21" s="200"/>
      <c r="K21" s="179"/>
      <c r="O21" s="25"/>
      <c r="P21" s="5"/>
      <c r="Q21" s="262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6">
        <v>5</v>
      </c>
      <c r="B22" s="209" t="s">
        <v>132</v>
      </c>
      <c r="C22" s="208" t="s">
        <v>132</v>
      </c>
      <c r="D22" s="207" t="s">
        <v>132</v>
      </c>
      <c r="E22" s="202"/>
      <c r="F22" s="257"/>
      <c r="H22" s="199"/>
      <c r="I22" s="200"/>
      <c r="K22" s="179"/>
      <c r="O22" s="25"/>
      <c r="P22" s="5"/>
      <c r="Q22" s="262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88">
        <f>'Données projet'!A36</f>
        <v>20</v>
      </c>
      <c r="B23" s="189">
        <f>'Données projet'!D36</f>
        <v>0</v>
      </c>
      <c r="C23" s="202"/>
      <c r="D23" s="190">
        <f>B23*C23</f>
        <v>0</v>
      </c>
      <c r="E23" s="202"/>
      <c r="F23" s="257"/>
      <c r="H23" s="199"/>
      <c r="I23" s="200"/>
      <c r="K23" s="221"/>
      <c r="L23" s="321" t="s">
        <v>260</v>
      </c>
      <c r="M23" s="321"/>
      <c r="N23" s="321"/>
      <c r="O23" s="25"/>
      <c r="P23" s="25"/>
      <c r="Q23" s="261"/>
      <c r="R23" s="25"/>
      <c r="S23" s="181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-64622.537256344665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88">
        <f>'Données projet'!A37</f>
        <v>25</v>
      </c>
      <c r="B24" s="189">
        <f>'Données projet'!D37</f>
        <v>0</v>
      </c>
      <c r="C24" s="202"/>
      <c r="D24" s="190">
        <f t="shared" ref="D24:D42" si="2">B24*C24</f>
        <v>0</v>
      </c>
      <c r="E24" s="202"/>
      <c r="F24" s="260"/>
      <c r="H24" s="199"/>
      <c r="I24" s="200"/>
      <c r="K24" s="221"/>
      <c r="O24" s="25"/>
      <c r="P24" s="25"/>
      <c r="Q24" s="261"/>
      <c r="R24" s="25"/>
      <c r="S24" s="181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107855.99008501373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88">
        <f>'Données projet'!A38</f>
        <v>30</v>
      </c>
      <c r="B25" s="189">
        <f>'Données projet'!D38</f>
        <v>29</v>
      </c>
      <c r="C25" s="202">
        <v>10</v>
      </c>
      <c r="D25" s="190">
        <f t="shared" si="2"/>
        <v>290</v>
      </c>
      <c r="E25" s="202"/>
      <c r="F25" s="260"/>
      <c r="G25" s="1"/>
      <c r="H25" s="199"/>
      <c r="I25" s="200"/>
      <c r="K25" s="221"/>
      <c r="L25" s="267" t="s">
        <v>285</v>
      </c>
      <c r="M25" s="267"/>
      <c r="N25" s="267"/>
      <c r="O25" s="267"/>
      <c r="P25" s="201">
        <v>483.21499999999997</v>
      </c>
      <c r="Q25" s="261"/>
      <c r="R25" s="25"/>
      <c r="S25" s="194" t="s">
        <v>266</v>
      </c>
      <c r="T25" s="337">
        <f ca="1">T23-T24</f>
        <v>-172478.52734135839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88">
        <f>'Données projet'!A39</f>
        <v>35</v>
      </c>
      <c r="B26" s="189">
        <f>'Données projet'!D39</f>
        <v>0</v>
      </c>
      <c r="C26" s="202"/>
      <c r="D26" s="190">
        <f t="shared" si="2"/>
        <v>0</v>
      </c>
      <c r="E26" s="202"/>
      <c r="F26" s="260"/>
      <c r="G26" s="255"/>
      <c r="H26" s="199"/>
      <c r="I26" s="200"/>
      <c r="K26" s="221"/>
      <c r="L26" s="324" t="s">
        <v>258</v>
      </c>
      <c r="M26" s="325"/>
      <c r="N26" s="325"/>
      <c r="O26" s="325"/>
      <c r="P26" s="326"/>
      <c r="Q26" s="261"/>
      <c r="R26" s="25"/>
      <c r="S26" s="194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88">
        <f>'Données projet'!A40</f>
        <v>40</v>
      </c>
      <c r="B27" s="189">
        <f>'Données projet'!D40</f>
        <v>42</v>
      </c>
      <c r="C27" s="202">
        <v>10</v>
      </c>
      <c r="D27" s="190">
        <f t="shared" si="2"/>
        <v>420</v>
      </c>
      <c r="E27" s="202"/>
      <c r="F27" s="260"/>
      <c r="G27" s="255"/>
      <c r="H27" s="199"/>
      <c r="I27" s="200"/>
      <c r="K27" s="221"/>
      <c r="L27" s="327"/>
      <c r="M27" s="328"/>
      <c r="N27" s="328"/>
      <c r="O27" s="328"/>
      <c r="P27" s="329"/>
      <c r="Q27" s="261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88">
        <f>'Données projet'!A41</f>
        <v>45</v>
      </c>
      <c r="B28" s="189">
        <f>'Données projet'!D41</f>
        <v>0</v>
      </c>
      <c r="C28" s="202"/>
      <c r="D28" s="190">
        <f t="shared" si="2"/>
        <v>0</v>
      </c>
      <c r="E28" s="202"/>
      <c r="F28" s="260"/>
      <c r="G28" s="218"/>
      <c r="H28" s="199"/>
      <c r="I28" s="200"/>
      <c r="K28" s="221"/>
      <c r="Q28" s="261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88">
        <f>'Données projet'!A42</f>
        <v>50</v>
      </c>
      <c r="B29" s="189">
        <f>'Données projet'!D42</f>
        <v>42</v>
      </c>
      <c r="C29" s="202">
        <v>15</v>
      </c>
      <c r="D29" s="190">
        <f t="shared" si="2"/>
        <v>630</v>
      </c>
      <c r="E29" s="202"/>
      <c r="F29" s="260"/>
      <c r="G29" s="214"/>
      <c r="H29" s="199"/>
      <c r="I29" s="200"/>
      <c r="K29" s="221"/>
      <c r="O29" s="25"/>
      <c r="P29" s="25"/>
      <c r="Q29" s="261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88">
        <f>'Données projet'!A43</f>
        <v>55</v>
      </c>
      <c r="B30" s="189">
        <f>'Données projet'!D43</f>
        <v>0</v>
      </c>
      <c r="C30" s="202"/>
      <c r="D30" s="190">
        <f t="shared" si="2"/>
        <v>0</v>
      </c>
      <c r="E30" s="202"/>
      <c r="F30" s="260"/>
      <c r="G30" s="214"/>
      <c r="H30" s="199"/>
      <c r="I30" s="200"/>
      <c r="K30" s="191"/>
      <c r="L30" s="181" t="s">
        <v>259</v>
      </c>
      <c r="M30" s="192">
        <f ca="1">SUM(OFFSET($P$33,0,0,MIN('Données projet'!$E$9:$E$18)+1,1))</f>
        <v>9673.1829672658059</v>
      </c>
      <c r="O30" s="5"/>
      <c r="P30" s="5"/>
      <c r="Q30" s="262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88">
        <f>'Données projet'!A44</f>
        <v>60</v>
      </c>
      <c r="B31" s="189">
        <f>'Données projet'!D44</f>
        <v>42</v>
      </c>
      <c r="C31" s="202">
        <v>20</v>
      </c>
      <c r="D31" s="190">
        <f t="shared" si="2"/>
        <v>840</v>
      </c>
      <c r="E31" s="202"/>
      <c r="F31" s="260"/>
      <c r="G31" s="214"/>
      <c r="H31" s="199"/>
      <c r="I31" s="200"/>
      <c r="K31" s="179"/>
      <c r="Q31" s="261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88">
        <f>'Données projet'!A45</f>
        <v>65</v>
      </c>
      <c r="B32" s="189">
        <f>'Données projet'!D45</f>
        <v>0</v>
      </c>
      <c r="C32" s="202"/>
      <c r="D32" s="190">
        <f t="shared" si="2"/>
        <v>0</v>
      </c>
      <c r="E32" s="202"/>
      <c r="F32" s="260"/>
      <c r="G32" s="214"/>
      <c r="H32" s="199"/>
      <c r="I32" s="200"/>
      <c r="K32" s="179"/>
      <c r="N32" s="5"/>
      <c r="O32" s="266" t="s">
        <v>178</v>
      </c>
      <c r="P32" s="266" t="s">
        <v>252</v>
      </c>
      <c r="Q32" s="261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88">
        <f>'Données projet'!A46</f>
        <v>70</v>
      </c>
      <c r="B33" s="189">
        <f>'Données projet'!D46</f>
        <v>42</v>
      </c>
      <c r="C33" s="202">
        <v>40</v>
      </c>
      <c r="D33" s="190">
        <f t="shared" si="2"/>
        <v>1680</v>
      </c>
      <c r="E33" s="202"/>
      <c r="F33" s="260"/>
      <c r="G33" s="214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3">$P$25/(1+$M$4)^O33</f>
        <v>483.21499999999997</v>
      </c>
      <c r="Q33" s="261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88">
        <f>'Données projet'!A47</f>
        <v>75</v>
      </c>
      <c r="B34" s="189">
        <f>'Données projet'!D47</f>
        <v>0</v>
      </c>
      <c r="C34" s="202"/>
      <c r="D34" s="190">
        <f t="shared" si="2"/>
        <v>0</v>
      </c>
      <c r="E34" s="202"/>
      <c r="F34" s="260"/>
      <c r="G34" s="214"/>
      <c r="H34" s="199"/>
      <c r="I34" s="200"/>
      <c r="K34" s="179"/>
      <c r="L34" s="280"/>
      <c r="M34" s="280"/>
      <c r="N34" s="281"/>
      <c r="O34" s="203">
        <f>IF(O33+1&lt;=MIN('Données projet'!$E$9:$E$18),O33+1,"STOP")</f>
        <v>1</v>
      </c>
      <c r="P34" s="193">
        <f t="shared" si="3"/>
        <v>462.40669856459328</v>
      </c>
      <c r="Q34" s="261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88">
        <f>'Données projet'!A48</f>
        <v>80</v>
      </c>
      <c r="B35" s="189">
        <f>'Données projet'!D48</f>
        <v>42</v>
      </c>
      <c r="C35" s="202">
        <v>60</v>
      </c>
      <c r="D35" s="190">
        <f t="shared" si="2"/>
        <v>2520</v>
      </c>
      <c r="E35" s="202"/>
      <c r="F35" s="260"/>
      <c r="G35" s="214"/>
      <c r="H35" s="199"/>
      <c r="I35" s="200"/>
      <c r="K35" s="179"/>
      <c r="L35" s="280"/>
      <c r="M35" s="280"/>
      <c r="N35" s="281"/>
      <c r="O35" s="203">
        <f>IF(O34+1&lt;=MIN('Données projet'!$E$9:$E$18),O34+1,"STOP")</f>
        <v>2</v>
      </c>
      <c r="P35" s="193">
        <f t="shared" si="3"/>
        <v>442.49444838717068</v>
      </c>
      <c r="Q35" s="261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88">
        <f>'Données projet'!A49</f>
        <v>90</v>
      </c>
      <c r="B36" s="189">
        <f>'Données projet'!D49</f>
        <v>42</v>
      </c>
      <c r="C36" s="202">
        <v>80</v>
      </c>
      <c r="D36" s="190">
        <f t="shared" si="2"/>
        <v>3360</v>
      </c>
      <c r="E36" s="202"/>
      <c r="F36" s="260"/>
      <c r="G36" s="214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3"/>
        <v>423.439663528393</v>
      </c>
      <c r="Q36" s="261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88">
        <f>'Données projet'!A50</f>
        <v>100</v>
      </c>
      <c r="B37" s="189">
        <f>'Données projet'!D50</f>
        <v>42</v>
      </c>
      <c r="C37" s="202">
        <v>100</v>
      </c>
      <c r="D37" s="190">
        <f t="shared" si="2"/>
        <v>4200</v>
      </c>
      <c r="E37" s="202"/>
      <c r="F37" s="260"/>
      <c r="G37" s="214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3"/>
        <v>405.20541964439531</v>
      </c>
      <c r="Q37" s="261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88">
        <f>'Données projet'!A51</f>
        <v>110</v>
      </c>
      <c r="B38" s="189">
        <f>'Données projet'!D51</f>
        <v>39</v>
      </c>
      <c r="C38" s="202">
        <v>110</v>
      </c>
      <c r="D38" s="190">
        <f t="shared" si="2"/>
        <v>4290</v>
      </c>
      <c r="E38" s="202"/>
      <c r="F38" s="260"/>
      <c r="G38" s="214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3"/>
        <v>387.75638243482803</v>
      </c>
      <c r="Q38" s="261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88">
        <f>'Données projet'!A52</f>
        <v>120</v>
      </c>
      <c r="B39" s="189">
        <f>'Données projet'!D52</f>
        <v>35</v>
      </c>
      <c r="C39" s="202">
        <v>130</v>
      </c>
      <c r="D39" s="190">
        <f t="shared" si="2"/>
        <v>4550</v>
      </c>
      <c r="E39" s="202"/>
      <c r="F39" s="260"/>
      <c r="G39" s="214"/>
      <c r="H39" s="199"/>
      <c r="I39" s="200"/>
      <c r="K39" s="221"/>
      <c r="L39" s="25"/>
      <c r="M39" s="25"/>
      <c r="N39" s="25"/>
      <c r="O39" s="203">
        <f>IF(O38+1&lt;=MIN('Données projet'!$E$9:$E$18),O38+1,"STOP")</f>
        <v>6</v>
      </c>
      <c r="P39" s="193">
        <f t="shared" si="3"/>
        <v>371.05873917208436</v>
      </c>
      <c r="Q39" s="261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88">
        <f>'Données projet'!A53</f>
        <v>130</v>
      </c>
      <c r="B40" s="189">
        <f>'Données projet'!D53</f>
        <v>31</v>
      </c>
      <c r="C40" s="202">
        <v>140</v>
      </c>
      <c r="D40" s="190">
        <f t="shared" si="2"/>
        <v>4340</v>
      </c>
      <c r="E40" s="202"/>
      <c r="F40" s="260"/>
      <c r="G40" s="214"/>
      <c r="H40" s="199"/>
      <c r="I40" s="200"/>
      <c r="K40" s="221"/>
      <c r="L40" s="25"/>
      <c r="M40" s="25"/>
      <c r="N40" s="25"/>
      <c r="O40" s="203">
        <f>IF(O39+1&lt;=MIN('Données projet'!$E$9:$E$18),O39+1,"STOP")</f>
        <v>7</v>
      </c>
      <c r="P40" s="193">
        <f t="shared" si="3"/>
        <v>355.08013317902805</v>
      </c>
      <c r="Q40" s="261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88">
        <f>'Données projet'!A54</f>
        <v>140</v>
      </c>
      <c r="B41" s="189">
        <f>'Données projet'!D54</f>
        <v>27</v>
      </c>
      <c r="C41" s="202">
        <v>150</v>
      </c>
      <c r="D41" s="190">
        <f t="shared" si="2"/>
        <v>4050</v>
      </c>
      <c r="E41" s="202"/>
      <c r="F41" s="260"/>
      <c r="G41" s="214"/>
      <c r="H41" s="199"/>
      <c r="I41" s="200"/>
      <c r="K41" s="221"/>
      <c r="L41" s="25"/>
      <c r="M41" s="25"/>
      <c r="N41" s="25"/>
      <c r="O41" s="203">
        <f>IF(O40+1&lt;=MIN('Données projet'!$E$9:$E$18),O40+1,"STOP")</f>
        <v>8</v>
      </c>
      <c r="P41" s="193">
        <f t="shared" si="3"/>
        <v>339.78960112825661</v>
      </c>
      <c r="Q41" s="261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88">
        <f>'Données projet'!A55</f>
        <v>150</v>
      </c>
      <c r="B42" s="189">
        <f>'Données projet'!D55</f>
        <v>293</v>
      </c>
      <c r="C42" s="202">
        <v>200</v>
      </c>
      <c r="D42" s="190">
        <f t="shared" si="2"/>
        <v>58600</v>
      </c>
      <c r="E42" s="202"/>
      <c r="F42" s="260"/>
      <c r="G42" s="214"/>
      <c r="H42" s="199"/>
      <c r="I42" s="200"/>
      <c r="K42" s="221"/>
      <c r="L42" s="25"/>
      <c r="M42" s="25"/>
      <c r="N42" s="25"/>
      <c r="O42" s="203">
        <f>IF(O41+1&lt;=MIN('Données projet'!$E$9:$E$18),O41+1,"STOP")</f>
        <v>9</v>
      </c>
      <c r="P42" s="193">
        <f t="shared" si="3"/>
        <v>325.15751304139394</v>
      </c>
      <c r="Q42" s="261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5"/>
      <c r="B43" s="195"/>
      <c r="C43" s="195"/>
      <c r="D43" s="252"/>
      <c r="E43" s="252"/>
      <c r="F43" s="265"/>
      <c r="G43" s="214"/>
      <c r="H43" s="199"/>
      <c r="I43" s="200"/>
      <c r="K43" s="221"/>
      <c r="L43" s="25"/>
      <c r="M43" s="25"/>
      <c r="N43" s="25"/>
      <c r="O43" s="203">
        <f>IF(O42+1&lt;=MIN('Données projet'!$E$9:$E$18),O42+1,"STOP")</f>
        <v>10</v>
      </c>
      <c r="P43" s="193">
        <f t="shared" si="3"/>
        <v>311.15551487214736</v>
      </c>
      <c r="Q43" s="26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7"/>
      <c r="G44" s="214"/>
      <c r="H44" s="199"/>
      <c r="I44" s="200"/>
      <c r="K44" s="221"/>
      <c r="L44" s="25"/>
      <c r="M44" s="25"/>
      <c r="N44" s="25"/>
      <c r="O44" s="203">
        <f>IF(O43+1&lt;=MIN('Données projet'!$E$9:$E$18),O43+1,"STOP")</f>
        <v>11</v>
      </c>
      <c r="P44" s="193">
        <f t="shared" si="3"/>
        <v>297.75647356186346</v>
      </c>
      <c r="Q44" s="26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2" t="str">
        <f>IF('Données projet'!$B$10="","",'Données projet'!$B$10)</f>
        <v>Cèdre de l'Atlas</v>
      </c>
      <c r="C45" s="5"/>
      <c r="D45" s="5"/>
      <c r="E45" s="5"/>
      <c r="F45" s="257"/>
      <c r="G45" s="214"/>
      <c r="H45" s="199"/>
      <c r="I45" s="200"/>
      <c r="J45" s="25"/>
      <c r="K45" s="221"/>
      <c r="L45" s="25"/>
      <c r="M45" s="25"/>
      <c r="N45" s="25"/>
      <c r="O45" s="203">
        <f>IF(O44+1&lt;=MIN('Données projet'!$E$9:$E$18),O44+1,"STOP")</f>
        <v>12</v>
      </c>
      <c r="P45" s="193">
        <f t="shared" si="3"/>
        <v>284.93442446111345</v>
      </c>
      <c r="Q45" s="26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7"/>
      <c r="G46" s="214"/>
      <c r="H46" s="199"/>
      <c r="I46" s="200"/>
      <c r="J46" s="25"/>
      <c r="K46" s="221"/>
      <c r="L46" s="216"/>
      <c r="M46" s="216"/>
      <c r="N46" s="216"/>
      <c r="O46" s="203">
        <f>IF(O45+1&lt;=MIN('Données projet'!$E$9:$E$18),O45+1,"STOP")</f>
        <v>13</v>
      </c>
      <c r="P46" s="196">
        <f t="shared" si="3"/>
        <v>272.66452101541955</v>
      </c>
      <c r="Q46" s="26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3" t="s">
        <v>180</v>
      </c>
      <c r="B47" s="51" t="s">
        <v>256</v>
      </c>
      <c r="C47" s="51" t="s">
        <v>255</v>
      </c>
      <c r="D47" s="253" t="s">
        <v>252</v>
      </c>
      <c r="E47" s="253" t="s">
        <v>320</v>
      </c>
      <c r="F47" s="258"/>
      <c r="G47" s="214"/>
      <c r="H47" s="199"/>
      <c r="I47" s="200"/>
      <c r="J47" s="25"/>
      <c r="K47" s="221"/>
      <c r="L47" s="5"/>
      <c r="M47" s="5"/>
      <c r="N47" s="5"/>
      <c r="O47" s="203">
        <f>IF(O46+1&lt;=MIN('Données projet'!$E$9:$E$18),O46+1,"STOP")</f>
        <v>14</v>
      </c>
      <c r="P47" s="193">
        <f t="shared" si="3"/>
        <v>260.92298661762641</v>
      </c>
      <c r="Q47" s="26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6">
        <v>0</v>
      </c>
      <c r="B48" s="209" t="s">
        <v>132</v>
      </c>
      <c r="C48" s="208" t="s">
        <v>132</v>
      </c>
      <c r="D48" s="207" t="s">
        <v>132</v>
      </c>
      <c r="E48" s="202"/>
      <c r="F48" s="258"/>
      <c r="G48" s="214"/>
      <c r="H48" s="199"/>
      <c r="I48" s="200"/>
      <c r="J48" s="25"/>
      <c r="K48" s="221"/>
      <c r="L48" s="5"/>
      <c r="M48" s="5"/>
      <c r="N48" s="5"/>
      <c r="O48" s="203">
        <f>IF(O47+1&lt;=MIN('Données projet'!$E$9:$E$18),O47+1,"STOP")</f>
        <v>15</v>
      </c>
      <c r="P48" s="193">
        <f t="shared" si="3"/>
        <v>249.6870685336138</v>
      </c>
      <c r="Q48" s="26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 x14ac:dyDescent="0.3">
      <c r="A49" s="206">
        <v>1</v>
      </c>
      <c r="B49" s="209" t="s">
        <v>132</v>
      </c>
      <c r="C49" s="208" t="s">
        <v>132</v>
      </c>
      <c r="D49" s="207" t="s">
        <v>132</v>
      </c>
      <c r="E49" s="202"/>
      <c r="F49" s="258"/>
      <c r="G49" s="215"/>
      <c r="H49" s="199"/>
      <c r="I49" s="200"/>
      <c r="J49" s="216"/>
      <c r="K49" s="223"/>
      <c r="L49" s="5"/>
      <c r="M49" s="5"/>
      <c r="N49" s="5"/>
      <c r="O49" s="203">
        <f>IF(O48+1&lt;=MIN('Données projet'!$E$9:$E$18),O48+1,"STOP")</f>
        <v>16</v>
      </c>
      <c r="P49" s="193">
        <f t="shared" si="3"/>
        <v>238.9349938120707</v>
      </c>
      <c r="Q49" s="263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x14ac:dyDescent="0.3">
      <c r="A50" s="206">
        <v>2</v>
      </c>
      <c r="B50" s="209" t="s">
        <v>132</v>
      </c>
      <c r="C50" s="208" t="s">
        <v>132</v>
      </c>
      <c r="D50" s="207" t="s">
        <v>132</v>
      </c>
      <c r="E50" s="202"/>
      <c r="F50" s="258"/>
      <c r="G50" s="217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3"/>
        <v>228.64592709289062</v>
      </c>
      <c r="Q50" s="26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6">
        <v>3</v>
      </c>
      <c r="B51" s="209" t="s">
        <v>132</v>
      </c>
      <c r="C51" s="208" t="s">
        <v>132</v>
      </c>
      <c r="D51" s="207" t="s">
        <v>132</v>
      </c>
      <c r="E51" s="202"/>
      <c r="F51" s="258"/>
      <c r="G51" s="217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3"/>
        <v>218.79993023243125</v>
      </c>
      <c r="Q51" s="26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6">
        <v>4</v>
      </c>
      <c r="B52" s="209" t="s">
        <v>132</v>
      </c>
      <c r="C52" s="208" t="s">
        <v>132</v>
      </c>
      <c r="D52" s="207" t="s">
        <v>132</v>
      </c>
      <c r="E52" s="202"/>
      <c r="F52" s="258"/>
      <c r="G52" s="217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3"/>
        <v>209.37792366739836</v>
      </c>
      <c r="Q52" s="26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6">
        <v>5</v>
      </c>
      <c r="B53" s="209" t="s">
        <v>132</v>
      </c>
      <c r="C53" s="208" t="s">
        <v>132</v>
      </c>
      <c r="D53" s="207" t="s">
        <v>132</v>
      </c>
      <c r="E53" s="202"/>
      <c r="F53" s="258"/>
      <c r="G53" s="218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3"/>
        <v>200.36164944248651</v>
      </c>
      <c r="Q53" s="26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88">
        <f>'Données projet'!A62</f>
        <v>30</v>
      </c>
      <c r="B54" s="189">
        <f>'Données projet'!D62</f>
        <v>0</v>
      </c>
      <c r="C54" s="200"/>
      <c r="D54" s="187">
        <f>B54*C54</f>
        <v>0</v>
      </c>
      <c r="E54" s="202"/>
      <c r="F54" s="259"/>
      <c r="G54" s="218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3"/>
        <v>191.73363583013062</v>
      </c>
      <c r="Q54" s="26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88">
        <f>'Données projet'!A63</f>
        <v>35</v>
      </c>
      <c r="B55" s="189">
        <f>'Données projet'!D63</f>
        <v>0</v>
      </c>
      <c r="C55" s="200"/>
      <c r="D55" s="187">
        <f t="shared" ref="D55:D73" si="4">B55*C55</f>
        <v>0</v>
      </c>
      <c r="E55" s="202"/>
      <c r="F55" s="259"/>
      <c r="G55" s="218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3"/>
        <v>183.47716347380927</v>
      </c>
      <c r="Q55" s="26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88">
        <f>'Données projet'!A64</f>
        <v>40</v>
      </c>
      <c r="B56" s="189">
        <f>'Données projet'!D64</f>
        <v>0</v>
      </c>
      <c r="C56" s="200"/>
      <c r="D56" s="187">
        <f t="shared" si="4"/>
        <v>0</v>
      </c>
      <c r="E56" s="202"/>
      <c r="F56" s="259"/>
      <c r="G56" s="218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3"/>
        <v>175.57623298929116</v>
      </c>
      <c r="Q56" s="26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88">
        <f>'Données projet'!A65</f>
        <v>45</v>
      </c>
      <c r="B57" s="189">
        <f>'Données projet'!D65</f>
        <v>0</v>
      </c>
      <c r="C57" s="200"/>
      <c r="D57" s="187">
        <f t="shared" si="4"/>
        <v>0</v>
      </c>
      <c r="E57" s="202"/>
      <c r="F57" s="259"/>
      <c r="G57" s="218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3"/>
        <v>168.01553396104421</v>
      </c>
      <c r="Q57" s="26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88">
        <f>'Données projet'!A66</f>
        <v>50</v>
      </c>
      <c r="B58" s="189">
        <f>'Données projet'!D66</f>
        <v>0</v>
      </c>
      <c r="C58" s="200"/>
      <c r="D58" s="187">
        <f t="shared" si="4"/>
        <v>0</v>
      </c>
      <c r="E58" s="202"/>
      <c r="F58" s="259"/>
      <c r="G58" s="218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3"/>
        <v>160.7804152737265</v>
      </c>
      <c r="Q58" s="26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88">
        <f>'Données projet'!A67</f>
        <v>51</v>
      </c>
      <c r="B59" s="189">
        <f>'Données projet'!D67</f>
        <v>100.30769230769231</v>
      </c>
      <c r="C59" s="200">
        <v>15</v>
      </c>
      <c r="D59" s="187">
        <f t="shared" si="4"/>
        <v>1504.6153846153845</v>
      </c>
      <c r="E59" s="202"/>
      <c r="F59" s="259"/>
      <c r="G59" s="218"/>
      <c r="H59" s="199"/>
      <c r="I59" s="200"/>
      <c r="J59" s="25"/>
      <c r="K59" s="179"/>
      <c r="L59" s="5"/>
      <c r="M59" s="5"/>
      <c r="N59" s="5"/>
      <c r="O59" s="203">
        <f>IF(O58+1&lt;=MIN('Données projet'!$E$9:$E$18),O58+1,"STOP")</f>
        <v>26</v>
      </c>
      <c r="P59" s="193">
        <f t="shared" si="3"/>
        <v>153.85685672126942</v>
      </c>
      <c r="Q59" s="26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88">
        <f>'Données projet'!A68</f>
        <v>55</v>
      </c>
      <c r="B60" s="189">
        <f>'Données projet'!D68</f>
        <v>0</v>
      </c>
      <c r="C60" s="200"/>
      <c r="D60" s="187">
        <f t="shared" si="4"/>
        <v>0</v>
      </c>
      <c r="E60" s="202"/>
      <c r="F60" s="259"/>
      <c r="G60" s="219"/>
      <c r="H60" s="199"/>
      <c r="I60" s="200"/>
      <c r="J60" s="25"/>
      <c r="K60" s="179"/>
      <c r="L60" s="5"/>
      <c r="M60" s="5"/>
      <c r="N60" s="5"/>
      <c r="O60" s="203">
        <f>IF(O59+1&lt;=MIN('Données projet'!$E$9:$E$18),O59+1,"STOP")</f>
        <v>27</v>
      </c>
      <c r="P60" s="193">
        <f t="shared" si="3"/>
        <v>147.23144183853535</v>
      </c>
      <c r="Q60" s="26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88">
        <f>'Données projet'!A69</f>
        <v>60</v>
      </c>
      <c r="B61" s="189">
        <f>'Données projet'!D69</f>
        <v>0</v>
      </c>
      <c r="C61" s="200"/>
      <c r="D61" s="187">
        <f t="shared" si="4"/>
        <v>0</v>
      </c>
      <c r="E61" s="202"/>
      <c r="F61" s="259"/>
      <c r="G61" s="219"/>
      <c r="H61" s="199"/>
      <c r="I61" s="200"/>
      <c r="J61" s="25"/>
      <c r="K61" s="179"/>
      <c r="L61" s="5"/>
      <c r="M61" s="5"/>
      <c r="N61" s="5"/>
      <c r="O61" s="203">
        <f>IF(O60+1&lt;=MIN('Données projet'!$E$9:$E$18),O60+1,"STOP")</f>
        <v>28</v>
      </c>
      <c r="P61" s="193">
        <f t="shared" si="3"/>
        <v>140.89133190290465</v>
      </c>
      <c r="Q61" s="26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88">
        <f>'Données projet'!A70</f>
        <v>63</v>
      </c>
      <c r="B62" s="189">
        <f>'Données projet'!D70</f>
        <v>108.0923076923077</v>
      </c>
      <c r="C62" s="200">
        <v>20</v>
      </c>
      <c r="D62" s="187">
        <f t="shared" si="4"/>
        <v>2161.8461538461538</v>
      </c>
      <c r="E62" s="202"/>
      <c r="F62" s="259"/>
      <c r="G62" s="219"/>
      <c r="H62" s="199"/>
      <c r="I62" s="200"/>
      <c r="J62" s="25"/>
      <c r="K62" s="179"/>
      <c r="L62" s="5"/>
      <c r="M62" s="5"/>
      <c r="N62" s="5"/>
      <c r="O62" s="203">
        <f>IF(O61+1&lt;=MIN('Données projet'!$E$9:$E$18),O61+1,"STOP")</f>
        <v>29</v>
      </c>
      <c r="P62" s="193">
        <f t="shared" si="3"/>
        <v>134.82424105541114</v>
      </c>
      <c r="Q62" s="26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88">
        <f>'Données projet'!A71</f>
        <v>65</v>
      </c>
      <c r="B63" s="189">
        <f>'Données projet'!D71</f>
        <v>0</v>
      </c>
      <c r="C63" s="200"/>
      <c r="D63" s="187">
        <f t="shared" si="4"/>
        <v>0</v>
      </c>
      <c r="E63" s="202"/>
      <c r="F63" s="259"/>
      <c r="G63" s="219"/>
      <c r="H63" s="199"/>
      <c r="I63" s="200"/>
      <c r="J63" s="25"/>
      <c r="K63" s="179"/>
      <c r="L63" s="5"/>
      <c r="M63" s="5"/>
      <c r="N63" s="5"/>
      <c r="O63" s="203">
        <f>IF(O62+1&lt;=MIN('Données projet'!$E$9:$E$18),O62+1,"STOP")</f>
        <v>30</v>
      </c>
      <c r="P63" s="193">
        <f t="shared" si="3"/>
        <v>129.01841249321646</v>
      </c>
      <c r="Q63" s="26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88">
        <f>'Données projet'!A72</f>
        <v>70</v>
      </c>
      <c r="B64" s="189">
        <f>'Données projet'!D72</f>
        <v>0</v>
      </c>
      <c r="C64" s="200"/>
      <c r="D64" s="187">
        <f t="shared" si="4"/>
        <v>0</v>
      </c>
      <c r="E64" s="202"/>
      <c r="F64" s="259"/>
      <c r="G64" s="219"/>
      <c r="H64" s="199"/>
      <c r="I64" s="200"/>
      <c r="J64" s="220"/>
      <c r="K64" s="179"/>
      <c r="L64" s="5"/>
      <c r="M64" s="5"/>
      <c r="N64" s="5"/>
      <c r="O64" s="203">
        <f>IF(O63+1&lt;=MIN('Données projet'!$E$9:$E$18),O63+1,"STOP")</f>
        <v>31</v>
      </c>
      <c r="P64" s="193">
        <f t="shared" si="3"/>
        <v>123.46259568728844</v>
      </c>
      <c r="Q64" s="26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88">
        <f>'Données projet'!A73</f>
        <v>75</v>
      </c>
      <c r="B65" s="189">
        <f>'Données projet'!D73</f>
        <v>85.361538461538458</v>
      </c>
      <c r="C65" s="200">
        <v>30</v>
      </c>
      <c r="D65" s="187">
        <f t="shared" si="4"/>
        <v>2560.8461538461538</v>
      </c>
      <c r="E65" s="202"/>
      <c r="F65" s="259"/>
      <c r="G65" s="219"/>
      <c r="H65" s="199"/>
      <c r="I65" s="200"/>
      <c r="J65" s="197"/>
      <c r="K65" s="179"/>
      <c r="L65" s="5"/>
      <c r="M65" s="5"/>
      <c r="N65" s="5"/>
      <c r="O65" s="203">
        <f>IF(O64+1&lt;=MIN('Données projet'!$E$9:$E$18),O64+1,"STOP")</f>
        <v>32</v>
      </c>
      <c r="P65" s="193">
        <f t="shared" ref="P65:P96" si="5">$P$25/(1+$M$4)^O65</f>
        <v>118.14602458113733</v>
      </c>
      <c r="Q65" s="26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88">
        <f>'Données projet'!A74</f>
        <v>80</v>
      </c>
      <c r="B66" s="189">
        <f>'Données projet'!D74</f>
        <v>0</v>
      </c>
      <c r="C66" s="200"/>
      <c r="D66" s="187">
        <f t="shared" si="4"/>
        <v>0</v>
      </c>
      <c r="E66" s="202"/>
      <c r="F66" s="259"/>
      <c r="G66" s="219"/>
      <c r="H66" s="199"/>
      <c r="I66" s="200"/>
      <c r="J66" s="197"/>
      <c r="K66" s="179"/>
      <c r="L66" s="5"/>
      <c r="M66" s="5"/>
      <c r="N66" s="5"/>
      <c r="O66" s="203">
        <f>IF(O65+1&lt;=MIN('Données projet'!$E$9:$E$18),O65+1,"STOP")</f>
        <v>33</v>
      </c>
      <c r="P66" s="193">
        <f t="shared" si="5"/>
        <v>113.0583967283611</v>
      </c>
      <c r="Q66" s="26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88">
        <f>'Données projet'!A75</f>
        <v>85</v>
      </c>
      <c r="B67" s="189">
        <f>'Données projet'!D75</f>
        <v>0</v>
      </c>
      <c r="C67" s="200"/>
      <c r="D67" s="187">
        <f t="shared" si="4"/>
        <v>0</v>
      </c>
      <c r="E67" s="202"/>
      <c r="F67" s="259"/>
      <c r="G67" s="219"/>
      <c r="H67" s="199"/>
      <c r="I67" s="200"/>
      <c r="J67" s="197"/>
      <c r="K67" s="179"/>
      <c r="L67" s="5"/>
      <c r="M67" s="5"/>
      <c r="N67" s="5"/>
      <c r="O67" s="203">
        <f>IF(O66+1&lt;=MIN('Données projet'!$E$9:$E$18),O66+1,"STOP")</f>
        <v>34</v>
      </c>
      <c r="P67" s="193">
        <f t="shared" si="5"/>
        <v>108.18985332857523</v>
      </c>
      <c r="Q67" s="26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88">
        <f>'Données projet'!A76</f>
        <v>87</v>
      </c>
      <c r="B68" s="189">
        <f>'Données projet'!D76</f>
        <v>82.938461538461524</v>
      </c>
      <c r="C68" s="200">
        <v>50</v>
      </c>
      <c r="D68" s="187">
        <f t="shared" si="4"/>
        <v>4146.9230769230762</v>
      </c>
      <c r="E68" s="202"/>
      <c r="F68" s="259"/>
      <c r="G68" s="219"/>
      <c r="H68" s="199"/>
      <c r="I68" s="200"/>
      <c r="J68" s="197"/>
      <c r="K68" s="179"/>
      <c r="L68" s="5"/>
      <c r="M68" s="5"/>
      <c r="N68" s="5"/>
      <c r="O68" s="203">
        <f>IF(O67+1&lt;=MIN('Données projet'!$E$9:$E$18),O67+1,"STOP")</f>
        <v>35</v>
      </c>
      <c r="P68" s="193">
        <f t="shared" si="5"/>
        <v>103.5309601230385</v>
      </c>
      <c r="Q68" s="26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88">
        <f>'Données projet'!A77</f>
        <v>90</v>
      </c>
      <c r="B69" s="189">
        <f>'Données projet'!D77</f>
        <v>0</v>
      </c>
      <c r="C69" s="200"/>
      <c r="D69" s="187">
        <f t="shared" si="4"/>
        <v>0</v>
      </c>
      <c r="E69" s="202"/>
      <c r="F69" s="259"/>
      <c r="G69" s="219"/>
      <c r="H69" s="199"/>
      <c r="I69" s="200"/>
      <c r="J69" s="197"/>
      <c r="K69" s="179"/>
      <c r="L69" s="5"/>
      <c r="M69" s="5"/>
      <c r="N69" s="5"/>
      <c r="O69" s="203">
        <f>IF(O68+1&lt;=MIN('Données projet'!$E$9:$E$18),O68+1,"STOP")</f>
        <v>36</v>
      </c>
      <c r="P69" s="193">
        <f t="shared" si="5"/>
        <v>99.072689112955516</v>
      </c>
      <c r="Q69" s="26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88">
        <f>'Données projet'!A78</f>
        <v>95</v>
      </c>
      <c r="B70" s="189">
        <f>'Données projet'!D78</f>
        <v>0</v>
      </c>
      <c r="C70" s="200"/>
      <c r="D70" s="187">
        <f t="shared" si="4"/>
        <v>0</v>
      </c>
      <c r="E70" s="202"/>
      <c r="F70" s="259"/>
      <c r="G70" s="219"/>
      <c r="H70" s="199"/>
      <c r="I70" s="200"/>
      <c r="J70" s="197"/>
      <c r="K70" s="179"/>
      <c r="L70" s="5"/>
      <c r="M70" s="5"/>
      <c r="N70" s="5"/>
      <c r="O70" s="203">
        <f>IF(O69+1&lt;=MIN('Données projet'!$E$9:$E$18),O69+1,"STOP")</f>
        <v>37</v>
      </c>
      <c r="P70" s="193">
        <f t="shared" si="5"/>
        <v>94.806401065029206</v>
      </c>
      <c r="Q70" s="26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88">
        <f>'Données projet'!A79</f>
        <v>99</v>
      </c>
      <c r="B71" s="189">
        <f>'Données projet'!D79</f>
        <v>198.32307692307691</v>
      </c>
      <c r="C71" s="200">
        <v>60</v>
      </c>
      <c r="D71" s="187">
        <f t="shared" si="4"/>
        <v>11899.384615384615</v>
      </c>
      <c r="E71" s="202"/>
      <c r="F71" s="259"/>
      <c r="G71" s="219"/>
      <c r="H71" s="199"/>
      <c r="I71" s="200"/>
      <c r="J71" s="197"/>
      <c r="K71" s="179"/>
      <c r="L71" s="5"/>
      <c r="M71" s="5"/>
      <c r="N71" s="5"/>
      <c r="O71" s="203">
        <f>IF(O70+1&lt;=MIN('Données projet'!$E$9:$E$18),O70+1,"STOP")</f>
        <v>38</v>
      </c>
      <c r="P71" s="193">
        <f t="shared" si="5"/>
        <v>90.723828770362886</v>
      </c>
      <c r="Q71" s="26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88">
        <f>'Données projet'!A80</f>
        <v>100</v>
      </c>
      <c r="B72" s="189">
        <f>'Données projet'!D80</f>
        <v>0</v>
      </c>
      <c r="C72" s="200"/>
      <c r="D72" s="187">
        <f t="shared" si="4"/>
        <v>0</v>
      </c>
      <c r="E72" s="202"/>
      <c r="F72" s="259"/>
      <c r="G72" s="219"/>
      <c r="H72" s="199"/>
      <c r="I72" s="200"/>
      <c r="J72" s="5"/>
      <c r="K72" s="179"/>
      <c r="L72" s="5"/>
      <c r="M72" s="5"/>
      <c r="N72" s="5"/>
      <c r="O72" s="203">
        <f>IF(O71+1&lt;=MIN('Données projet'!$E$9:$E$18),O71+1,"STOP")</f>
        <v>39</v>
      </c>
      <c r="P72" s="193">
        <f t="shared" si="5"/>
        <v>86.817061024270714</v>
      </c>
      <c r="Q72" s="26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88">
        <f>'Données projet'!A81</f>
        <v>109</v>
      </c>
      <c r="B73" s="189">
        <f>'Données projet'!D81</f>
        <v>256.09230769230771</v>
      </c>
      <c r="C73" s="200">
        <v>80</v>
      </c>
      <c r="D73" s="187">
        <f t="shared" si="4"/>
        <v>20487.384615384617</v>
      </c>
      <c r="E73" s="202"/>
      <c r="F73" s="259"/>
      <c r="G73" s="219"/>
      <c r="H73" s="199"/>
      <c r="I73" s="200"/>
      <c r="J73" s="5"/>
      <c r="K73" s="179"/>
      <c r="L73" s="5"/>
      <c r="M73" s="5"/>
      <c r="N73" s="5"/>
      <c r="O73" s="203">
        <f>IF(O72+1&lt;=MIN('Données projet'!$E$9:$E$18),O72+1,"STOP")</f>
        <v>40</v>
      </c>
      <c r="P73" s="193">
        <f t="shared" si="5"/>
        <v>83.078527295952853</v>
      </c>
      <c r="Q73" s="26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7"/>
      <c r="G74" s="219"/>
      <c r="H74" s="199"/>
      <c r="I74" s="200"/>
      <c r="J74" s="5"/>
      <c r="K74" s="179"/>
      <c r="L74" s="5"/>
      <c r="M74" s="5"/>
      <c r="N74" s="5"/>
      <c r="O74" s="203">
        <f>IF(O73+1&lt;=MIN('Données projet'!$E$9:$E$18),O73+1,"STOP")</f>
        <v>41</v>
      </c>
      <c r="P74" s="193">
        <f t="shared" si="5"/>
        <v>79.500983058328103</v>
      </c>
      <c r="Q74" s="26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7"/>
      <c r="G75" s="219"/>
      <c r="H75" s="199"/>
      <c r="I75" s="200"/>
      <c r="J75" s="5"/>
      <c r="K75" s="179"/>
      <c r="L75" s="5"/>
      <c r="M75" s="5"/>
      <c r="N75" s="5"/>
      <c r="O75" s="203">
        <f>IF(O74+1&lt;=MIN('Données projet'!$E$9:$E$18),O74+1,"STOP")</f>
        <v>42</v>
      </c>
      <c r="P75" s="193">
        <f t="shared" si="5"/>
        <v>76.077495749596281</v>
      </c>
      <c r="Q75" s="26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2" t="str">
        <f>IF('Données projet'!B11="","",'Données projet'!B11)</f>
        <v>Charme</v>
      </c>
      <c r="C76" s="5"/>
      <c r="D76" s="5"/>
      <c r="E76" s="5"/>
      <c r="F76" s="257"/>
      <c r="G76" s="219"/>
      <c r="H76" s="199"/>
      <c r="I76" s="200"/>
      <c r="J76" s="5"/>
      <c r="K76" s="179"/>
      <c r="L76" s="5"/>
      <c r="M76" s="5"/>
      <c r="N76" s="5"/>
      <c r="O76" s="203">
        <f>IF(O75+1&lt;=MIN('Données projet'!$E$9:$E$18),O75+1,"STOP")</f>
        <v>43</v>
      </c>
      <c r="P76" s="193">
        <f t="shared" si="5"/>
        <v>72.801431339326584</v>
      </c>
      <c r="Q76" s="26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7"/>
      <c r="G77" s="219"/>
      <c r="H77" s="199"/>
      <c r="I77" s="200"/>
      <c r="J77" s="5"/>
      <c r="K77" s="179"/>
      <c r="L77" s="5"/>
      <c r="M77" s="5"/>
      <c r="N77" s="5"/>
      <c r="O77" s="203">
        <f>IF(O76+1&lt;=MIN('Données projet'!$E$9:$E$18),O76+1,"STOP")</f>
        <v>44</v>
      </c>
      <c r="P77" s="193">
        <f t="shared" si="5"/>
        <v>69.666441473039797</v>
      </c>
      <c r="Q77" s="26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3" t="s">
        <v>180</v>
      </c>
      <c r="B78" s="51" t="s">
        <v>256</v>
      </c>
      <c r="C78" s="51" t="s">
        <v>255</v>
      </c>
      <c r="D78" s="253" t="s">
        <v>252</v>
      </c>
      <c r="E78" s="253" t="s">
        <v>320</v>
      </c>
      <c r="F78" s="258"/>
      <c r="G78" s="219"/>
      <c r="H78" s="199"/>
      <c r="I78" s="200"/>
      <c r="J78" s="5"/>
      <c r="K78" s="179"/>
      <c r="L78" s="5"/>
      <c r="M78" s="5"/>
      <c r="N78" s="5"/>
      <c r="O78" s="203" t="str">
        <f>IF(O77+1&lt;=MIN('Données projet'!$E$9:$E$18),O77+1,"STOP")</f>
        <v>STOP</v>
      </c>
      <c r="P78" s="193" t="e">
        <f t="shared" si="5"/>
        <v>#VALUE!</v>
      </c>
      <c r="Q78" s="26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6">
        <v>0</v>
      </c>
      <c r="B79" s="209" t="s">
        <v>132</v>
      </c>
      <c r="C79" s="208" t="s">
        <v>132</v>
      </c>
      <c r="D79" s="207" t="s">
        <v>132</v>
      </c>
      <c r="E79" s="202"/>
      <c r="F79" s="258"/>
      <c r="G79" s="219"/>
      <c r="H79" s="199"/>
      <c r="I79" s="200"/>
      <c r="J79" s="5"/>
      <c r="K79" s="179"/>
      <c r="L79" s="5"/>
      <c r="M79" s="5"/>
      <c r="N79" s="5"/>
      <c r="O79" s="203" t="e">
        <f>IF(O78+1&lt;=MIN('Données projet'!$E$9:$E$18),O78+1,"STOP")</f>
        <v>#VALUE!</v>
      </c>
      <c r="P79" s="193" t="e">
        <f t="shared" si="5"/>
        <v>#VALUE!</v>
      </c>
      <c r="Q79" s="26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6">
        <v>1</v>
      </c>
      <c r="B80" s="209" t="s">
        <v>132</v>
      </c>
      <c r="C80" s="208" t="s">
        <v>132</v>
      </c>
      <c r="D80" s="207" t="s">
        <v>132</v>
      </c>
      <c r="E80" s="202"/>
      <c r="F80" s="258"/>
      <c r="G80" s="217"/>
      <c r="H80" s="199"/>
      <c r="I80" s="200"/>
      <c r="J80" s="5"/>
      <c r="K80" s="179"/>
      <c r="L80" s="5"/>
      <c r="M80" s="5"/>
      <c r="N80" s="5"/>
      <c r="O80" s="203" t="e">
        <f>IF(O79+1&lt;=MIN('Données projet'!$E$9:$E$18),O79+1,"STOP")</f>
        <v>#VALUE!</v>
      </c>
      <c r="P80" s="193" t="e">
        <f t="shared" si="5"/>
        <v>#VALUE!</v>
      </c>
      <c r="Q80" s="26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6">
        <v>2</v>
      </c>
      <c r="B81" s="209" t="s">
        <v>132</v>
      </c>
      <c r="C81" s="208" t="s">
        <v>132</v>
      </c>
      <c r="D81" s="207" t="s">
        <v>132</v>
      </c>
      <c r="E81" s="202"/>
      <c r="F81" s="258"/>
      <c r="G81" s="217"/>
      <c r="H81" s="199"/>
      <c r="I81" s="200"/>
      <c r="J81" s="5"/>
      <c r="K81" s="179"/>
      <c r="L81" s="5"/>
      <c r="M81" s="5"/>
      <c r="N81" s="5"/>
      <c r="O81" s="203" t="e">
        <f>IF(O80+1&lt;=MIN('Données projet'!$E$9:$E$18),O80+1,"STOP")</f>
        <v>#VALUE!</v>
      </c>
      <c r="P81" s="193" t="e">
        <f t="shared" si="5"/>
        <v>#VALUE!</v>
      </c>
      <c r="Q81" s="26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6">
        <v>3</v>
      </c>
      <c r="B82" s="209" t="s">
        <v>132</v>
      </c>
      <c r="C82" s="208" t="s">
        <v>132</v>
      </c>
      <c r="D82" s="207" t="s">
        <v>132</v>
      </c>
      <c r="E82" s="202"/>
      <c r="F82" s="258"/>
      <c r="G82" s="217"/>
      <c r="H82" s="199"/>
      <c r="I82" s="200"/>
      <c r="J82" s="5"/>
      <c r="K82" s="179"/>
      <c r="L82" s="5"/>
      <c r="M82" s="5"/>
      <c r="N82" s="5"/>
      <c r="O82" s="203" t="e">
        <f>IF(O81+1&lt;=MIN('Données projet'!$E$9:$E$18),O81+1,"STOP")</f>
        <v>#VALUE!</v>
      </c>
      <c r="P82" s="193" t="e">
        <f t="shared" si="5"/>
        <v>#VALUE!</v>
      </c>
      <c r="Q82" s="26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6">
        <v>4</v>
      </c>
      <c r="B83" s="209" t="s">
        <v>132</v>
      </c>
      <c r="C83" s="208" t="s">
        <v>132</v>
      </c>
      <c r="D83" s="207" t="s">
        <v>132</v>
      </c>
      <c r="E83" s="202"/>
      <c r="F83" s="258"/>
      <c r="G83" s="217"/>
      <c r="H83" s="199"/>
      <c r="I83" s="200"/>
      <c r="J83" s="5"/>
      <c r="K83" s="179"/>
      <c r="L83" s="5"/>
      <c r="M83" s="5"/>
      <c r="N83" s="5"/>
      <c r="O83" s="203" t="e">
        <f>IF(O82+1&lt;=MIN('Données projet'!$E$9:$E$18),O82+1,"STOP")</f>
        <v>#VALUE!</v>
      </c>
      <c r="P83" s="193" t="e">
        <f t="shared" si="5"/>
        <v>#VALUE!</v>
      </c>
      <c r="Q83" s="26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6">
        <v>5</v>
      </c>
      <c r="B84" s="209" t="s">
        <v>132</v>
      </c>
      <c r="C84" s="208" t="s">
        <v>132</v>
      </c>
      <c r="D84" s="207" t="s">
        <v>132</v>
      </c>
      <c r="E84" s="202"/>
      <c r="F84" s="258"/>
      <c r="G84" s="218"/>
      <c r="H84" s="199"/>
      <c r="I84" s="200"/>
      <c r="J84" s="5"/>
      <c r="K84" s="179"/>
      <c r="L84" s="5"/>
      <c r="M84" s="5"/>
      <c r="N84" s="5"/>
      <c r="O84" s="203" t="e">
        <f>IF(O83+1&lt;=MIN('Données projet'!$E$9:$E$18),O83+1,"STOP")</f>
        <v>#VALUE!</v>
      </c>
      <c r="P84" s="193" t="e">
        <f t="shared" si="5"/>
        <v>#VALUE!</v>
      </c>
      <c r="Q84" s="26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88">
        <f>'Données projet'!A88</f>
        <v>15</v>
      </c>
      <c r="B85" s="189">
        <f>'Données projet'!D88</f>
        <v>0</v>
      </c>
      <c r="C85" s="200"/>
      <c r="D85" s="187">
        <f>B85*C85</f>
        <v>0</v>
      </c>
      <c r="E85" s="202"/>
      <c r="F85" s="259"/>
      <c r="G85" s="218"/>
      <c r="H85" s="199"/>
      <c r="I85" s="200"/>
      <c r="J85" s="5"/>
      <c r="K85" s="179"/>
      <c r="L85" s="5"/>
      <c r="M85" s="5"/>
      <c r="N85" s="5"/>
      <c r="O85" s="203" t="e">
        <f>IF(O84+1&lt;=MIN('Données projet'!$E$9:$E$18),O84+1,"STOP")</f>
        <v>#VALUE!</v>
      </c>
      <c r="P85" s="193" t="e">
        <f t="shared" si="5"/>
        <v>#VALUE!</v>
      </c>
      <c r="Q85" s="26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88">
        <f>'Données projet'!A89</f>
        <v>20</v>
      </c>
      <c r="B86" s="189">
        <f>'Données projet'!D89</f>
        <v>0</v>
      </c>
      <c r="C86" s="200"/>
      <c r="D86" s="187">
        <f t="shared" ref="D86:D104" si="6">B86*C86</f>
        <v>0</v>
      </c>
      <c r="E86" s="202"/>
      <c r="F86" s="259"/>
      <c r="G86" s="218"/>
      <c r="H86" s="199"/>
      <c r="I86" s="200"/>
      <c r="J86" s="5"/>
      <c r="K86" s="179"/>
      <c r="L86" s="5"/>
      <c r="M86" s="5"/>
      <c r="N86" s="5"/>
      <c r="O86" s="203" t="e">
        <f>IF(O85+1&lt;=MIN('Données projet'!$E$9:$E$18),O85+1,"STOP")</f>
        <v>#VALUE!</v>
      </c>
      <c r="P86" s="193" t="e">
        <f t="shared" si="5"/>
        <v>#VALUE!</v>
      </c>
      <c r="Q86" s="26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88">
        <f>'Données projet'!A90</f>
        <v>25</v>
      </c>
      <c r="B87" s="189">
        <f>'Données projet'!D90</f>
        <v>26.923076923076923</v>
      </c>
      <c r="C87" s="200">
        <v>10</v>
      </c>
      <c r="D87" s="187">
        <f t="shared" si="6"/>
        <v>269.23076923076923</v>
      </c>
      <c r="E87" s="202"/>
      <c r="F87" s="259"/>
      <c r="G87" s="218"/>
      <c r="H87" s="199"/>
      <c r="I87" s="200"/>
      <c r="J87" s="5"/>
      <c r="K87" s="179"/>
      <c r="L87" s="5"/>
      <c r="M87" s="5"/>
      <c r="N87" s="5"/>
      <c r="O87" s="203" t="e">
        <f>IF(O86+1&lt;=MIN('Données projet'!$E$9:$E$18),O86+1,"STOP")</f>
        <v>#VALUE!</v>
      </c>
      <c r="P87" s="193" t="e">
        <f t="shared" si="5"/>
        <v>#VALUE!</v>
      </c>
      <c r="Q87" s="26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88">
        <f>'Données projet'!A91</f>
        <v>30</v>
      </c>
      <c r="B88" s="189">
        <f>'Données projet'!D91</f>
        <v>0</v>
      </c>
      <c r="C88" s="200"/>
      <c r="D88" s="187">
        <f t="shared" si="6"/>
        <v>0</v>
      </c>
      <c r="E88" s="202"/>
      <c r="F88" s="259"/>
      <c r="G88" s="218"/>
      <c r="H88" s="199"/>
      <c r="I88" s="200"/>
      <c r="J88" s="5"/>
      <c r="K88" s="179"/>
      <c r="L88" s="5"/>
      <c r="M88" s="5"/>
      <c r="N88" s="5"/>
      <c r="O88" s="203" t="e">
        <f>IF(O87+1&lt;=MIN('Données projet'!$E$9:$E$18),O87+1,"STOP")</f>
        <v>#VALUE!</v>
      </c>
      <c r="P88" s="193" t="e">
        <f t="shared" si="5"/>
        <v>#VALUE!</v>
      </c>
      <c r="Q88" s="26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88">
        <f>'Données projet'!A92</f>
        <v>35</v>
      </c>
      <c r="B89" s="189">
        <f>'Données projet'!D92</f>
        <v>26.282051282051281</v>
      </c>
      <c r="C89" s="200">
        <v>10</v>
      </c>
      <c r="D89" s="187">
        <f t="shared" si="6"/>
        <v>262.82051282051282</v>
      </c>
      <c r="E89" s="202"/>
      <c r="F89" s="259"/>
      <c r="G89" s="218"/>
      <c r="H89" s="199"/>
      <c r="I89" s="200"/>
      <c r="J89" s="5"/>
      <c r="K89" s="179"/>
      <c r="L89" s="5"/>
      <c r="M89" s="5"/>
      <c r="N89" s="5"/>
      <c r="O89" s="203" t="e">
        <f>IF(O88+1&lt;=MIN('Données projet'!$E$9:$E$18),O88+1,"STOP")</f>
        <v>#VALUE!</v>
      </c>
      <c r="P89" s="193" t="e">
        <f t="shared" si="5"/>
        <v>#VALUE!</v>
      </c>
      <c r="Q89" s="26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88">
        <f>'Données projet'!A93</f>
        <v>40</v>
      </c>
      <c r="B90" s="189">
        <f>'Données projet'!D93</f>
        <v>0</v>
      </c>
      <c r="C90" s="200"/>
      <c r="D90" s="187">
        <f t="shared" si="6"/>
        <v>0</v>
      </c>
      <c r="E90" s="202"/>
      <c r="F90" s="259"/>
      <c r="G90" s="218"/>
      <c r="H90" s="199"/>
      <c r="I90" s="200"/>
      <c r="J90" s="5"/>
      <c r="K90" s="179"/>
      <c r="L90" s="5"/>
      <c r="M90" s="5"/>
      <c r="N90" s="5"/>
      <c r="O90" s="203" t="e">
        <f>IF(O89+1&lt;=MIN('Données projet'!$E$9:$E$18),O89+1,"STOP")</f>
        <v>#VALUE!</v>
      </c>
      <c r="P90" s="193" t="e">
        <f t="shared" si="5"/>
        <v>#VALUE!</v>
      </c>
      <c r="Q90" s="26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88">
        <f>'Données projet'!A94</f>
        <v>45</v>
      </c>
      <c r="B91" s="189">
        <f>'Données projet'!D94</f>
        <v>28.205128205128204</v>
      </c>
      <c r="C91" s="200">
        <v>15</v>
      </c>
      <c r="D91" s="187">
        <f t="shared" si="6"/>
        <v>423.07692307692309</v>
      </c>
      <c r="E91" s="202"/>
      <c r="F91" s="259"/>
      <c r="G91" s="219"/>
      <c r="H91" s="199"/>
      <c r="I91" s="200"/>
      <c r="J91" s="5"/>
      <c r="K91" s="179"/>
      <c r="L91" s="5"/>
      <c r="M91" s="5"/>
      <c r="N91" s="5"/>
      <c r="O91" s="203" t="e">
        <f>IF(O90+1&lt;=MIN('Données projet'!$E$9:$E$18),O90+1,"STOP")</f>
        <v>#VALUE!</v>
      </c>
      <c r="P91" s="193" t="e">
        <f t="shared" si="5"/>
        <v>#VALUE!</v>
      </c>
      <c r="Q91" s="26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88">
        <f>'Données projet'!A95</f>
        <v>50</v>
      </c>
      <c r="B92" s="189">
        <f>'Données projet'!D95</f>
        <v>0</v>
      </c>
      <c r="C92" s="200"/>
      <c r="D92" s="187">
        <f t="shared" si="6"/>
        <v>0</v>
      </c>
      <c r="E92" s="202"/>
      <c r="F92" s="259"/>
      <c r="G92" s="219"/>
      <c r="H92" s="199"/>
      <c r="I92" s="200"/>
      <c r="J92" s="5"/>
      <c r="K92" s="179"/>
      <c r="L92" s="5"/>
      <c r="M92" s="5"/>
      <c r="N92" s="5"/>
      <c r="O92" s="203" t="e">
        <f>IF(O91+1&lt;=MIN('Données projet'!$E$9:$E$18),O91+1,"STOP")</f>
        <v>#VALUE!</v>
      </c>
      <c r="P92" s="193" t="e">
        <f t="shared" si="5"/>
        <v>#VALUE!</v>
      </c>
      <c r="Q92" s="26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88">
        <f>'Données projet'!A96</f>
        <v>55</v>
      </c>
      <c r="B93" s="189">
        <f>'Données projet'!D96</f>
        <v>28.205128205128204</v>
      </c>
      <c r="C93" s="200">
        <v>20</v>
      </c>
      <c r="D93" s="187">
        <f t="shared" si="6"/>
        <v>564.10256410256409</v>
      </c>
      <c r="E93" s="202"/>
      <c r="F93" s="259"/>
      <c r="G93" s="219"/>
      <c r="H93" s="199"/>
      <c r="I93" s="200"/>
      <c r="J93" s="5"/>
      <c r="K93" s="179"/>
      <c r="L93" s="5"/>
      <c r="M93" s="5"/>
      <c r="N93" s="5"/>
      <c r="O93" s="203" t="e">
        <f>IF(O92+1&lt;=MIN('Données projet'!$E$9:$E$18),O92+1,"STOP")</f>
        <v>#VALUE!</v>
      </c>
      <c r="P93" s="193" t="e">
        <f t="shared" si="5"/>
        <v>#VALUE!</v>
      </c>
      <c r="Q93" s="26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88">
        <f>'Données projet'!A97</f>
        <v>60</v>
      </c>
      <c r="B94" s="189">
        <f>'Données projet'!D97</f>
        <v>0</v>
      </c>
      <c r="C94" s="200"/>
      <c r="D94" s="187">
        <f t="shared" si="6"/>
        <v>0</v>
      </c>
      <c r="E94" s="202"/>
      <c r="F94" s="259"/>
      <c r="G94" s="219"/>
      <c r="H94" s="199"/>
      <c r="I94" s="200"/>
      <c r="J94" s="5"/>
      <c r="K94" s="179"/>
      <c r="L94" s="5"/>
      <c r="M94" s="5"/>
      <c r="N94" s="5"/>
      <c r="O94" s="203" t="e">
        <f>IF(O93+1&lt;=MIN('Données projet'!$E$9:$E$18),O93+1,"STOP")</f>
        <v>#VALUE!</v>
      </c>
      <c r="P94" s="193" t="e">
        <f t="shared" si="5"/>
        <v>#VALUE!</v>
      </c>
      <c r="Q94" s="26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88">
        <f>'Données projet'!A98</f>
        <v>65</v>
      </c>
      <c r="B95" s="189">
        <f>'Données projet'!D98</f>
        <v>28.205128205128204</v>
      </c>
      <c r="C95" s="200">
        <v>20</v>
      </c>
      <c r="D95" s="187">
        <f t="shared" si="6"/>
        <v>564.10256410256409</v>
      </c>
      <c r="E95" s="202"/>
      <c r="F95" s="259"/>
      <c r="G95" s="219"/>
      <c r="H95" s="199"/>
      <c r="I95" s="200"/>
      <c r="J95" s="5"/>
      <c r="K95" s="179"/>
      <c r="L95" s="5"/>
      <c r="M95" s="5"/>
      <c r="N95" s="5"/>
      <c r="O95" s="203" t="e">
        <f>IF(O94+1&lt;=MIN('Données projet'!$E$9:$E$18),O94+1,"STOP")</f>
        <v>#VALUE!</v>
      </c>
      <c r="P95" s="193" t="e">
        <f t="shared" si="5"/>
        <v>#VALUE!</v>
      </c>
      <c r="Q95" s="26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88">
        <f>'Données projet'!A99</f>
        <v>70</v>
      </c>
      <c r="B96" s="189">
        <f>'Données projet'!D99</f>
        <v>0</v>
      </c>
      <c r="C96" s="200"/>
      <c r="D96" s="187">
        <f t="shared" si="6"/>
        <v>0</v>
      </c>
      <c r="E96" s="202"/>
      <c r="F96" s="259"/>
      <c r="G96" s="219"/>
      <c r="H96" s="199"/>
      <c r="I96" s="200"/>
      <c r="J96" s="5"/>
      <c r="K96" s="179"/>
      <c r="L96" s="5"/>
      <c r="M96" s="5"/>
      <c r="N96" s="5"/>
      <c r="O96" s="203" t="e">
        <f>IF(O95+1&lt;=MIN('Données projet'!$E$9:$E$18),O95+1,"STOP")</f>
        <v>#VALUE!</v>
      </c>
      <c r="P96" s="193" t="e">
        <f t="shared" si="5"/>
        <v>#VALUE!</v>
      </c>
      <c r="Q96" s="26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88">
        <f>'Données projet'!A100</f>
        <v>75</v>
      </c>
      <c r="B97" s="189">
        <f>'Données projet'!D100</f>
        <v>26.923076923076923</v>
      </c>
      <c r="C97" s="200">
        <v>25</v>
      </c>
      <c r="D97" s="187">
        <f t="shared" si="6"/>
        <v>673.07692307692309</v>
      </c>
      <c r="E97" s="202"/>
      <c r="F97" s="259"/>
      <c r="G97" s="219"/>
      <c r="H97" s="199"/>
      <c r="I97" s="200"/>
      <c r="J97" s="5"/>
      <c r="K97" s="179"/>
      <c r="L97" s="5"/>
      <c r="M97" s="5"/>
      <c r="N97" s="5"/>
      <c r="O97" s="203" t="e">
        <f>IF(O96+1&lt;=MIN('Données projet'!$E$9:$E$18),O96+1,"STOP")</f>
        <v>#VALUE!</v>
      </c>
      <c r="P97" s="193" t="e">
        <f t="shared" ref="P97:P128" si="7">$P$25/(1+$M$4)^O97</f>
        <v>#VALUE!</v>
      </c>
      <c r="Q97" s="26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88">
        <f>'Données projet'!A101</f>
        <v>80</v>
      </c>
      <c r="B98" s="189">
        <f>'Données projet'!D101</f>
        <v>0</v>
      </c>
      <c r="C98" s="200"/>
      <c r="D98" s="187">
        <f t="shared" si="6"/>
        <v>0</v>
      </c>
      <c r="E98" s="202"/>
      <c r="F98" s="259"/>
      <c r="G98" s="219"/>
      <c r="H98" s="199"/>
      <c r="I98" s="200"/>
      <c r="J98" s="5"/>
      <c r="K98" s="179"/>
      <c r="L98" s="5"/>
      <c r="M98" s="5"/>
      <c r="N98" s="5"/>
      <c r="O98" s="203" t="e">
        <f>IF(O97+1&lt;=MIN('Données projet'!$E$9:$E$18),O97+1,"STOP")</f>
        <v>#VALUE!</v>
      </c>
      <c r="P98" s="193" t="e">
        <f t="shared" si="7"/>
        <v>#VALUE!</v>
      </c>
      <c r="Q98" s="26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88">
        <f>'Données projet'!A102</f>
        <v>85</v>
      </c>
      <c r="B99" s="189">
        <f>'Données projet'!D102</f>
        <v>25.641025641025639</v>
      </c>
      <c r="C99" s="200">
        <v>30</v>
      </c>
      <c r="D99" s="187">
        <f t="shared" si="6"/>
        <v>769.23076923076917</v>
      </c>
      <c r="E99" s="202"/>
      <c r="F99" s="259"/>
      <c r="G99" s="219"/>
      <c r="H99" s="199"/>
      <c r="I99" s="200"/>
      <c r="J99" s="5"/>
      <c r="K99" s="179"/>
      <c r="L99" s="5"/>
      <c r="M99" s="5"/>
      <c r="N99" s="5"/>
      <c r="O99" s="203" t="e">
        <f>IF(O98+1&lt;=MIN('Données projet'!$E$9:$E$18),O98+1,"STOP")</f>
        <v>#VALUE!</v>
      </c>
      <c r="P99" s="193" t="e">
        <f t="shared" si="7"/>
        <v>#VALUE!</v>
      </c>
      <c r="Q99" s="26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88">
        <f>'Données projet'!A103</f>
        <v>90</v>
      </c>
      <c r="B100" s="189">
        <f>'Données projet'!D103</f>
        <v>0</v>
      </c>
      <c r="C100" s="200"/>
      <c r="D100" s="187">
        <f t="shared" si="6"/>
        <v>0</v>
      </c>
      <c r="E100" s="202"/>
      <c r="F100" s="259"/>
      <c r="G100" s="219"/>
      <c r="H100" s="199"/>
      <c r="I100" s="200"/>
      <c r="J100" s="5"/>
      <c r="K100" s="179"/>
      <c r="L100" s="5"/>
      <c r="M100" s="5"/>
      <c r="N100" s="5"/>
      <c r="O100" s="203" t="e">
        <f>IF(O99+1&lt;=MIN('Données projet'!$E$9:$E$18),O99+1,"STOP")</f>
        <v>#VALUE!</v>
      </c>
      <c r="P100" s="193" t="e">
        <f t="shared" si="7"/>
        <v>#VALUE!</v>
      </c>
      <c r="Q100" s="26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88">
        <f>'Données projet'!A104</f>
        <v>95</v>
      </c>
      <c r="B101" s="189">
        <f>'Données projet'!D104</f>
        <v>23.717948717948715</v>
      </c>
      <c r="C101" s="200">
        <v>35</v>
      </c>
      <c r="D101" s="187">
        <f t="shared" si="6"/>
        <v>830.12820512820508</v>
      </c>
      <c r="E101" s="202"/>
      <c r="F101" s="259"/>
      <c r="G101" s="219"/>
      <c r="H101" s="199"/>
      <c r="I101" s="200"/>
      <c r="J101" s="5"/>
      <c r="K101" s="179"/>
      <c r="L101" s="5"/>
      <c r="M101" s="5"/>
      <c r="N101" s="5"/>
      <c r="O101" s="203" t="e">
        <f>IF(O100+1&lt;=MIN('Données projet'!$E$9:$E$18),O100+1,"STOP")</f>
        <v>#VALUE!</v>
      </c>
      <c r="P101" s="193" t="e">
        <f t="shared" si="7"/>
        <v>#VALUE!</v>
      </c>
      <c r="Q101" s="26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88">
        <f>'Données projet'!A105</f>
        <v>100</v>
      </c>
      <c r="B102" s="189">
        <f>'Données projet'!D105</f>
        <v>0</v>
      </c>
      <c r="C102" s="200"/>
      <c r="D102" s="187">
        <f t="shared" si="6"/>
        <v>0</v>
      </c>
      <c r="E102" s="202"/>
      <c r="F102" s="259"/>
      <c r="G102" s="219"/>
      <c r="H102" s="199"/>
      <c r="I102" s="200"/>
      <c r="J102" s="5"/>
      <c r="K102" s="179"/>
      <c r="L102" s="5"/>
      <c r="M102" s="5"/>
      <c r="N102" s="5"/>
      <c r="O102" s="203" t="e">
        <f>IF(O101+1&lt;=MIN('Données projet'!$E$9:$E$18),O101+1,"STOP")</f>
        <v>#VALUE!</v>
      </c>
      <c r="P102" s="193" t="e">
        <f t="shared" si="7"/>
        <v>#VALUE!</v>
      </c>
      <c r="Q102" s="26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88">
        <f>'Données projet'!A106</f>
        <v>110</v>
      </c>
      <c r="B103" s="189">
        <f>'Données projet'!D106</f>
        <v>33.333333333333336</v>
      </c>
      <c r="C103" s="200">
        <v>40</v>
      </c>
      <c r="D103" s="187">
        <f t="shared" si="6"/>
        <v>1333.3333333333335</v>
      </c>
      <c r="E103" s="202"/>
      <c r="F103" s="259"/>
      <c r="G103" s="219"/>
      <c r="H103" s="199"/>
      <c r="I103" s="200"/>
      <c r="J103" s="5"/>
      <c r="K103" s="179"/>
      <c r="L103" s="5"/>
      <c r="M103" s="5"/>
      <c r="N103" s="5"/>
      <c r="O103" s="203" t="e">
        <f>IF(O102+1&lt;=MIN('Données projet'!$E$9:$E$18),O102+1,"STOP")</f>
        <v>#VALUE!</v>
      </c>
      <c r="P103" s="193" t="e">
        <f t="shared" si="7"/>
        <v>#VALUE!</v>
      </c>
      <c r="Q103" s="26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88">
        <f>'Données projet'!A107</f>
        <v>120</v>
      </c>
      <c r="B104" s="189">
        <f>'Données projet'!D107</f>
        <v>241.02564102564102</v>
      </c>
      <c r="C104" s="200">
        <v>50</v>
      </c>
      <c r="D104" s="187">
        <f t="shared" si="6"/>
        <v>12051.282051282051</v>
      </c>
      <c r="E104" s="202"/>
      <c r="F104" s="259"/>
      <c r="G104" s="219"/>
      <c r="H104" s="199"/>
      <c r="I104" s="200"/>
      <c r="J104" s="5"/>
      <c r="K104" s="179"/>
      <c r="L104" s="5"/>
      <c r="M104" s="5"/>
      <c r="N104" s="5"/>
      <c r="O104" s="203" t="e">
        <f>IF(O103+1&lt;=MIN('Données projet'!$E$9:$E$18),O103+1,"STOP")</f>
        <v>#VALUE!</v>
      </c>
      <c r="P104" s="193" t="e">
        <f t="shared" si="7"/>
        <v>#VALUE!</v>
      </c>
      <c r="Q104" s="26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7"/>
      <c r="G105" s="219"/>
      <c r="H105" s="199"/>
      <c r="I105" s="200"/>
      <c r="J105" s="5"/>
      <c r="K105" s="179"/>
      <c r="L105" s="5"/>
      <c r="M105" s="5"/>
      <c r="N105" s="5"/>
      <c r="O105" s="203" t="e">
        <f>IF(O104+1&lt;=MIN('Données projet'!$E$9:$E$18),O104+1,"STOP")</f>
        <v>#VALUE!</v>
      </c>
      <c r="P105" s="193" t="e">
        <f t="shared" si="7"/>
        <v>#VALUE!</v>
      </c>
      <c r="Q105" s="26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7"/>
      <c r="G106" s="219"/>
      <c r="H106" s="199"/>
      <c r="I106" s="200"/>
      <c r="J106" s="5"/>
      <c r="K106" s="179"/>
      <c r="L106" s="5"/>
      <c r="M106" s="5"/>
      <c r="N106" s="5"/>
      <c r="O106" s="203" t="e">
        <f>IF(O105+1&lt;=MIN('Données projet'!$E$9:$E$18),O105+1,"STOP")</f>
        <v>#VALUE!</v>
      </c>
      <c r="P106" s="193" t="e">
        <f t="shared" si="7"/>
        <v>#VALUE!</v>
      </c>
      <c r="Q106" s="26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2" t="str">
        <f>IF('Données projet'!B12="","",'Données projet'!B12)</f>
        <v>Chêne chevelu</v>
      </c>
      <c r="C107" s="5"/>
      <c r="D107" s="5"/>
      <c r="E107" s="5"/>
      <c r="F107" s="257"/>
      <c r="G107" s="219"/>
      <c r="H107" s="199"/>
      <c r="I107" s="200"/>
      <c r="J107" s="5"/>
      <c r="K107" s="179"/>
      <c r="L107" s="5"/>
      <c r="M107" s="5"/>
      <c r="N107" s="5"/>
      <c r="O107" s="203" t="e">
        <f>IF(O106+1&lt;=MIN('Données projet'!$E$9:$E$18),O106+1,"STOP")</f>
        <v>#VALUE!</v>
      </c>
      <c r="P107" s="193" t="e">
        <f t="shared" si="7"/>
        <v>#VALUE!</v>
      </c>
      <c r="Q107" s="26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7"/>
      <c r="G108" s="219"/>
      <c r="H108" s="199"/>
      <c r="I108" s="200"/>
      <c r="J108" s="5"/>
      <c r="K108" s="179"/>
      <c r="L108" s="5"/>
      <c r="M108" s="5"/>
      <c r="N108" s="5"/>
      <c r="O108" s="203" t="e">
        <f>IF(O107+1&lt;=MIN('Données projet'!$E$9:$E$18),O107+1,"STOP")</f>
        <v>#VALUE!</v>
      </c>
      <c r="P108" s="193" t="e">
        <f t="shared" si="7"/>
        <v>#VALUE!</v>
      </c>
      <c r="Q108" s="26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3" t="s">
        <v>180</v>
      </c>
      <c r="B109" s="51" t="s">
        <v>256</v>
      </c>
      <c r="C109" s="51" t="s">
        <v>255</v>
      </c>
      <c r="D109" s="253" t="s">
        <v>252</v>
      </c>
      <c r="E109" s="253" t="s">
        <v>320</v>
      </c>
      <c r="F109" s="258"/>
      <c r="G109" s="219"/>
      <c r="H109" s="199"/>
      <c r="I109" s="200"/>
      <c r="J109" s="5"/>
      <c r="K109" s="179"/>
      <c r="L109" s="5"/>
      <c r="M109" s="5"/>
      <c r="N109" s="5"/>
      <c r="O109" s="203" t="e">
        <f>IF(O108+1&lt;=MIN('Données projet'!$E$9:$E$18),O108+1,"STOP")</f>
        <v>#VALUE!</v>
      </c>
      <c r="P109" s="193" t="e">
        <f t="shared" si="7"/>
        <v>#VALUE!</v>
      </c>
      <c r="Q109" s="26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6">
        <v>0</v>
      </c>
      <c r="B110" s="209" t="s">
        <v>132</v>
      </c>
      <c r="C110" s="208" t="s">
        <v>132</v>
      </c>
      <c r="D110" s="207" t="s">
        <v>132</v>
      </c>
      <c r="E110" s="202"/>
      <c r="F110" s="258"/>
      <c r="G110" s="219"/>
      <c r="H110" s="199"/>
      <c r="I110" s="200"/>
      <c r="J110" s="5"/>
      <c r="K110" s="179"/>
      <c r="L110" s="5"/>
      <c r="M110" s="5"/>
      <c r="N110" s="5"/>
      <c r="O110" s="203" t="e">
        <f>IF(O109+1&lt;=MIN('Données projet'!$E$9:$E$18),O109+1,"STOP")</f>
        <v>#VALUE!</v>
      </c>
      <c r="P110" s="193" t="e">
        <f t="shared" si="7"/>
        <v>#VALUE!</v>
      </c>
      <c r="Q110" s="26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6">
        <v>1</v>
      </c>
      <c r="B111" s="209" t="s">
        <v>132</v>
      </c>
      <c r="C111" s="208" t="s">
        <v>132</v>
      </c>
      <c r="D111" s="207" t="s">
        <v>132</v>
      </c>
      <c r="E111" s="202"/>
      <c r="F111" s="258"/>
      <c r="G111" s="217"/>
      <c r="H111" s="199"/>
      <c r="I111" s="200"/>
      <c r="J111" s="5"/>
      <c r="K111" s="179"/>
      <c r="L111" s="5"/>
      <c r="M111" s="5"/>
      <c r="N111" s="5"/>
      <c r="O111" s="203" t="e">
        <f>IF(O110+1&lt;=MIN('Données projet'!$E$9:$E$18),O110+1,"STOP")</f>
        <v>#VALUE!</v>
      </c>
      <c r="P111" s="193" t="e">
        <f t="shared" si="7"/>
        <v>#VALUE!</v>
      </c>
      <c r="Q111" s="26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6">
        <v>2</v>
      </c>
      <c r="B112" s="209" t="s">
        <v>132</v>
      </c>
      <c r="C112" s="208" t="s">
        <v>132</v>
      </c>
      <c r="D112" s="207" t="s">
        <v>132</v>
      </c>
      <c r="E112" s="202"/>
      <c r="F112" s="258"/>
      <c r="G112" s="217"/>
      <c r="H112" s="199"/>
      <c r="I112" s="200"/>
      <c r="J112" s="5"/>
      <c r="K112" s="179"/>
      <c r="L112" s="5"/>
      <c r="M112" s="5"/>
      <c r="N112" s="5"/>
      <c r="O112" s="203" t="e">
        <f>IF(O111+1&lt;=MIN('Données projet'!$E$9:$E$18),O111+1,"STOP")</f>
        <v>#VALUE!</v>
      </c>
      <c r="P112" s="193" t="e">
        <f t="shared" si="7"/>
        <v>#VALUE!</v>
      </c>
      <c r="Q112" s="26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6">
        <v>3</v>
      </c>
      <c r="B113" s="209" t="s">
        <v>132</v>
      </c>
      <c r="C113" s="208" t="s">
        <v>132</v>
      </c>
      <c r="D113" s="207" t="s">
        <v>132</v>
      </c>
      <c r="E113" s="202"/>
      <c r="F113" s="258"/>
      <c r="G113" s="217"/>
      <c r="H113" s="199"/>
      <c r="I113" s="200"/>
      <c r="J113" s="5"/>
      <c r="K113" s="179"/>
      <c r="L113" s="5"/>
      <c r="M113" s="5"/>
      <c r="N113" s="5"/>
      <c r="O113" s="203" t="e">
        <f>IF(O112+1&lt;=MIN('Données projet'!$E$9:$E$18),O112+1,"STOP")</f>
        <v>#VALUE!</v>
      </c>
      <c r="P113" s="193" t="e">
        <f t="shared" si="7"/>
        <v>#VALUE!</v>
      </c>
      <c r="Q113" s="26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6">
        <v>4</v>
      </c>
      <c r="B114" s="209" t="s">
        <v>132</v>
      </c>
      <c r="C114" s="208" t="s">
        <v>132</v>
      </c>
      <c r="D114" s="207" t="s">
        <v>132</v>
      </c>
      <c r="E114" s="202"/>
      <c r="F114" s="258"/>
      <c r="G114" s="217"/>
      <c r="H114" s="199"/>
      <c r="I114" s="200"/>
      <c r="J114" s="5"/>
      <c r="K114" s="179"/>
      <c r="L114" s="5"/>
      <c r="M114" s="5"/>
      <c r="N114" s="5"/>
      <c r="O114" s="203" t="e">
        <f>IF(O113+1&lt;=MIN('Données projet'!$E$9:$E$18),O113+1,"STOP")</f>
        <v>#VALUE!</v>
      </c>
      <c r="P114" s="193" t="e">
        <f t="shared" si="7"/>
        <v>#VALUE!</v>
      </c>
      <c r="Q114" s="26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6">
        <v>5</v>
      </c>
      <c r="B115" s="209" t="s">
        <v>132</v>
      </c>
      <c r="C115" s="208" t="s">
        <v>132</v>
      </c>
      <c r="D115" s="207" t="s">
        <v>132</v>
      </c>
      <c r="E115" s="202"/>
      <c r="F115" s="258"/>
      <c r="G115" s="218"/>
      <c r="H115" s="199"/>
      <c r="I115" s="200"/>
      <c r="J115" s="5"/>
      <c r="K115" s="179"/>
      <c r="L115" s="5"/>
      <c r="M115" s="5"/>
      <c r="N115" s="5"/>
      <c r="O115" s="203" t="e">
        <f>IF(O114+1&lt;=MIN('Données projet'!$E$9:$E$18),O114+1,"STOP")</f>
        <v>#VALUE!</v>
      </c>
      <c r="P115" s="193" t="e">
        <f t="shared" si="7"/>
        <v>#VALUE!</v>
      </c>
      <c r="Q115" s="26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88">
        <f>'Données projet'!A114</f>
        <v>15</v>
      </c>
      <c r="B116" s="189">
        <f>'Données projet'!D114</f>
        <v>0</v>
      </c>
      <c r="C116" s="200"/>
      <c r="D116" s="187">
        <f>B116*C116</f>
        <v>0</v>
      </c>
      <c r="E116" s="202"/>
      <c r="F116" s="259"/>
      <c r="G116" s="218"/>
      <c r="H116" s="199"/>
      <c r="I116" s="200"/>
      <c r="J116" s="5"/>
      <c r="K116" s="179"/>
      <c r="L116" s="5"/>
      <c r="M116" s="5"/>
      <c r="N116" s="5"/>
      <c r="O116" s="203" t="e">
        <f>IF(O115+1&lt;=MIN('Données projet'!$E$9:$E$18),O115+1,"STOP")</f>
        <v>#VALUE!</v>
      </c>
      <c r="P116" s="193" t="e">
        <f t="shared" si="7"/>
        <v>#VALUE!</v>
      </c>
      <c r="Q116" s="26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88">
        <f>'Données projet'!A115</f>
        <v>20</v>
      </c>
      <c r="B117" s="189">
        <f>'Données projet'!D115</f>
        <v>0</v>
      </c>
      <c r="C117" s="200"/>
      <c r="D117" s="187">
        <f t="shared" ref="D117:D135" si="8">B117*C117</f>
        <v>0</v>
      </c>
      <c r="E117" s="202"/>
      <c r="F117" s="259"/>
      <c r="G117" s="218"/>
      <c r="H117" s="199"/>
      <c r="I117" s="200"/>
      <c r="J117" s="5"/>
      <c r="K117" s="179"/>
      <c r="L117" s="5"/>
      <c r="M117" s="5"/>
      <c r="N117" s="5"/>
      <c r="O117" s="203" t="e">
        <f>IF(O116+1&lt;=MIN('Données projet'!$E$9:$E$18),O116+1,"STOP")</f>
        <v>#VALUE!</v>
      </c>
      <c r="P117" s="193" t="e">
        <f t="shared" si="7"/>
        <v>#VALUE!</v>
      </c>
      <c r="Q117" s="26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88">
        <f>'Données projet'!A116</f>
        <v>25</v>
      </c>
      <c r="B118" s="189">
        <f>'Données projet'!D116</f>
        <v>18.589743589743588</v>
      </c>
      <c r="C118" s="200">
        <v>10</v>
      </c>
      <c r="D118" s="187">
        <f t="shared" si="8"/>
        <v>185.89743589743588</v>
      </c>
      <c r="E118" s="202"/>
      <c r="F118" s="259"/>
      <c r="G118" s="218"/>
      <c r="H118" s="199"/>
      <c r="I118" s="200"/>
      <c r="J118" s="5"/>
      <c r="K118" s="179"/>
      <c r="L118" s="5"/>
      <c r="M118" s="5"/>
      <c r="N118" s="5"/>
      <c r="O118" s="203" t="e">
        <f>IF(O117+1&lt;=MIN('Données projet'!$E$9:$E$18),O117+1,"STOP")</f>
        <v>#VALUE!</v>
      </c>
      <c r="P118" s="193" t="e">
        <f t="shared" si="7"/>
        <v>#VALUE!</v>
      </c>
      <c r="Q118" s="26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88">
        <f>'Données projet'!A117</f>
        <v>30</v>
      </c>
      <c r="B119" s="189">
        <f>'Données projet'!D117</f>
        <v>0</v>
      </c>
      <c r="C119" s="200"/>
      <c r="D119" s="187">
        <f t="shared" si="8"/>
        <v>0</v>
      </c>
      <c r="E119" s="202"/>
      <c r="F119" s="259"/>
      <c r="G119" s="218"/>
      <c r="H119" s="199"/>
      <c r="I119" s="200"/>
      <c r="J119" s="5"/>
      <c r="K119" s="179"/>
      <c r="L119" s="5"/>
      <c r="M119" s="5"/>
      <c r="N119" s="5"/>
      <c r="O119" s="203" t="e">
        <f>IF(O118+1&lt;=MIN('Données projet'!$E$9:$E$18),O118+1,"STOP")</f>
        <v>#VALUE!</v>
      </c>
      <c r="P119" s="193" t="e">
        <f t="shared" si="7"/>
        <v>#VALUE!</v>
      </c>
      <c r="Q119" s="26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88">
        <f>'Données projet'!A118</f>
        <v>35</v>
      </c>
      <c r="B120" s="189">
        <f>'Données projet'!D118</f>
        <v>20.512820512820511</v>
      </c>
      <c r="C120" s="200">
        <v>10</v>
      </c>
      <c r="D120" s="187">
        <f t="shared" si="8"/>
        <v>205.12820512820511</v>
      </c>
      <c r="E120" s="202"/>
      <c r="F120" s="259"/>
      <c r="G120" s="218"/>
      <c r="H120" s="199"/>
      <c r="I120" s="200"/>
      <c r="J120" s="5"/>
      <c r="K120" s="179"/>
      <c r="L120" s="5"/>
      <c r="M120" s="5"/>
      <c r="N120" s="5"/>
      <c r="O120" s="203" t="e">
        <f>IF(O119+1&lt;=MIN('Données projet'!$E$9:$E$18),O119+1,"STOP")</f>
        <v>#VALUE!</v>
      </c>
      <c r="P120" s="193" t="e">
        <f t="shared" si="7"/>
        <v>#VALUE!</v>
      </c>
      <c r="Q120" s="26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88">
        <f>'Données projet'!A119</f>
        <v>40</v>
      </c>
      <c r="B121" s="189">
        <f>'Données projet'!D119</f>
        <v>0</v>
      </c>
      <c r="C121" s="200"/>
      <c r="D121" s="187">
        <f t="shared" si="8"/>
        <v>0</v>
      </c>
      <c r="E121" s="202"/>
      <c r="F121" s="259"/>
      <c r="G121" s="218"/>
      <c r="H121" s="199"/>
      <c r="I121" s="200"/>
      <c r="J121" s="5"/>
      <c r="K121" s="179"/>
      <c r="L121" s="5"/>
      <c r="M121" s="5"/>
      <c r="N121" s="5"/>
      <c r="O121" s="203" t="e">
        <f>IF(O120+1&lt;=MIN('Données projet'!$E$9:$E$18),O120+1,"STOP")</f>
        <v>#VALUE!</v>
      </c>
      <c r="P121" s="193" t="e">
        <f t="shared" si="7"/>
        <v>#VALUE!</v>
      </c>
      <c r="Q121" s="26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88">
        <f>'Données projet'!A120</f>
        <v>45</v>
      </c>
      <c r="B122" s="189">
        <f>'Données projet'!D120</f>
        <v>23.717948717948715</v>
      </c>
      <c r="C122" s="200">
        <v>15</v>
      </c>
      <c r="D122" s="187">
        <f t="shared" si="8"/>
        <v>355.76923076923072</v>
      </c>
      <c r="E122" s="202"/>
      <c r="F122" s="259"/>
      <c r="G122" s="219"/>
      <c r="H122" s="199"/>
      <c r="I122" s="200"/>
      <c r="J122" s="5"/>
      <c r="K122" s="179"/>
      <c r="L122" s="5"/>
      <c r="M122" s="5"/>
      <c r="N122" s="5"/>
      <c r="O122" s="203" t="e">
        <f>IF(O121+1&lt;=MIN('Données projet'!$E$9:$E$18),O121+1,"STOP")</f>
        <v>#VALUE!</v>
      </c>
      <c r="P122" s="193" t="e">
        <f t="shared" si="7"/>
        <v>#VALUE!</v>
      </c>
      <c r="Q122" s="26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88">
        <f>'Données projet'!A121</f>
        <v>50</v>
      </c>
      <c r="B123" s="189">
        <f>'Données projet'!D121</f>
        <v>0</v>
      </c>
      <c r="C123" s="200"/>
      <c r="D123" s="187">
        <f t="shared" si="8"/>
        <v>0</v>
      </c>
      <c r="E123" s="202"/>
      <c r="F123" s="259"/>
      <c r="G123" s="219"/>
      <c r="H123" s="199"/>
      <c r="I123" s="200"/>
      <c r="J123" s="5"/>
      <c r="K123" s="179"/>
      <c r="L123" s="5"/>
      <c r="M123" s="5"/>
      <c r="N123" s="5"/>
      <c r="O123" s="203" t="e">
        <f>IF(O122+1&lt;=MIN('Données projet'!$E$9:$E$18),O122+1,"STOP")</f>
        <v>#VALUE!</v>
      </c>
      <c r="P123" s="193" t="e">
        <f t="shared" si="7"/>
        <v>#VALUE!</v>
      </c>
      <c r="Q123" s="26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88">
        <f>'Données projet'!A122</f>
        <v>55</v>
      </c>
      <c r="B124" s="189">
        <f>'Données projet'!D122</f>
        <v>24.358974358974358</v>
      </c>
      <c r="C124" s="200">
        <v>20</v>
      </c>
      <c r="D124" s="187">
        <f t="shared" si="8"/>
        <v>487.17948717948718</v>
      </c>
      <c r="E124" s="202"/>
      <c r="F124" s="259"/>
      <c r="G124" s="219"/>
      <c r="H124" s="199"/>
      <c r="I124" s="200"/>
      <c r="J124" s="5"/>
      <c r="K124" s="179"/>
      <c r="L124" s="5"/>
      <c r="M124" s="5"/>
      <c r="N124" s="5"/>
      <c r="O124" s="203" t="e">
        <f>IF(O123+1&lt;=MIN('Données projet'!$E$9:$E$18),O123+1,"STOP")</f>
        <v>#VALUE!</v>
      </c>
      <c r="P124" s="193" t="e">
        <f t="shared" si="7"/>
        <v>#VALUE!</v>
      </c>
      <c r="Q124" s="26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88">
        <f>'Données projet'!A123</f>
        <v>60</v>
      </c>
      <c r="B125" s="189">
        <f>'Données projet'!D123</f>
        <v>0</v>
      </c>
      <c r="C125" s="200"/>
      <c r="D125" s="187">
        <f t="shared" si="8"/>
        <v>0</v>
      </c>
      <c r="E125" s="202"/>
      <c r="F125" s="259"/>
      <c r="G125" s="219"/>
      <c r="H125" s="199"/>
      <c r="I125" s="200"/>
      <c r="J125" s="5"/>
      <c r="K125" s="179"/>
      <c r="L125" s="5"/>
      <c r="M125" s="5"/>
      <c r="N125" s="5"/>
      <c r="O125" s="203" t="e">
        <f>IF(O124+1&lt;=MIN('Données projet'!$E$9:$E$18),O124+1,"STOP")</f>
        <v>#VALUE!</v>
      </c>
      <c r="P125" s="193" t="e">
        <f t="shared" si="7"/>
        <v>#VALUE!</v>
      </c>
      <c r="Q125" s="26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88">
        <f>'Données projet'!A124</f>
        <v>65</v>
      </c>
      <c r="B126" s="189">
        <f>'Données projet'!D124</f>
        <v>23.717948717948715</v>
      </c>
      <c r="C126" s="200">
        <v>40</v>
      </c>
      <c r="D126" s="187">
        <f t="shared" si="8"/>
        <v>948.71794871794862</v>
      </c>
      <c r="E126" s="202"/>
      <c r="F126" s="259"/>
      <c r="G126" s="219"/>
      <c r="H126" s="199"/>
      <c r="I126" s="200"/>
      <c r="J126" s="5"/>
      <c r="K126" s="179"/>
      <c r="L126" s="5"/>
      <c r="M126" s="5"/>
      <c r="N126" s="5"/>
      <c r="O126" s="203" t="e">
        <f>IF(O125+1&lt;=MIN('Données projet'!$E$9:$E$18),O125+1,"STOP")</f>
        <v>#VALUE!</v>
      </c>
      <c r="P126" s="193" t="e">
        <f t="shared" si="7"/>
        <v>#VALUE!</v>
      </c>
      <c r="Q126" s="26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88">
        <f>'Données projet'!A125</f>
        <v>70</v>
      </c>
      <c r="B127" s="189">
        <f>'Données projet'!D125</f>
        <v>0</v>
      </c>
      <c r="C127" s="200"/>
      <c r="D127" s="187">
        <f t="shared" si="8"/>
        <v>0</v>
      </c>
      <c r="E127" s="202"/>
      <c r="F127" s="259"/>
      <c r="G127" s="219"/>
      <c r="H127" s="199"/>
      <c r="I127" s="200"/>
      <c r="J127" s="5"/>
      <c r="K127" s="179"/>
      <c r="L127" s="5"/>
      <c r="M127" s="5"/>
      <c r="N127" s="5"/>
      <c r="O127" s="203" t="e">
        <f>IF(O126+1&lt;=MIN('Données projet'!$E$9:$E$18),O126+1,"STOP")</f>
        <v>#VALUE!</v>
      </c>
      <c r="P127" s="193" t="e">
        <f t="shared" si="7"/>
        <v>#VALUE!</v>
      </c>
      <c r="Q127" s="26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88">
        <f>'Données projet'!A126</f>
        <v>75</v>
      </c>
      <c r="B128" s="189">
        <f>'Données projet'!D126</f>
        <v>23.076923076923077</v>
      </c>
      <c r="C128" s="200">
        <v>60</v>
      </c>
      <c r="D128" s="187">
        <f t="shared" si="8"/>
        <v>1384.6153846153845</v>
      </c>
      <c r="E128" s="202"/>
      <c r="F128" s="259"/>
      <c r="G128" s="219"/>
      <c r="H128" s="199"/>
      <c r="I128" s="200"/>
      <c r="J128" s="5"/>
      <c r="K128" s="179"/>
      <c r="L128" s="5"/>
      <c r="M128" s="5"/>
      <c r="N128" s="5"/>
      <c r="O128" s="203" t="e">
        <f>IF(O127+1&lt;=MIN('Données projet'!$E$9:$E$18),O127+1,"STOP")</f>
        <v>#VALUE!</v>
      </c>
      <c r="P128" s="193" t="e">
        <f t="shared" si="7"/>
        <v>#VALUE!</v>
      </c>
      <c r="Q128" s="26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88">
        <f>'Données projet'!A127</f>
        <v>80</v>
      </c>
      <c r="B129" s="189">
        <f>'Données projet'!D127</f>
        <v>0</v>
      </c>
      <c r="C129" s="200"/>
      <c r="D129" s="187">
        <f t="shared" si="8"/>
        <v>0</v>
      </c>
      <c r="E129" s="202"/>
      <c r="F129" s="259"/>
      <c r="G129" s="219"/>
      <c r="H129" s="199"/>
      <c r="I129" s="200"/>
      <c r="J129" s="5"/>
      <c r="K129" s="179"/>
      <c r="L129" s="5"/>
      <c r="M129" s="5"/>
      <c r="N129" s="5"/>
      <c r="O129" s="203" t="e">
        <f>IF(O128+1&lt;=MIN('Données projet'!$E$9:$E$18),O128+1,"STOP")</f>
        <v>#VALUE!</v>
      </c>
      <c r="P129" s="193" t="e">
        <f t="shared" ref="P129:P132" si="9">$P$25/(1+$M$4)^O129</f>
        <v>#VALUE!</v>
      </c>
      <c r="Q129" s="26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88">
        <f>'Données projet'!A128</f>
        <v>85</v>
      </c>
      <c r="B130" s="189">
        <f>'Données projet'!D128</f>
        <v>21.794871794871796</v>
      </c>
      <c r="C130" s="200">
        <v>100</v>
      </c>
      <c r="D130" s="187">
        <f t="shared" si="8"/>
        <v>2179.4871794871797</v>
      </c>
      <c r="E130" s="202"/>
      <c r="F130" s="259"/>
      <c r="G130" s="219"/>
      <c r="H130" s="199"/>
      <c r="I130" s="200"/>
      <c r="J130" s="5"/>
      <c r="K130" s="179"/>
      <c r="L130" s="5"/>
      <c r="M130" s="5"/>
      <c r="N130" s="5"/>
      <c r="O130" s="203" t="e">
        <f>IF(O129+1&lt;=MIN('Données projet'!$E$9:$E$18),O129+1,"STOP")</f>
        <v>#VALUE!</v>
      </c>
      <c r="P130" s="193" t="e">
        <f t="shared" si="9"/>
        <v>#VALUE!</v>
      </c>
      <c r="Q130" s="26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88">
        <f>'Données projet'!A129</f>
        <v>90</v>
      </c>
      <c r="B131" s="189">
        <f>'Données projet'!D129</f>
        <v>0</v>
      </c>
      <c r="C131" s="200"/>
      <c r="D131" s="187">
        <f t="shared" si="8"/>
        <v>0</v>
      </c>
      <c r="E131" s="202"/>
      <c r="F131" s="259"/>
      <c r="G131" s="219"/>
      <c r="H131" s="199"/>
      <c r="I131" s="200"/>
      <c r="J131" s="5"/>
      <c r="K131" s="179"/>
      <c r="L131" s="5"/>
      <c r="M131" s="5"/>
      <c r="N131" s="5"/>
      <c r="O131" s="203" t="e">
        <f>IF(O130+1&lt;=MIN('Données projet'!$E$9:$E$18),O130+1,"STOP")</f>
        <v>#VALUE!</v>
      </c>
      <c r="P131" s="193" t="e">
        <f t="shared" si="9"/>
        <v>#VALUE!</v>
      </c>
      <c r="Q131" s="26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88">
        <f>'Données projet'!A130</f>
        <v>100</v>
      </c>
      <c r="B132" s="189">
        <f>'Données projet'!D130</f>
        <v>30.769230769230766</v>
      </c>
      <c r="C132" s="200">
        <v>130</v>
      </c>
      <c r="D132" s="187">
        <f t="shared" si="8"/>
        <v>3999.9999999999995</v>
      </c>
      <c r="E132" s="202"/>
      <c r="F132" s="259"/>
      <c r="G132" s="219"/>
      <c r="H132" s="199"/>
      <c r="I132" s="200"/>
      <c r="J132" s="5"/>
      <c r="K132" s="179"/>
      <c r="L132" s="5"/>
      <c r="M132" s="5"/>
      <c r="N132" s="5"/>
      <c r="O132" s="203" t="e">
        <f>IF(O131+1&lt;=MIN('Données projet'!$E$9:$E$18),O131+1,"STOP")</f>
        <v>#VALUE!</v>
      </c>
      <c r="P132" s="193" t="e">
        <f t="shared" si="9"/>
        <v>#VALUE!</v>
      </c>
      <c r="Q132" s="26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88">
        <f>'Données projet'!A131</f>
        <v>110</v>
      </c>
      <c r="B133" s="189">
        <f>'Données projet'!D131</f>
        <v>19.23076923076923</v>
      </c>
      <c r="C133" s="200">
        <v>140</v>
      </c>
      <c r="D133" s="187">
        <f t="shared" si="8"/>
        <v>2692.3076923076924</v>
      </c>
      <c r="E133" s="202"/>
      <c r="F133" s="259"/>
      <c r="G133" s="219"/>
      <c r="H133" s="199"/>
      <c r="I133" s="200"/>
      <c r="J133" s="5"/>
      <c r="K133" s="179"/>
      <c r="Q133" s="26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88">
        <f>'Données projet'!A132</f>
        <v>120</v>
      </c>
      <c r="B134" s="189">
        <f>'Données projet'!D132</f>
        <v>17.948717948717949</v>
      </c>
      <c r="C134" s="200">
        <v>150</v>
      </c>
      <c r="D134" s="187">
        <f t="shared" si="8"/>
        <v>2692.3076923076924</v>
      </c>
      <c r="E134" s="202"/>
      <c r="F134" s="259"/>
      <c r="G134" s="219"/>
      <c r="H134" s="199"/>
      <c r="I134" s="200"/>
      <c r="J134" s="5"/>
      <c r="K134" s="179"/>
      <c r="Q134" s="26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88">
        <f>'Données projet'!A133</f>
        <v>130</v>
      </c>
      <c r="B135" s="189">
        <f>'Données projet'!D133</f>
        <v>339.10256410256409</v>
      </c>
      <c r="C135" s="200">
        <v>200</v>
      </c>
      <c r="D135" s="187">
        <f t="shared" si="8"/>
        <v>67820.512820512813</v>
      </c>
      <c r="E135" s="202"/>
      <c r="F135" s="259"/>
      <c r="G135" s="219"/>
      <c r="H135" s="199"/>
      <c r="I135" s="200"/>
      <c r="J135" s="5"/>
      <c r="K135" s="179"/>
      <c r="Q135" s="26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7"/>
      <c r="G136" s="219"/>
      <c r="H136" s="199"/>
      <c r="I136" s="200"/>
      <c r="J136" s="5"/>
      <c r="K136" s="179"/>
      <c r="L136" s="5"/>
      <c r="M136" s="5"/>
      <c r="N136" s="5"/>
      <c r="Q136" s="26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7"/>
      <c r="G137" s="219"/>
      <c r="H137" s="199"/>
      <c r="I137" s="200"/>
      <c r="J137" s="5"/>
      <c r="K137" s="179"/>
      <c r="L137" s="5"/>
      <c r="M137" s="5"/>
      <c r="N137" s="5"/>
      <c r="Q137" s="26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2" t="str">
        <f>IF('Données projet'!B13="","",'Données projet'!B13)</f>
        <v>Chêne sessile</v>
      </c>
      <c r="C138" s="5"/>
      <c r="D138" s="5"/>
      <c r="E138" s="5"/>
      <c r="F138" s="257"/>
      <c r="G138" s="219"/>
      <c r="H138" s="199"/>
      <c r="I138" s="200"/>
      <c r="J138" s="5"/>
      <c r="K138" s="179"/>
      <c r="L138" s="5"/>
      <c r="M138" s="5"/>
      <c r="N138" s="5"/>
      <c r="Q138" s="26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7"/>
      <c r="G139" s="219"/>
      <c r="H139" s="199"/>
      <c r="I139" s="200"/>
      <c r="J139" s="5"/>
      <c r="K139" s="179"/>
      <c r="L139" s="5"/>
      <c r="M139" s="5"/>
      <c r="N139" s="5"/>
      <c r="Q139" s="26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3" t="s">
        <v>180</v>
      </c>
      <c r="B140" s="51" t="s">
        <v>256</v>
      </c>
      <c r="C140" s="51" t="s">
        <v>255</v>
      </c>
      <c r="D140" s="253" t="s">
        <v>252</v>
      </c>
      <c r="E140" s="253" t="s">
        <v>320</v>
      </c>
      <c r="F140" s="258"/>
      <c r="G140" s="219"/>
      <c r="H140" s="199"/>
      <c r="I140" s="200"/>
      <c r="J140" s="5"/>
      <c r="K140" s="179"/>
      <c r="L140" s="5"/>
      <c r="M140" s="5"/>
      <c r="N140" s="5"/>
      <c r="Q140" s="26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6">
        <v>0</v>
      </c>
      <c r="B141" s="209" t="s">
        <v>132</v>
      </c>
      <c r="C141" s="208" t="s">
        <v>132</v>
      </c>
      <c r="D141" s="207" t="s">
        <v>132</v>
      </c>
      <c r="E141" s="202"/>
      <c r="F141" s="258"/>
      <c r="G141" s="219"/>
      <c r="H141" s="199"/>
      <c r="I141" s="200"/>
      <c r="J141" s="5"/>
      <c r="K141" s="179"/>
      <c r="L141" s="5"/>
      <c r="M141" s="5"/>
      <c r="N141" s="5"/>
      <c r="Q141" s="26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6">
        <v>1</v>
      </c>
      <c r="B142" s="209" t="s">
        <v>132</v>
      </c>
      <c r="C142" s="208" t="s">
        <v>132</v>
      </c>
      <c r="D142" s="207" t="s">
        <v>132</v>
      </c>
      <c r="E142" s="202"/>
      <c r="F142" s="258"/>
      <c r="G142" s="217"/>
      <c r="H142" s="199"/>
      <c r="I142" s="200"/>
      <c r="J142" s="5"/>
      <c r="K142" s="179"/>
      <c r="L142" s="5"/>
      <c r="M142" s="5"/>
      <c r="N142" s="5"/>
      <c r="Q142" s="26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6">
        <v>2</v>
      </c>
      <c r="B143" s="209" t="s">
        <v>132</v>
      </c>
      <c r="C143" s="208" t="s">
        <v>132</v>
      </c>
      <c r="D143" s="207" t="s">
        <v>132</v>
      </c>
      <c r="E143" s="202"/>
      <c r="F143" s="258"/>
      <c r="G143" s="217"/>
      <c r="H143" s="199"/>
      <c r="I143" s="200"/>
      <c r="J143" s="5"/>
      <c r="K143" s="179"/>
      <c r="L143" s="5"/>
      <c r="M143" s="5"/>
      <c r="N143" s="5"/>
      <c r="Q143" s="26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6">
        <v>3</v>
      </c>
      <c r="B144" s="209" t="s">
        <v>132</v>
      </c>
      <c r="C144" s="208" t="s">
        <v>132</v>
      </c>
      <c r="D144" s="207" t="s">
        <v>132</v>
      </c>
      <c r="E144" s="202"/>
      <c r="F144" s="258"/>
      <c r="G144" s="217"/>
      <c r="H144" s="199"/>
      <c r="I144" s="200"/>
      <c r="J144" s="5"/>
      <c r="K144" s="179"/>
      <c r="L144" s="5"/>
      <c r="M144" s="5"/>
      <c r="N144" s="5"/>
      <c r="Q144" s="26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6">
        <v>4</v>
      </c>
      <c r="B145" s="209" t="s">
        <v>132</v>
      </c>
      <c r="C145" s="208" t="s">
        <v>132</v>
      </c>
      <c r="D145" s="207" t="s">
        <v>132</v>
      </c>
      <c r="E145" s="202"/>
      <c r="F145" s="258"/>
      <c r="G145" s="217"/>
      <c r="H145" s="199"/>
      <c r="I145" s="200"/>
      <c r="J145" s="5"/>
      <c r="K145" s="179"/>
      <c r="L145" s="5"/>
      <c r="M145" s="5"/>
      <c r="N145" s="5"/>
      <c r="Q145" s="26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6">
        <v>5</v>
      </c>
      <c r="B146" s="209" t="s">
        <v>132</v>
      </c>
      <c r="C146" s="208" t="s">
        <v>132</v>
      </c>
      <c r="D146" s="207" t="s">
        <v>132</v>
      </c>
      <c r="E146" s="202"/>
      <c r="F146" s="258"/>
      <c r="G146" s="218"/>
      <c r="H146" s="199"/>
      <c r="I146" s="200"/>
      <c r="J146" s="5"/>
      <c r="K146" s="179"/>
      <c r="L146" s="5"/>
      <c r="M146" s="5"/>
      <c r="N146" s="5"/>
      <c r="Q146" s="26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3">
        <f>'Données projet'!D140</f>
        <v>0</v>
      </c>
      <c r="C147" s="200"/>
      <c r="D147" s="190">
        <f>B147*C147</f>
        <v>0</v>
      </c>
      <c r="E147" s="202"/>
      <c r="F147" s="260"/>
      <c r="G147" s="218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3">
        <f>'Données projet'!D141</f>
        <v>0</v>
      </c>
      <c r="C148" s="200"/>
      <c r="D148" s="190">
        <f t="shared" ref="D148:D166" si="10">B148*C148</f>
        <v>0</v>
      </c>
      <c r="E148" s="202"/>
      <c r="F148" s="260"/>
      <c r="G148" s="218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3">
        <f>'Données projet'!D142</f>
        <v>29</v>
      </c>
      <c r="C149" s="200">
        <v>10</v>
      </c>
      <c r="D149" s="190">
        <f t="shared" si="10"/>
        <v>290</v>
      </c>
      <c r="E149" s="202"/>
      <c r="F149" s="260"/>
      <c r="G149" s="218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3">
        <f>'Données projet'!D143</f>
        <v>0</v>
      </c>
      <c r="C150" s="200"/>
      <c r="D150" s="190">
        <f t="shared" si="10"/>
        <v>0</v>
      </c>
      <c r="E150" s="202"/>
      <c r="F150" s="260"/>
      <c r="G150" s="218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3">
        <f>'Données projet'!D144</f>
        <v>42</v>
      </c>
      <c r="C151" s="200">
        <v>10</v>
      </c>
      <c r="D151" s="190">
        <f t="shared" si="10"/>
        <v>420</v>
      </c>
      <c r="E151" s="202"/>
      <c r="F151" s="260"/>
      <c r="G151" s="218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3">
        <f>'Données projet'!D145</f>
        <v>0</v>
      </c>
      <c r="C152" s="200"/>
      <c r="D152" s="190">
        <f t="shared" si="10"/>
        <v>0</v>
      </c>
      <c r="E152" s="202"/>
      <c r="F152" s="260"/>
      <c r="G152" s="218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3">
        <f>'Données projet'!D146</f>
        <v>42</v>
      </c>
      <c r="C153" s="200">
        <v>15</v>
      </c>
      <c r="D153" s="190">
        <f t="shared" si="10"/>
        <v>630</v>
      </c>
      <c r="E153" s="202"/>
      <c r="F153" s="260"/>
      <c r="G153" s="214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3">
        <f>'Données projet'!D147</f>
        <v>0</v>
      </c>
      <c r="C154" s="200"/>
      <c r="D154" s="190">
        <f t="shared" si="10"/>
        <v>0</v>
      </c>
      <c r="E154" s="202"/>
      <c r="F154" s="260"/>
      <c r="G154" s="214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3">
        <f>'Données projet'!D148</f>
        <v>42</v>
      </c>
      <c r="C155" s="200">
        <v>20</v>
      </c>
      <c r="D155" s="190">
        <f t="shared" si="10"/>
        <v>840</v>
      </c>
      <c r="E155" s="202"/>
      <c r="F155" s="260"/>
      <c r="G155" s="214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3">
        <f>'Données projet'!D149</f>
        <v>0</v>
      </c>
      <c r="C156" s="200"/>
      <c r="D156" s="190">
        <f t="shared" si="10"/>
        <v>0</v>
      </c>
      <c r="E156" s="202"/>
      <c r="F156" s="260"/>
      <c r="G156" s="214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3">
        <f>'Données projet'!D150</f>
        <v>42</v>
      </c>
      <c r="C157" s="200">
        <v>40</v>
      </c>
      <c r="D157" s="190">
        <f t="shared" si="10"/>
        <v>1680</v>
      </c>
      <c r="E157" s="202"/>
      <c r="F157" s="260"/>
      <c r="G157" s="214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3">
        <f>'Données projet'!D151</f>
        <v>0</v>
      </c>
      <c r="C158" s="200"/>
      <c r="D158" s="190">
        <f t="shared" si="10"/>
        <v>0</v>
      </c>
      <c r="E158" s="202"/>
      <c r="F158" s="260"/>
      <c r="G158" s="214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3">
        <f>'Données projet'!D152</f>
        <v>42</v>
      </c>
      <c r="C159" s="200">
        <v>60</v>
      </c>
      <c r="D159" s="190">
        <f t="shared" si="10"/>
        <v>2520</v>
      </c>
      <c r="E159" s="202"/>
      <c r="F159" s="260"/>
      <c r="G159" s="214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90</v>
      </c>
      <c r="B160" s="183">
        <f>'Données projet'!D153</f>
        <v>42</v>
      </c>
      <c r="C160" s="200">
        <v>80</v>
      </c>
      <c r="D160" s="190">
        <f t="shared" si="10"/>
        <v>3360</v>
      </c>
      <c r="E160" s="202"/>
      <c r="F160" s="260"/>
      <c r="G160" s="214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100</v>
      </c>
      <c r="B161" s="183">
        <f>'Données projet'!D154</f>
        <v>42</v>
      </c>
      <c r="C161" s="200">
        <v>100</v>
      </c>
      <c r="D161" s="190">
        <f t="shared" si="10"/>
        <v>4200</v>
      </c>
      <c r="E161" s="202"/>
      <c r="F161" s="260"/>
      <c r="G161" s="214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110</v>
      </c>
      <c r="B162" s="183">
        <f>'Données projet'!D155</f>
        <v>39</v>
      </c>
      <c r="C162" s="200">
        <v>110</v>
      </c>
      <c r="D162" s="190">
        <f t="shared" si="10"/>
        <v>4290</v>
      </c>
      <c r="E162" s="202"/>
      <c r="F162" s="260"/>
      <c r="G162" s="214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120</v>
      </c>
      <c r="B163" s="183">
        <f>'Données projet'!D156</f>
        <v>35</v>
      </c>
      <c r="C163" s="200">
        <v>130</v>
      </c>
      <c r="D163" s="190">
        <f t="shared" si="10"/>
        <v>4550</v>
      </c>
      <c r="E163" s="202"/>
      <c r="F163" s="260"/>
      <c r="G163" s="214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130</v>
      </c>
      <c r="B164" s="183">
        <f>'Données projet'!D157</f>
        <v>31</v>
      </c>
      <c r="C164" s="200">
        <v>140</v>
      </c>
      <c r="D164" s="190">
        <f t="shared" si="10"/>
        <v>4340</v>
      </c>
      <c r="E164" s="202"/>
      <c r="F164" s="260"/>
      <c r="G164" s="214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140</v>
      </c>
      <c r="B165" s="183">
        <f>'Données projet'!D158</f>
        <v>27</v>
      </c>
      <c r="C165" s="200">
        <v>150</v>
      </c>
      <c r="D165" s="190">
        <f t="shared" si="10"/>
        <v>4050</v>
      </c>
      <c r="E165" s="202"/>
      <c r="F165" s="260"/>
      <c r="G165" s="214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3">
        <f>'Données projet'!D159</f>
        <v>293</v>
      </c>
      <c r="C166" s="200">
        <v>200</v>
      </c>
      <c r="D166" s="190">
        <f t="shared" si="10"/>
        <v>58600</v>
      </c>
      <c r="E166" s="202"/>
      <c r="F166" s="260"/>
      <c r="G166" s="214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7"/>
      <c r="G167" s="214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7"/>
      <c r="G168" s="214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2" t="str">
        <f>IF('Données projet'!B14="","",'Données projet'!B14)</f>
        <v>Cormier</v>
      </c>
      <c r="C169" s="5"/>
      <c r="D169" s="5"/>
      <c r="E169" s="5"/>
      <c r="F169" s="257"/>
      <c r="G169" s="214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7"/>
      <c r="G170" s="214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3" t="s">
        <v>180</v>
      </c>
      <c r="B171" s="51" t="s">
        <v>256</v>
      </c>
      <c r="C171" s="51" t="s">
        <v>255</v>
      </c>
      <c r="D171" s="253" t="s">
        <v>252</v>
      </c>
      <c r="E171" s="253" t="s">
        <v>320</v>
      </c>
      <c r="F171" s="258"/>
      <c r="G171" s="214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6">
        <v>0</v>
      </c>
      <c r="B172" s="209" t="s">
        <v>132</v>
      </c>
      <c r="C172" s="208" t="s">
        <v>132</v>
      </c>
      <c r="D172" s="207" t="s">
        <v>132</v>
      </c>
      <c r="E172" s="202"/>
      <c r="F172" s="258"/>
      <c r="G172" s="214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6">
        <v>1</v>
      </c>
      <c r="B173" s="209" t="s">
        <v>132</v>
      </c>
      <c r="C173" s="208" t="s">
        <v>132</v>
      </c>
      <c r="D173" s="207" t="s">
        <v>132</v>
      </c>
      <c r="E173" s="202"/>
      <c r="F173" s="258"/>
      <c r="G173" s="217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6">
        <v>2</v>
      </c>
      <c r="B174" s="209" t="s">
        <v>132</v>
      </c>
      <c r="C174" s="208" t="s">
        <v>132</v>
      </c>
      <c r="D174" s="207" t="s">
        <v>132</v>
      </c>
      <c r="E174" s="202"/>
      <c r="F174" s="258"/>
      <c r="G174" s="217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6">
        <v>3</v>
      </c>
      <c r="B175" s="209" t="s">
        <v>132</v>
      </c>
      <c r="C175" s="208" t="s">
        <v>132</v>
      </c>
      <c r="D175" s="207" t="s">
        <v>132</v>
      </c>
      <c r="E175" s="202"/>
      <c r="F175" s="258"/>
      <c r="G175" s="217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6">
        <v>4</v>
      </c>
      <c r="B176" s="209" t="s">
        <v>132</v>
      </c>
      <c r="C176" s="208" t="s">
        <v>132</v>
      </c>
      <c r="D176" s="207" t="s">
        <v>132</v>
      </c>
      <c r="E176" s="202"/>
      <c r="F176" s="258"/>
      <c r="G176" s="217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6">
        <v>5</v>
      </c>
      <c r="B177" s="209" t="s">
        <v>132</v>
      </c>
      <c r="C177" s="208" t="s">
        <v>132</v>
      </c>
      <c r="D177" s="207" t="s">
        <v>132</v>
      </c>
      <c r="E177" s="202"/>
      <c r="F177" s="258"/>
      <c r="G177" s="218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88">
        <f>'Données projet'!A166</f>
        <v>20</v>
      </c>
      <c r="B178" s="189">
        <f>'Données projet'!D166</f>
        <v>0</v>
      </c>
      <c r="C178" s="202"/>
      <c r="D178" s="187">
        <f>B178*C178</f>
        <v>0</v>
      </c>
      <c r="E178" s="202"/>
      <c r="F178" s="259"/>
      <c r="G178" s="218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88">
        <f>'Données projet'!A167</f>
        <v>25</v>
      </c>
      <c r="B179" s="189">
        <f>'Données projet'!D167</f>
        <v>0</v>
      </c>
      <c r="C179" s="202"/>
      <c r="D179" s="187">
        <f t="shared" ref="D179:D197" si="11">B179*C179</f>
        <v>0</v>
      </c>
      <c r="E179" s="202"/>
      <c r="F179" s="259"/>
      <c r="G179" s="218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88">
        <f>'Données projet'!A168</f>
        <v>30</v>
      </c>
      <c r="B180" s="189">
        <f>'Données projet'!D168</f>
        <v>29</v>
      </c>
      <c r="C180" s="202">
        <v>10</v>
      </c>
      <c r="D180" s="187">
        <f t="shared" si="11"/>
        <v>290</v>
      </c>
      <c r="E180" s="202"/>
      <c r="F180" s="259"/>
      <c r="G180" s="218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88">
        <f>'Données projet'!A169</f>
        <v>35</v>
      </c>
      <c r="B181" s="189">
        <f>'Données projet'!D169</f>
        <v>0</v>
      </c>
      <c r="C181" s="202"/>
      <c r="D181" s="187">
        <f t="shared" si="11"/>
        <v>0</v>
      </c>
      <c r="E181" s="202"/>
      <c r="F181" s="259"/>
      <c r="G181" s="218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88">
        <f>'Données projet'!A170</f>
        <v>40</v>
      </c>
      <c r="B182" s="189">
        <f>'Données projet'!D170</f>
        <v>42</v>
      </c>
      <c r="C182" s="202">
        <v>10</v>
      </c>
      <c r="D182" s="187">
        <f t="shared" si="11"/>
        <v>420</v>
      </c>
      <c r="E182" s="202"/>
      <c r="F182" s="259"/>
      <c r="G182" s="218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88">
        <f>'Données projet'!A171</f>
        <v>45</v>
      </c>
      <c r="B183" s="189">
        <f>'Données projet'!D171</f>
        <v>0</v>
      </c>
      <c r="C183" s="202"/>
      <c r="D183" s="187">
        <f t="shared" si="11"/>
        <v>0</v>
      </c>
      <c r="E183" s="202"/>
      <c r="F183" s="259"/>
      <c r="G183" s="218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88">
        <f>'Données projet'!A172</f>
        <v>50</v>
      </c>
      <c r="B184" s="189">
        <f>'Données projet'!D172</f>
        <v>42</v>
      </c>
      <c r="C184" s="202">
        <v>15</v>
      </c>
      <c r="D184" s="187">
        <f t="shared" si="11"/>
        <v>630</v>
      </c>
      <c r="E184" s="202"/>
      <c r="F184" s="259"/>
      <c r="G184" s="219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88">
        <f>'Données projet'!A173</f>
        <v>55</v>
      </c>
      <c r="B185" s="189">
        <f>'Données projet'!D173</f>
        <v>0</v>
      </c>
      <c r="C185" s="202"/>
      <c r="D185" s="187">
        <f t="shared" si="11"/>
        <v>0</v>
      </c>
      <c r="E185" s="202"/>
      <c r="F185" s="259"/>
      <c r="G185" s="219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88">
        <f>'Données projet'!A174</f>
        <v>60</v>
      </c>
      <c r="B186" s="189">
        <f>'Données projet'!D174</f>
        <v>42</v>
      </c>
      <c r="C186" s="202">
        <v>20</v>
      </c>
      <c r="D186" s="187">
        <f t="shared" si="11"/>
        <v>840</v>
      </c>
      <c r="E186" s="202"/>
      <c r="F186" s="259"/>
      <c r="G186" s="219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88">
        <f>'Données projet'!A175</f>
        <v>65</v>
      </c>
      <c r="B187" s="189">
        <f>'Données projet'!D175</f>
        <v>0</v>
      </c>
      <c r="C187" s="202"/>
      <c r="D187" s="187">
        <f t="shared" si="11"/>
        <v>0</v>
      </c>
      <c r="E187" s="202"/>
      <c r="F187" s="259"/>
      <c r="G187" s="219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88">
        <f>'Données projet'!A176</f>
        <v>70</v>
      </c>
      <c r="B188" s="189">
        <f>'Données projet'!D176</f>
        <v>42</v>
      </c>
      <c r="C188" s="202">
        <v>40</v>
      </c>
      <c r="D188" s="187">
        <f t="shared" si="11"/>
        <v>1680</v>
      </c>
      <c r="E188" s="202"/>
      <c r="F188" s="259"/>
      <c r="G188" s="219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88">
        <f>'Données projet'!A177</f>
        <v>75</v>
      </c>
      <c r="B189" s="189">
        <f>'Données projet'!D177</f>
        <v>0</v>
      </c>
      <c r="C189" s="202"/>
      <c r="D189" s="187">
        <f t="shared" si="11"/>
        <v>0</v>
      </c>
      <c r="E189" s="202"/>
      <c r="F189" s="259"/>
      <c r="G189" s="219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88">
        <f>'Données projet'!A178</f>
        <v>80</v>
      </c>
      <c r="B190" s="189">
        <f>'Données projet'!D178</f>
        <v>42</v>
      </c>
      <c r="C190" s="202">
        <v>60</v>
      </c>
      <c r="D190" s="187">
        <f t="shared" si="11"/>
        <v>2520</v>
      </c>
      <c r="E190" s="202"/>
      <c r="F190" s="259"/>
      <c r="G190" s="219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88">
        <f>'Données projet'!A179</f>
        <v>90</v>
      </c>
      <c r="B191" s="189">
        <f>'Données projet'!D179</f>
        <v>42</v>
      </c>
      <c r="C191" s="202">
        <v>80</v>
      </c>
      <c r="D191" s="187">
        <f t="shared" si="11"/>
        <v>3360</v>
      </c>
      <c r="E191" s="202"/>
      <c r="F191" s="259"/>
      <c r="G191" s="219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88">
        <f>'Données projet'!A180</f>
        <v>100</v>
      </c>
      <c r="B192" s="189">
        <f>'Données projet'!D180</f>
        <v>42</v>
      </c>
      <c r="C192" s="202">
        <v>100</v>
      </c>
      <c r="D192" s="187">
        <f t="shared" si="11"/>
        <v>4200</v>
      </c>
      <c r="E192" s="202"/>
      <c r="F192" s="259"/>
      <c r="G192" s="219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88">
        <f>'Données projet'!A181</f>
        <v>110</v>
      </c>
      <c r="B193" s="189">
        <f>'Données projet'!D181</f>
        <v>39</v>
      </c>
      <c r="C193" s="202">
        <v>110</v>
      </c>
      <c r="D193" s="187">
        <f t="shared" si="11"/>
        <v>4290</v>
      </c>
      <c r="E193" s="202"/>
      <c r="F193" s="259"/>
      <c r="G193" s="219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88">
        <f>'Données projet'!A182</f>
        <v>120</v>
      </c>
      <c r="B194" s="189">
        <f>'Données projet'!D182</f>
        <v>35</v>
      </c>
      <c r="C194" s="202">
        <v>130</v>
      </c>
      <c r="D194" s="187">
        <f t="shared" si="11"/>
        <v>4550</v>
      </c>
      <c r="E194" s="202"/>
      <c r="F194" s="259"/>
      <c r="G194" s="219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88">
        <f>'Données projet'!A183</f>
        <v>130</v>
      </c>
      <c r="B195" s="189">
        <f>'Données projet'!D183</f>
        <v>31</v>
      </c>
      <c r="C195" s="202">
        <v>140</v>
      </c>
      <c r="D195" s="187">
        <f t="shared" si="11"/>
        <v>4340</v>
      </c>
      <c r="E195" s="202"/>
      <c r="F195" s="259"/>
      <c r="G195" s="219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88">
        <f>'Données projet'!A184</f>
        <v>140</v>
      </c>
      <c r="B196" s="189">
        <f>'Données projet'!D184</f>
        <v>27</v>
      </c>
      <c r="C196" s="202">
        <v>150</v>
      </c>
      <c r="D196" s="187">
        <f t="shared" si="11"/>
        <v>4050</v>
      </c>
      <c r="E196" s="202"/>
      <c r="F196" s="259"/>
      <c r="G196" s="219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88">
        <f>'Données projet'!A185</f>
        <v>150</v>
      </c>
      <c r="B197" s="189">
        <f>'Données projet'!D185</f>
        <v>293</v>
      </c>
      <c r="C197" s="202">
        <v>200</v>
      </c>
      <c r="D197" s="187">
        <f t="shared" si="11"/>
        <v>58600</v>
      </c>
      <c r="E197" s="202"/>
      <c r="F197" s="259"/>
      <c r="G197" s="219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7"/>
      <c r="G198" s="219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7"/>
      <c r="G199" s="219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2" t="str">
        <f>IF('Données projet'!$B$15="","",'Données projet'!$B$15)</f>
        <v>Erable plane</v>
      </c>
      <c r="C200" s="5"/>
      <c r="D200" s="5"/>
      <c r="E200" s="5"/>
      <c r="F200" s="257"/>
      <c r="G200" s="219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7"/>
      <c r="G201" s="219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3" t="s">
        <v>180</v>
      </c>
      <c r="B202" s="51" t="s">
        <v>256</v>
      </c>
      <c r="C202" s="51" t="s">
        <v>255</v>
      </c>
      <c r="D202" s="253" t="s">
        <v>252</v>
      </c>
      <c r="E202" s="253" t="s">
        <v>320</v>
      </c>
      <c r="F202" s="258"/>
      <c r="G202" s="219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6">
        <v>0</v>
      </c>
      <c r="B203" s="209" t="s">
        <v>132</v>
      </c>
      <c r="C203" s="208" t="s">
        <v>132</v>
      </c>
      <c r="D203" s="207" t="s">
        <v>132</v>
      </c>
      <c r="E203" s="202"/>
      <c r="F203" s="258"/>
      <c r="G203" s="219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6">
        <v>1</v>
      </c>
      <c r="B204" s="209" t="s">
        <v>132</v>
      </c>
      <c r="C204" s="208" t="s">
        <v>132</v>
      </c>
      <c r="D204" s="207" t="s">
        <v>132</v>
      </c>
      <c r="E204" s="202"/>
      <c r="F204" s="258"/>
      <c r="G204" s="217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6">
        <v>2</v>
      </c>
      <c r="B205" s="209" t="s">
        <v>132</v>
      </c>
      <c r="C205" s="208" t="s">
        <v>132</v>
      </c>
      <c r="D205" s="207" t="s">
        <v>132</v>
      </c>
      <c r="E205" s="202"/>
      <c r="F205" s="258"/>
      <c r="G205" s="217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6">
        <v>3</v>
      </c>
      <c r="B206" s="209" t="s">
        <v>132</v>
      </c>
      <c r="C206" s="208" t="s">
        <v>132</v>
      </c>
      <c r="D206" s="207" t="s">
        <v>132</v>
      </c>
      <c r="E206" s="202"/>
      <c r="F206" s="258"/>
      <c r="G206" s="217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6">
        <v>4</v>
      </c>
      <c r="B207" s="209" t="s">
        <v>132</v>
      </c>
      <c r="C207" s="208" t="s">
        <v>132</v>
      </c>
      <c r="D207" s="207" t="s">
        <v>132</v>
      </c>
      <c r="E207" s="202"/>
      <c r="F207" s="258"/>
      <c r="G207" s="217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6">
        <v>5</v>
      </c>
      <c r="B208" s="209" t="s">
        <v>132</v>
      </c>
      <c r="C208" s="208" t="s">
        <v>132</v>
      </c>
      <c r="D208" s="207" t="s">
        <v>132</v>
      </c>
      <c r="E208" s="202"/>
      <c r="F208" s="258"/>
      <c r="G208" s="218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88">
        <f>'Données projet'!A192</f>
        <v>15</v>
      </c>
      <c r="B209" s="189">
        <f>'Données projet'!D192</f>
        <v>0</v>
      </c>
      <c r="C209" s="202"/>
      <c r="D209" s="187">
        <f>B209*C209</f>
        <v>0</v>
      </c>
      <c r="E209" s="202"/>
      <c r="F209" s="259"/>
      <c r="G209" s="218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88">
        <f>'Données projet'!A193</f>
        <v>20</v>
      </c>
      <c r="B210" s="189">
        <f>'Données projet'!D193</f>
        <v>21</v>
      </c>
      <c r="C210" s="202"/>
      <c r="D210" s="187">
        <f t="shared" ref="D210:D228" si="12">B210*C210</f>
        <v>0</v>
      </c>
      <c r="E210" s="202"/>
      <c r="F210" s="259"/>
      <c r="G210" s="218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88">
        <f>'Données projet'!A194</f>
        <v>25</v>
      </c>
      <c r="B211" s="189">
        <f>'Données projet'!D194</f>
        <v>0</v>
      </c>
      <c r="C211" s="202">
        <v>10</v>
      </c>
      <c r="D211" s="187">
        <f t="shared" si="12"/>
        <v>0</v>
      </c>
      <c r="E211" s="202"/>
      <c r="F211" s="259"/>
      <c r="G211" s="218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88">
        <f>'Données projet'!A195</f>
        <v>30</v>
      </c>
      <c r="B212" s="189">
        <f>'Données projet'!D195</f>
        <v>42</v>
      </c>
      <c r="C212" s="202"/>
      <c r="D212" s="187">
        <f t="shared" si="12"/>
        <v>0</v>
      </c>
      <c r="E212" s="202"/>
      <c r="F212" s="259"/>
      <c r="G212" s="218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88">
        <f>'Données projet'!A196</f>
        <v>35</v>
      </c>
      <c r="B213" s="189">
        <f>'Données projet'!D196</f>
        <v>0</v>
      </c>
      <c r="C213" s="202">
        <v>10</v>
      </c>
      <c r="D213" s="187">
        <f t="shared" si="12"/>
        <v>0</v>
      </c>
      <c r="E213" s="202"/>
      <c r="F213" s="259"/>
      <c r="G213" s="218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88">
        <f>'Données projet'!A197</f>
        <v>40</v>
      </c>
      <c r="B214" s="189">
        <f>'Données projet'!D197</f>
        <v>42</v>
      </c>
      <c r="C214" s="202"/>
      <c r="D214" s="187">
        <f t="shared" si="12"/>
        <v>0</v>
      </c>
      <c r="E214" s="202"/>
      <c r="F214" s="259"/>
      <c r="G214" s="218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88">
        <f>'Données projet'!A198</f>
        <v>45</v>
      </c>
      <c r="B215" s="189">
        <f>'Données projet'!D198</f>
        <v>0</v>
      </c>
      <c r="C215" s="202">
        <v>15</v>
      </c>
      <c r="D215" s="187">
        <f t="shared" si="12"/>
        <v>0</v>
      </c>
      <c r="E215" s="202"/>
      <c r="F215" s="259"/>
      <c r="G215" s="219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88">
        <f>'Données projet'!A199</f>
        <v>50</v>
      </c>
      <c r="B216" s="189">
        <f>'Données projet'!D199</f>
        <v>31.1</v>
      </c>
      <c r="C216" s="202"/>
      <c r="D216" s="187">
        <f t="shared" si="12"/>
        <v>0</v>
      </c>
      <c r="E216" s="202"/>
      <c r="F216" s="259"/>
      <c r="G216" s="219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88">
        <f>'Données projet'!A200</f>
        <v>55</v>
      </c>
      <c r="B217" s="189">
        <f>'Données projet'!D200</f>
        <v>0</v>
      </c>
      <c r="C217" s="202">
        <v>20</v>
      </c>
      <c r="D217" s="187">
        <f t="shared" si="12"/>
        <v>0</v>
      </c>
      <c r="E217" s="202"/>
      <c r="F217" s="259"/>
      <c r="G217" s="219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88">
        <f>'Données projet'!A201</f>
        <v>60</v>
      </c>
      <c r="B218" s="189">
        <f>'Données projet'!D201</f>
        <v>20.3</v>
      </c>
      <c r="C218" s="202"/>
      <c r="D218" s="187">
        <f t="shared" si="12"/>
        <v>0</v>
      </c>
      <c r="E218" s="202"/>
      <c r="F218" s="259"/>
      <c r="G218" s="219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88">
        <f>'Données projet'!A202</f>
        <v>65</v>
      </c>
      <c r="B219" s="189">
        <f>'Données projet'!D202</f>
        <v>0</v>
      </c>
      <c r="C219" s="202">
        <v>30</v>
      </c>
      <c r="D219" s="187">
        <f t="shared" si="12"/>
        <v>0</v>
      </c>
      <c r="E219" s="202"/>
      <c r="F219" s="259"/>
      <c r="G219" s="219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88">
        <f>'Données projet'!A203</f>
        <v>70</v>
      </c>
      <c r="B220" s="189">
        <f>'Données projet'!D203</f>
        <v>15.9</v>
      </c>
      <c r="C220" s="202"/>
      <c r="D220" s="187">
        <f t="shared" si="12"/>
        <v>0</v>
      </c>
      <c r="E220" s="202"/>
      <c r="F220" s="259"/>
      <c r="G220" s="219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88">
        <f>'Données projet'!A204</f>
        <v>75</v>
      </c>
      <c r="B221" s="189">
        <f>'Données projet'!D204</f>
        <v>6.6</v>
      </c>
      <c r="C221" s="202"/>
      <c r="D221" s="187">
        <f t="shared" si="12"/>
        <v>0</v>
      </c>
      <c r="E221" s="202"/>
      <c r="F221" s="259"/>
      <c r="G221" s="219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88">
        <f>'Données projet'!A205</f>
        <v>80</v>
      </c>
      <c r="B222" s="189">
        <f>'Données projet'!D205</f>
        <v>213.1</v>
      </c>
      <c r="C222" s="202">
        <v>60</v>
      </c>
      <c r="D222" s="187">
        <f t="shared" si="12"/>
        <v>12786</v>
      </c>
      <c r="E222" s="202"/>
      <c r="F222" s="259"/>
      <c r="G222" s="219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88">
        <f>'Données projet'!A206</f>
        <v>0</v>
      </c>
      <c r="B223" s="189">
        <f>'Données projet'!D206</f>
        <v>0</v>
      </c>
      <c r="C223" s="202"/>
      <c r="D223" s="187">
        <f t="shared" si="12"/>
        <v>0</v>
      </c>
      <c r="E223" s="202"/>
      <c r="F223" s="259"/>
      <c r="G223" s="219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88">
        <f>'Données projet'!A207</f>
        <v>0</v>
      </c>
      <c r="B224" s="189">
        <f>'Données projet'!D207</f>
        <v>0</v>
      </c>
      <c r="C224" s="202"/>
      <c r="D224" s="187">
        <f t="shared" si="12"/>
        <v>0</v>
      </c>
      <c r="E224" s="202"/>
      <c r="F224" s="259"/>
      <c r="G224" s="219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88">
        <f>'Données projet'!A208</f>
        <v>0</v>
      </c>
      <c r="B225" s="189">
        <f>'Données projet'!D208</f>
        <v>0</v>
      </c>
      <c r="C225" s="202"/>
      <c r="D225" s="187">
        <f t="shared" si="12"/>
        <v>0</v>
      </c>
      <c r="E225" s="202"/>
      <c r="F225" s="259"/>
      <c r="G225" s="219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88">
        <f>'Données projet'!A209</f>
        <v>0</v>
      </c>
      <c r="B226" s="189">
        <f>'Données projet'!D209</f>
        <v>0</v>
      </c>
      <c r="C226" s="202"/>
      <c r="D226" s="187">
        <f t="shared" si="12"/>
        <v>0</v>
      </c>
      <c r="E226" s="202"/>
      <c r="F226" s="259"/>
      <c r="G226" s="219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88">
        <f>'Données projet'!A210</f>
        <v>0</v>
      </c>
      <c r="B227" s="189">
        <f>'Données projet'!D210</f>
        <v>0</v>
      </c>
      <c r="C227" s="202"/>
      <c r="D227" s="187">
        <f t="shared" si="12"/>
        <v>0</v>
      </c>
      <c r="E227" s="202"/>
      <c r="F227" s="259"/>
      <c r="G227" s="219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88">
        <f>'Données projet'!A211</f>
        <v>0</v>
      </c>
      <c r="B228" s="189">
        <f>'Données projet'!D211</f>
        <v>0</v>
      </c>
      <c r="C228" s="202"/>
      <c r="D228" s="187">
        <f t="shared" si="12"/>
        <v>0</v>
      </c>
      <c r="E228" s="202"/>
      <c r="F228" s="259"/>
      <c r="G228" s="219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7"/>
      <c r="G229" s="219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7"/>
      <c r="G230" s="219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2" t="str">
        <f>IF('Données projet'!$B$16="","",'Données projet'!$B$16)</f>
        <v>Merisier</v>
      </c>
      <c r="C231" s="5"/>
      <c r="D231" s="5"/>
      <c r="E231" s="5"/>
      <c r="F231" s="257"/>
      <c r="G231" s="219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7"/>
      <c r="G232" s="219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3" t="s">
        <v>180</v>
      </c>
      <c r="B233" s="51" t="s">
        <v>256</v>
      </c>
      <c r="C233" s="51" t="s">
        <v>255</v>
      </c>
      <c r="D233" s="253" t="s">
        <v>252</v>
      </c>
      <c r="E233" s="253" t="s">
        <v>320</v>
      </c>
      <c r="F233" s="258"/>
      <c r="G233" s="219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6">
        <v>0</v>
      </c>
      <c r="B234" s="209" t="s">
        <v>132</v>
      </c>
      <c r="C234" s="208" t="s">
        <v>132</v>
      </c>
      <c r="D234" s="207" t="s">
        <v>132</v>
      </c>
      <c r="E234" s="202"/>
      <c r="F234" s="258"/>
      <c r="G234" s="219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6">
        <v>1</v>
      </c>
      <c r="B235" s="209" t="s">
        <v>132</v>
      </c>
      <c r="C235" s="208" t="s">
        <v>132</v>
      </c>
      <c r="D235" s="207" t="s">
        <v>132</v>
      </c>
      <c r="E235" s="202"/>
      <c r="F235" s="258"/>
      <c r="G235" s="217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6">
        <v>2</v>
      </c>
      <c r="B236" s="209" t="s">
        <v>132</v>
      </c>
      <c r="C236" s="208" t="s">
        <v>132</v>
      </c>
      <c r="D236" s="207" t="s">
        <v>132</v>
      </c>
      <c r="E236" s="202"/>
      <c r="F236" s="258"/>
      <c r="G236" s="217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6">
        <v>3</v>
      </c>
      <c r="B237" s="209" t="s">
        <v>132</v>
      </c>
      <c r="C237" s="208" t="s">
        <v>132</v>
      </c>
      <c r="D237" s="207" t="s">
        <v>132</v>
      </c>
      <c r="E237" s="202"/>
      <c r="F237" s="258"/>
      <c r="G237" s="217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6">
        <v>4</v>
      </c>
      <c r="B238" s="209" t="s">
        <v>132</v>
      </c>
      <c r="C238" s="208" t="s">
        <v>132</v>
      </c>
      <c r="D238" s="207" t="s">
        <v>132</v>
      </c>
      <c r="E238" s="202"/>
      <c r="F238" s="258"/>
      <c r="G238" s="217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6">
        <v>5</v>
      </c>
      <c r="B239" s="209" t="s">
        <v>132</v>
      </c>
      <c r="C239" s="208" t="s">
        <v>132</v>
      </c>
      <c r="D239" s="207" t="s">
        <v>132</v>
      </c>
      <c r="E239" s="202"/>
      <c r="F239" s="258"/>
      <c r="G239" s="218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88">
        <f>'Données projet'!A218</f>
        <v>15</v>
      </c>
      <c r="B240" s="189">
        <f>'Données projet'!D218</f>
        <v>0</v>
      </c>
      <c r="C240" s="202"/>
      <c r="D240" s="187">
        <f>B240*C240</f>
        <v>0</v>
      </c>
      <c r="E240" s="202"/>
      <c r="F240" s="259"/>
      <c r="G240" s="218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88">
        <f>'Données projet'!A219</f>
        <v>20</v>
      </c>
      <c r="B241" s="189">
        <f>'Données projet'!D219</f>
        <v>28</v>
      </c>
      <c r="C241" s="200">
        <v>10</v>
      </c>
      <c r="D241" s="187">
        <f t="shared" ref="D241:D259" si="13">B241*C241</f>
        <v>280</v>
      </c>
      <c r="E241" s="202"/>
      <c r="F241" s="259"/>
      <c r="G241" s="218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88">
        <f>'Données projet'!A220</f>
        <v>25</v>
      </c>
      <c r="B242" s="189">
        <f>'Données projet'!D220</f>
        <v>27</v>
      </c>
      <c r="C242" s="200">
        <v>10</v>
      </c>
      <c r="D242" s="187">
        <f t="shared" si="13"/>
        <v>270</v>
      </c>
      <c r="E242" s="202"/>
      <c r="F242" s="259"/>
      <c r="G242" s="218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88">
        <f>'Données projet'!A221</f>
        <v>31</v>
      </c>
      <c r="B243" s="189">
        <f>'Données projet'!D221</f>
        <v>36</v>
      </c>
      <c r="C243" s="200">
        <v>15</v>
      </c>
      <c r="D243" s="187">
        <f t="shared" si="13"/>
        <v>540</v>
      </c>
      <c r="E243" s="202"/>
      <c r="F243" s="259"/>
      <c r="G243" s="218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88">
        <f>'Données projet'!A222</f>
        <v>37</v>
      </c>
      <c r="B244" s="189">
        <f>'Données projet'!D222</f>
        <v>36</v>
      </c>
      <c r="C244" s="200">
        <v>20</v>
      </c>
      <c r="D244" s="187">
        <f t="shared" si="13"/>
        <v>720</v>
      </c>
      <c r="E244" s="202"/>
      <c r="F244" s="259"/>
      <c r="G244" s="218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88">
        <f>'Données projet'!A223</f>
        <v>44</v>
      </c>
      <c r="B245" s="189">
        <f>'Données projet'!D223</f>
        <v>43</v>
      </c>
      <c r="C245" s="200">
        <v>40</v>
      </c>
      <c r="D245" s="187">
        <f t="shared" si="13"/>
        <v>1720</v>
      </c>
      <c r="E245" s="202"/>
      <c r="F245" s="259"/>
      <c r="G245" s="218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88">
        <f>'Données projet'!A224</f>
        <v>52</v>
      </c>
      <c r="B246" s="189">
        <f>'Données projet'!D224</f>
        <v>48</v>
      </c>
      <c r="C246" s="200">
        <v>50</v>
      </c>
      <c r="D246" s="187">
        <f t="shared" si="13"/>
        <v>2400</v>
      </c>
      <c r="E246" s="202"/>
      <c r="F246" s="259"/>
      <c r="G246" s="219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88">
        <f>'Données projet'!A225</f>
        <v>60</v>
      </c>
      <c r="B247" s="189">
        <f>'Données projet'!D225</f>
        <v>47</v>
      </c>
      <c r="C247" s="200">
        <v>80</v>
      </c>
      <c r="D247" s="187">
        <f t="shared" si="13"/>
        <v>3760</v>
      </c>
      <c r="E247" s="202"/>
      <c r="F247" s="259"/>
      <c r="G247" s="219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88">
        <f>'Données projet'!A226</f>
        <v>69</v>
      </c>
      <c r="B248" s="189">
        <f>'Données projet'!D226</f>
        <v>328</v>
      </c>
      <c r="C248" s="200">
        <v>90</v>
      </c>
      <c r="D248" s="187">
        <f t="shared" si="13"/>
        <v>29520</v>
      </c>
      <c r="E248" s="202"/>
      <c r="F248" s="259"/>
      <c r="G248" s="219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88">
        <f>'Données projet'!A227</f>
        <v>0</v>
      </c>
      <c r="B249" s="189">
        <f>'Données projet'!D227</f>
        <v>0</v>
      </c>
      <c r="C249" s="202"/>
      <c r="D249" s="187">
        <f t="shared" si="13"/>
        <v>0</v>
      </c>
      <c r="E249" s="202"/>
      <c r="F249" s="259"/>
      <c r="G249" s="219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88">
        <f>'Données projet'!A228</f>
        <v>0</v>
      </c>
      <c r="B250" s="189">
        <f>'Données projet'!D228</f>
        <v>0</v>
      </c>
      <c r="C250" s="202"/>
      <c r="D250" s="187">
        <f t="shared" si="13"/>
        <v>0</v>
      </c>
      <c r="E250" s="202"/>
      <c r="F250" s="259"/>
      <c r="G250" s="219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88">
        <f>'Données projet'!A229</f>
        <v>0</v>
      </c>
      <c r="B251" s="189">
        <f>'Données projet'!D229</f>
        <v>0</v>
      </c>
      <c r="C251" s="202"/>
      <c r="D251" s="187">
        <f t="shared" si="13"/>
        <v>0</v>
      </c>
      <c r="E251" s="202"/>
      <c r="F251" s="259"/>
      <c r="G251" s="219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88">
        <f>'Données projet'!A230</f>
        <v>0</v>
      </c>
      <c r="B252" s="189">
        <f>'Données projet'!D230</f>
        <v>0</v>
      </c>
      <c r="C252" s="202"/>
      <c r="D252" s="187">
        <f t="shared" si="13"/>
        <v>0</v>
      </c>
      <c r="E252" s="202"/>
      <c r="F252" s="259"/>
      <c r="G252" s="219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88">
        <f>'Données projet'!A231</f>
        <v>0</v>
      </c>
      <c r="B253" s="189">
        <f>'Données projet'!D231</f>
        <v>0</v>
      </c>
      <c r="C253" s="202"/>
      <c r="D253" s="187">
        <f t="shared" si="13"/>
        <v>0</v>
      </c>
      <c r="E253" s="202"/>
      <c r="F253" s="259"/>
      <c r="G253" s="219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88">
        <f>'Données projet'!A232</f>
        <v>0</v>
      </c>
      <c r="B254" s="189">
        <f>'Données projet'!D232</f>
        <v>0</v>
      </c>
      <c r="C254" s="202"/>
      <c r="D254" s="187">
        <f t="shared" si="13"/>
        <v>0</v>
      </c>
      <c r="E254" s="202"/>
      <c r="F254" s="259"/>
      <c r="G254" s="219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88">
        <f>'Données projet'!A233</f>
        <v>0</v>
      </c>
      <c r="B255" s="189">
        <f>'Données projet'!D233</f>
        <v>0</v>
      </c>
      <c r="C255" s="202"/>
      <c r="D255" s="187">
        <f t="shared" si="13"/>
        <v>0</v>
      </c>
      <c r="E255" s="202"/>
      <c r="F255" s="259"/>
      <c r="G255" s="219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88">
        <f>'Données projet'!A234</f>
        <v>0</v>
      </c>
      <c r="B256" s="189">
        <f>'Données projet'!D234</f>
        <v>0</v>
      </c>
      <c r="C256" s="202"/>
      <c r="D256" s="187">
        <f t="shared" si="13"/>
        <v>0</v>
      </c>
      <c r="E256" s="202"/>
      <c r="F256" s="259"/>
      <c r="G256" s="219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88">
        <f>'Données projet'!A235</f>
        <v>0</v>
      </c>
      <c r="B257" s="189">
        <f>'Données projet'!D235</f>
        <v>0</v>
      </c>
      <c r="C257" s="202"/>
      <c r="D257" s="187">
        <f t="shared" si="13"/>
        <v>0</v>
      </c>
      <c r="E257" s="202"/>
      <c r="F257" s="259"/>
      <c r="G257" s="219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88">
        <f>'Données projet'!A236</f>
        <v>0</v>
      </c>
      <c r="B258" s="189">
        <f>'Données projet'!D236</f>
        <v>0</v>
      </c>
      <c r="C258" s="202"/>
      <c r="D258" s="187">
        <f t="shared" si="13"/>
        <v>0</v>
      </c>
      <c r="E258" s="202"/>
      <c r="F258" s="259"/>
      <c r="G258" s="219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88">
        <f>'Données projet'!A237</f>
        <v>0</v>
      </c>
      <c r="B259" s="189">
        <f>'Données projet'!D237</f>
        <v>0</v>
      </c>
      <c r="C259" s="202"/>
      <c r="D259" s="187">
        <f t="shared" si="13"/>
        <v>0</v>
      </c>
      <c r="E259" s="202"/>
      <c r="F259" s="259"/>
      <c r="G259" s="219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7"/>
      <c r="G260" s="219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7"/>
      <c r="G261" s="219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2" t="str">
        <f>IF('Données projet'!$B$17="","",'Données projet'!$B$17)</f>
        <v>Pin maritime</v>
      </c>
      <c r="C262" s="5"/>
      <c r="D262" s="5"/>
      <c r="E262" s="5"/>
      <c r="F262" s="257"/>
      <c r="G262" s="219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7"/>
      <c r="G263" s="219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3" t="s">
        <v>180</v>
      </c>
      <c r="B264" s="51" t="s">
        <v>256</v>
      </c>
      <c r="C264" s="51" t="s">
        <v>255</v>
      </c>
      <c r="D264" s="253" t="s">
        <v>252</v>
      </c>
      <c r="E264" s="253" t="s">
        <v>320</v>
      </c>
      <c r="F264" s="258"/>
      <c r="G264" s="219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6">
        <v>0</v>
      </c>
      <c r="B265" s="209" t="s">
        <v>132</v>
      </c>
      <c r="C265" s="208" t="s">
        <v>132</v>
      </c>
      <c r="D265" s="207" t="s">
        <v>132</v>
      </c>
      <c r="E265" s="202"/>
      <c r="F265" s="258"/>
      <c r="G265" s="219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6">
        <v>1</v>
      </c>
      <c r="B266" s="209" t="s">
        <v>132</v>
      </c>
      <c r="C266" s="208" t="s">
        <v>132</v>
      </c>
      <c r="D266" s="207" t="s">
        <v>132</v>
      </c>
      <c r="E266" s="202"/>
      <c r="F266" s="258"/>
      <c r="G266" s="217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6">
        <v>2</v>
      </c>
      <c r="B267" s="209" t="s">
        <v>132</v>
      </c>
      <c r="C267" s="208" t="s">
        <v>132</v>
      </c>
      <c r="D267" s="207" t="s">
        <v>132</v>
      </c>
      <c r="E267" s="202"/>
      <c r="F267" s="258"/>
      <c r="G267" s="217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6">
        <v>3</v>
      </c>
      <c r="B268" s="209" t="s">
        <v>132</v>
      </c>
      <c r="C268" s="208" t="s">
        <v>132</v>
      </c>
      <c r="D268" s="207" t="s">
        <v>132</v>
      </c>
      <c r="E268" s="202"/>
      <c r="F268" s="258"/>
      <c r="G268" s="217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6">
        <v>4</v>
      </c>
      <c r="B269" s="209" t="s">
        <v>132</v>
      </c>
      <c r="C269" s="208" t="s">
        <v>132</v>
      </c>
      <c r="D269" s="207" t="s">
        <v>132</v>
      </c>
      <c r="E269" s="202"/>
      <c r="F269" s="258"/>
      <c r="G269" s="217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6">
        <v>5</v>
      </c>
      <c r="B270" s="209" t="s">
        <v>132</v>
      </c>
      <c r="C270" s="208" t="s">
        <v>132</v>
      </c>
      <c r="D270" s="207" t="s">
        <v>132</v>
      </c>
      <c r="E270" s="202"/>
      <c r="F270" s="258"/>
      <c r="G270" s="218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88">
        <f>'Données projet'!A244</f>
        <v>12</v>
      </c>
      <c r="B271" s="189">
        <f>'Données projet'!D244</f>
        <v>0</v>
      </c>
      <c r="C271" s="202"/>
      <c r="D271" s="187">
        <f>B271*C271</f>
        <v>0</v>
      </c>
      <c r="E271" s="202"/>
      <c r="F271" s="259"/>
      <c r="G271" s="218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88">
        <f>'Données projet'!A245</f>
        <v>13</v>
      </c>
      <c r="B272" s="189">
        <f>'Données projet'!D245</f>
        <v>0</v>
      </c>
      <c r="C272" s="202"/>
      <c r="D272" s="187">
        <f t="shared" ref="D272:D290" si="14">B272*C272</f>
        <v>0</v>
      </c>
      <c r="E272" s="202"/>
      <c r="F272" s="259"/>
      <c r="G272" s="218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88">
        <f>'Données projet'!A246</f>
        <v>14</v>
      </c>
      <c r="B273" s="189">
        <f>'Données projet'!D246</f>
        <v>0</v>
      </c>
      <c r="C273" s="202"/>
      <c r="D273" s="187">
        <f t="shared" si="14"/>
        <v>0</v>
      </c>
      <c r="E273" s="202"/>
      <c r="F273" s="259"/>
      <c r="G273" s="218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88">
        <f>'Données projet'!A247</f>
        <v>15</v>
      </c>
      <c r="B274" s="189">
        <f>'Données projet'!D247</f>
        <v>23.3155</v>
      </c>
      <c r="C274" s="202">
        <v>10</v>
      </c>
      <c r="D274" s="187">
        <f t="shared" si="14"/>
        <v>233.155</v>
      </c>
      <c r="E274" s="202"/>
      <c r="F274" s="259"/>
      <c r="G274" s="218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88">
        <f>'Données projet'!A248</f>
        <v>16</v>
      </c>
      <c r="B275" s="189">
        <f>'Données projet'!D248</f>
        <v>0</v>
      </c>
      <c r="C275" s="202"/>
      <c r="D275" s="187">
        <f t="shared" si="14"/>
        <v>0</v>
      </c>
      <c r="E275" s="202"/>
      <c r="F275" s="259"/>
      <c r="G275" s="218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88">
        <f>'Données projet'!A249</f>
        <v>17</v>
      </c>
      <c r="B276" s="189">
        <f>'Données projet'!D249</f>
        <v>0</v>
      </c>
      <c r="C276" s="202"/>
      <c r="D276" s="187">
        <f t="shared" si="14"/>
        <v>0</v>
      </c>
      <c r="E276" s="202"/>
      <c r="F276" s="259"/>
      <c r="G276" s="218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88">
        <f>'Données projet'!A250</f>
        <v>18</v>
      </c>
      <c r="B277" s="189">
        <f>'Données projet'!D250</f>
        <v>0</v>
      </c>
      <c r="C277" s="202"/>
      <c r="D277" s="187">
        <f t="shared" si="14"/>
        <v>0</v>
      </c>
      <c r="E277" s="202"/>
      <c r="F277" s="259"/>
      <c r="G277" s="219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88">
        <f>'Données projet'!A251</f>
        <v>19</v>
      </c>
      <c r="B278" s="189">
        <f>'Données projet'!D251</f>
        <v>0</v>
      </c>
      <c r="C278" s="202"/>
      <c r="D278" s="187">
        <f t="shared" si="14"/>
        <v>0</v>
      </c>
      <c r="E278" s="202"/>
      <c r="F278" s="259"/>
      <c r="G278" s="219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88">
        <f>'Données projet'!A252</f>
        <v>20</v>
      </c>
      <c r="B279" s="189">
        <f>'Données projet'!D252</f>
        <v>34.110500000000002</v>
      </c>
      <c r="C279" s="202">
        <v>15</v>
      </c>
      <c r="D279" s="187">
        <f t="shared" si="14"/>
        <v>511.65750000000003</v>
      </c>
      <c r="E279" s="202"/>
      <c r="F279" s="259"/>
      <c r="G279" s="219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88">
        <f>'Données projet'!A253</f>
        <v>21</v>
      </c>
      <c r="B280" s="189">
        <f>'Données projet'!D253</f>
        <v>0</v>
      </c>
      <c r="C280" s="202"/>
      <c r="D280" s="187">
        <f t="shared" si="14"/>
        <v>0</v>
      </c>
      <c r="E280" s="202"/>
      <c r="F280" s="259"/>
      <c r="G280" s="219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88">
        <f>'Données projet'!A254</f>
        <v>22</v>
      </c>
      <c r="B281" s="189">
        <f>'Données projet'!D254</f>
        <v>0</v>
      </c>
      <c r="C281" s="202"/>
      <c r="D281" s="187">
        <f t="shared" si="14"/>
        <v>0</v>
      </c>
      <c r="E281" s="202"/>
      <c r="F281" s="259"/>
      <c r="G281" s="219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88">
        <f>'Données projet'!A255</f>
        <v>23</v>
      </c>
      <c r="B282" s="189">
        <f>'Données projet'!D255</f>
        <v>0</v>
      </c>
      <c r="C282" s="202"/>
      <c r="D282" s="187">
        <f t="shared" si="14"/>
        <v>0</v>
      </c>
      <c r="E282" s="202"/>
      <c r="F282" s="259"/>
      <c r="G282" s="219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88">
        <f>'Données projet'!A256</f>
        <v>24</v>
      </c>
      <c r="B283" s="189">
        <f>'Données projet'!D256</f>
        <v>0</v>
      </c>
      <c r="C283" s="202"/>
      <c r="D283" s="187">
        <f t="shared" si="14"/>
        <v>0</v>
      </c>
      <c r="E283" s="202"/>
      <c r="F283" s="259"/>
      <c r="G283" s="219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88">
        <f>'Données projet'!A257</f>
        <v>25</v>
      </c>
      <c r="B284" s="189">
        <f>'Données projet'!D257</f>
        <v>0</v>
      </c>
      <c r="C284" s="202"/>
      <c r="D284" s="187">
        <f t="shared" si="14"/>
        <v>0</v>
      </c>
      <c r="E284" s="202"/>
      <c r="F284" s="259"/>
      <c r="G284" s="219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88">
        <f>'Données projet'!A258</f>
        <v>27</v>
      </c>
      <c r="B285" s="189">
        <f>'Données projet'!D258</f>
        <v>54.518999999999998</v>
      </c>
      <c r="C285" s="202">
        <v>20</v>
      </c>
      <c r="D285" s="187">
        <f t="shared" si="14"/>
        <v>1090.3799999999999</v>
      </c>
      <c r="E285" s="202"/>
      <c r="F285" s="259"/>
      <c r="G285" s="219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88">
        <f>'Données projet'!A259</f>
        <v>30</v>
      </c>
      <c r="B286" s="189">
        <f>'Données projet'!D259</f>
        <v>0</v>
      </c>
      <c r="C286" s="202"/>
      <c r="D286" s="187">
        <f t="shared" si="14"/>
        <v>0</v>
      </c>
      <c r="E286" s="202"/>
      <c r="F286" s="259"/>
      <c r="G286" s="219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88">
        <f>'Données projet'!A260</f>
        <v>32</v>
      </c>
      <c r="B287" s="189">
        <f>'Données projet'!D260</f>
        <v>62.73</v>
      </c>
      <c r="C287" s="202">
        <v>25</v>
      </c>
      <c r="D287" s="187">
        <f t="shared" si="14"/>
        <v>1568.25</v>
      </c>
      <c r="E287" s="202"/>
      <c r="F287" s="259"/>
      <c r="G287" s="219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88">
        <f>'Données projet'!A261</f>
        <v>37</v>
      </c>
      <c r="B288" s="189">
        <f>'Données projet'!D261</f>
        <v>0</v>
      </c>
      <c r="C288" s="202"/>
      <c r="D288" s="187">
        <f t="shared" si="14"/>
        <v>0</v>
      </c>
      <c r="E288" s="202"/>
      <c r="F288" s="259"/>
      <c r="G288" s="219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88">
        <f>'Données projet'!A262</f>
        <v>42</v>
      </c>
      <c r="B289" s="189">
        <f>'Données projet'!D262</f>
        <v>0</v>
      </c>
      <c r="C289" s="202"/>
      <c r="D289" s="187">
        <f t="shared" si="14"/>
        <v>0</v>
      </c>
      <c r="E289" s="202"/>
      <c r="F289" s="259"/>
      <c r="G289" s="219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88">
        <f>'Données projet'!A263</f>
        <v>44</v>
      </c>
      <c r="B290" s="189">
        <f>'Données projet'!D263</f>
        <v>337.78999999999996</v>
      </c>
      <c r="C290" s="202">
        <v>40</v>
      </c>
      <c r="D290" s="187">
        <f t="shared" si="14"/>
        <v>13511.599999999999</v>
      </c>
      <c r="E290" s="202"/>
      <c r="F290" s="259"/>
      <c r="G290" s="219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7"/>
      <c r="G291" s="219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7"/>
      <c r="G292" s="219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2" t="str">
        <f>IF('Données projet'!$B$18="","",'Données projet'!$B$18)</f>
        <v/>
      </c>
      <c r="C293" s="5"/>
      <c r="D293" s="5"/>
      <c r="E293" s="5"/>
      <c r="F293" s="257"/>
      <c r="G293" s="219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7"/>
      <c r="G294" s="219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3" t="s">
        <v>180</v>
      </c>
      <c r="B295" s="51" t="s">
        <v>256</v>
      </c>
      <c r="C295" s="51" t="s">
        <v>255</v>
      </c>
      <c r="D295" s="253" t="s">
        <v>252</v>
      </c>
      <c r="E295" s="253" t="s">
        <v>320</v>
      </c>
      <c r="F295" s="258"/>
      <c r="G295" s="219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6">
        <v>0</v>
      </c>
      <c r="B296" s="209" t="s">
        <v>132</v>
      </c>
      <c r="C296" s="208" t="s">
        <v>132</v>
      </c>
      <c r="D296" s="207" t="s">
        <v>132</v>
      </c>
      <c r="E296" s="202"/>
      <c r="F296" s="258"/>
      <c r="G296" s="219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6">
        <v>1</v>
      </c>
      <c r="B297" s="209" t="s">
        <v>132</v>
      </c>
      <c r="C297" s="208" t="s">
        <v>132</v>
      </c>
      <c r="D297" s="207" t="s">
        <v>132</v>
      </c>
      <c r="E297" s="202"/>
      <c r="F297" s="258"/>
      <c r="G297" s="217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6">
        <v>2</v>
      </c>
      <c r="B298" s="209" t="s">
        <v>132</v>
      </c>
      <c r="C298" s="208" t="s">
        <v>132</v>
      </c>
      <c r="D298" s="207" t="s">
        <v>132</v>
      </c>
      <c r="E298" s="202"/>
      <c r="F298" s="258"/>
      <c r="G298" s="217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6">
        <v>3</v>
      </c>
      <c r="B299" s="209" t="s">
        <v>132</v>
      </c>
      <c r="C299" s="208" t="s">
        <v>132</v>
      </c>
      <c r="D299" s="207" t="s">
        <v>132</v>
      </c>
      <c r="E299" s="202"/>
      <c r="F299" s="258"/>
      <c r="G299" s="217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6">
        <v>4</v>
      </c>
      <c r="B300" s="209" t="s">
        <v>132</v>
      </c>
      <c r="C300" s="208" t="s">
        <v>132</v>
      </c>
      <c r="D300" s="207" t="s">
        <v>132</v>
      </c>
      <c r="E300" s="202"/>
      <c r="F300" s="258"/>
      <c r="G300" s="217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6">
        <v>5</v>
      </c>
      <c r="B301" s="209" t="s">
        <v>132</v>
      </c>
      <c r="C301" s="208" t="s">
        <v>132</v>
      </c>
      <c r="D301" s="207" t="s">
        <v>132</v>
      </c>
      <c r="E301" s="202"/>
      <c r="F301" s="258"/>
      <c r="G301" s="218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88">
        <f>'Données projet'!A270</f>
        <v>0</v>
      </c>
      <c r="B302" s="189">
        <f>'Données projet'!D270</f>
        <v>0</v>
      </c>
      <c r="C302" s="200"/>
      <c r="D302" s="190">
        <f>B302*C302</f>
        <v>0</v>
      </c>
      <c r="E302" s="202"/>
      <c r="F302" s="260"/>
      <c r="G302" s="218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88">
        <f>'Données projet'!A271</f>
        <v>0</v>
      </c>
      <c r="B303" s="189">
        <f>'Données projet'!D271</f>
        <v>0</v>
      </c>
      <c r="C303" s="200"/>
      <c r="D303" s="190">
        <f t="shared" ref="D303:D321" si="15">B303*C303</f>
        <v>0</v>
      </c>
      <c r="E303" s="202"/>
      <c r="F303" s="260"/>
      <c r="G303" s="218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88">
        <f>'Données projet'!A272</f>
        <v>0</v>
      </c>
      <c r="B304" s="189">
        <f>'Données projet'!D272</f>
        <v>0</v>
      </c>
      <c r="C304" s="200"/>
      <c r="D304" s="190">
        <f t="shared" si="15"/>
        <v>0</v>
      </c>
      <c r="E304" s="202"/>
      <c r="F304" s="260"/>
      <c r="G304" s="218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88">
        <f>'Données projet'!A273</f>
        <v>0</v>
      </c>
      <c r="B305" s="189">
        <f>'Données projet'!D273</f>
        <v>0</v>
      </c>
      <c r="C305" s="200"/>
      <c r="D305" s="190">
        <f t="shared" si="15"/>
        <v>0</v>
      </c>
      <c r="E305" s="202"/>
      <c r="F305" s="260"/>
      <c r="G305" s="218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88">
        <f>'Données projet'!A274</f>
        <v>0</v>
      </c>
      <c r="B306" s="189">
        <f>'Données projet'!D274</f>
        <v>0</v>
      </c>
      <c r="C306" s="200"/>
      <c r="D306" s="190">
        <f t="shared" si="15"/>
        <v>0</v>
      </c>
      <c r="E306" s="202"/>
      <c r="F306" s="260"/>
      <c r="G306" s="218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88">
        <f>'Données projet'!A275</f>
        <v>0</v>
      </c>
      <c r="B307" s="189">
        <f>'Données projet'!D275</f>
        <v>0</v>
      </c>
      <c r="C307" s="200"/>
      <c r="D307" s="190">
        <f t="shared" si="15"/>
        <v>0</v>
      </c>
      <c r="E307" s="202"/>
      <c r="F307" s="260"/>
      <c r="G307" s="218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88">
        <f>'Données projet'!A276</f>
        <v>0</v>
      </c>
      <c r="B308" s="189">
        <f>'Données projet'!D276</f>
        <v>0</v>
      </c>
      <c r="C308" s="200"/>
      <c r="D308" s="190">
        <f t="shared" si="15"/>
        <v>0</v>
      </c>
      <c r="E308" s="202"/>
      <c r="F308" s="260"/>
      <c r="G308" s="214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88">
        <f>'Données projet'!A277</f>
        <v>0</v>
      </c>
      <c r="B309" s="189">
        <f>'Données projet'!D277</f>
        <v>0</v>
      </c>
      <c r="C309" s="200"/>
      <c r="D309" s="190">
        <f t="shared" si="15"/>
        <v>0</v>
      </c>
      <c r="E309" s="202"/>
      <c r="F309" s="260"/>
      <c r="G309" s="214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88">
        <f>'Données projet'!A278</f>
        <v>0</v>
      </c>
      <c r="B310" s="189">
        <f>'Données projet'!D278</f>
        <v>0</v>
      </c>
      <c r="C310" s="200"/>
      <c r="D310" s="190">
        <f t="shared" si="15"/>
        <v>0</v>
      </c>
      <c r="E310" s="202"/>
      <c r="F310" s="260"/>
      <c r="G310" s="214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88">
        <f>'Données projet'!A279</f>
        <v>0</v>
      </c>
      <c r="B311" s="189">
        <f>'Données projet'!D279</f>
        <v>0</v>
      </c>
      <c r="C311" s="200"/>
      <c r="D311" s="190">
        <f t="shared" si="15"/>
        <v>0</v>
      </c>
      <c r="E311" s="202"/>
      <c r="F311" s="260"/>
      <c r="G311" s="214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88">
        <f>'Données projet'!A280</f>
        <v>0</v>
      </c>
      <c r="B312" s="189">
        <f>'Données projet'!D280</f>
        <v>0</v>
      </c>
      <c r="C312" s="200"/>
      <c r="D312" s="190">
        <f t="shared" si="15"/>
        <v>0</v>
      </c>
      <c r="E312" s="202"/>
      <c r="F312" s="260"/>
      <c r="G312" s="214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88">
        <f>'Données projet'!A281</f>
        <v>0</v>
      </c>
      <c r="B313" s="189">
        <f>'Données projet'!D281</f>
        <v>0</v>
      </c>
      <c r="C313" s="200"/>
      <c r="D313" s="190">
        <f t="shared" si="15"/>
        <v>0</v>
      </c>
      <c r="E313" s="202"/>
      <c r="F313" s="260"/>
      <c r="G313" s="214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88">
        <f>'Données projet'!A282</f>
        <v>0</v>
      </c>
      <c r="B314" s="189">
        <f>'Données projet'!D282</f>
        <v>0</v>
      </c>
      <c r="C314" s="200"/>
      <c r="D314" s="190">
        <f t="shared" si="15"/>
        <v>0</v>
      </c>
      <c r="E314" s="202"/>
      <c r="F314" s="260"/>
      <c r="G314" s="214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88">
        <f>'Données projet'!A283</f>
        <v>0</v>
      </c>
      <c r="B315" s="189">
        <f>'Données projet'!D283</f>
        <v>0</v>
      </c>
      <c r="C315" s="200"/>
      <c r="D315" s="190">
        <f t="shared" si="15"/>
        <v>0</v>
      </c>
      <c r="E315" s="202"/>
      <c r="F315" s="260"/>
      <c r="G315" s="214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88">
        <f>'Données projet'!A284</f>
        <v>0</v>
      </c>
      <c r="B316" s="189">
        <f>'Données projet'!D284</f>
        <v>0</v>
      </c>
      <c r="C316" s="200"/>
      <c r="D316" s="190">
        <f t="shared" si="15"/>
        <v>0</v>
      </c>
      <c r="E316" s="202"/>
      <c r="F316" s="260"/>
      <c r="G316" s="214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88">
        <f>'Données projet'!A285</f>
        <v>0</v>
      </c>
      <c r="B317" s="189">
        <f>'Données projet'!D285</f>
        <v>0</v>
      </c>
      <c r="C317" s="200"/>
      <c r="D317" s="190">
        <f t="shared" si="15"/>
        <v>0</v>
      </c>
      <c r="E317" s="202"/>
      <c r="F317" s="260"/>
      <c r="G317" s="214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88">
        <f>'Données projet'!A286</f>
        <v>0</v>
      </c>
      <c r="B318" s="189">
        <f>'Données projet'!D286</f>
        <v>0</v>
      </c>
      <c r="C318" s="200"/>
      <c r="D318" s="190">
        <f t="shared" si="15"/>
        <v>0</v>
      </c>
      <c r="E318" s="202"/>
      <c r="F318" s="260"/>
      <c r="G318" s="214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88">
        <f>'Données projet'!A287</f>
        <v>0</v>
      </c>
      <c r="B319" s="189">
        <f>'Données projet'!D287</f>
        <v>0</v>
      </c>
      <c r="C319" s="200"/>
      <c r="D319" s="190">
        <f t="shared" si="15"/>
        <v>0</v>
      </c>
      <c r="E319" s="202"/>
      <c r="F319" s="260"/>
      <c r="G319" s="214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88">
        <f>'Données projet'!A288</f>
        <v>0</v>
      </c>
      <c r="B320" s="189">
        <f>'Données projet'!D288</f>
        <v>0</v>
      </c>
      <c r="C320" s="200"/>
      <c r="D320" s="190">
        <f t="shared" si="15"/>
        <v>0</v>
      </c>
      <c r="E320" s="202"/>
      <c r="F320" s="260"/>
      <c r="G320" s="214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88">
        <f>'Données projet'!A289</f>
        <v>0</v>
      </c>
      <c r="B321" s="189">
        <f>'Données projet'!D289</f>
        <v>0</v>
      </c>
      <c r="C321" s="205"/>
      <c r="D321" s="190">
        <f t="shared" si="15"/>
        <v>0</v>
      </c>
      <c r="E321" s="202"/>
      <c r="F321" s="260"/>
      <c r="G321" s="214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4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4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4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4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4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4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7"/>
      <c r="G328" s="22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7"/>
      <c r="G329" s="22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7"/>
      <c r="G330" s="22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7"/>
      <c r="G331" s="22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7"/>
      <c r="G332" s="22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7"/>
      <c r="G333" s="22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7"/>
      <c r="G334" s="22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7"/>
      <c r="G335" s="22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7"/>
      <c r="G336" s="22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7"/>
      <c r="G337" s="22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7"/>
      <c r="G338" s="22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7"/>
      <c r="G339" s="22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7"/>
      <c r="G340" s="22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7"/>
      <c r="G341" s="22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7"/>
      <c r="G342" s="22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7"/>
      <c r="G343" s="22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7"/>
      <c r="G344" s="22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7"/>
      <c r="G345" s="22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7"/>
      <c r="G346" s="22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7"/>
      <c r="G347" s="22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7"/>
      <c r="G348" s="22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7"/>
      <c r="G349" s="22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7"/>
      <c r="G350" s="22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7"/>
      <c r="G351" s="22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7"/>
      <c r="G352" s="22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7"/>
      <c r="G353" s="22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7"/>
      <c r="G354" s="22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7"/>
      <c r="G355" s="22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7"/>
      <c r="G356" s="22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7"/>
      <c r="G357" s="22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7"/>
      <c r="G358" s="22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7"/>
      <c r="G359" s="22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7"/>
      <c r="G360" s="22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7"/>
      <c r="G361" s="22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7"/>
      <c r="G362" s="22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7"/>
      <c r="G363" s="22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7"/>
      <c r="G364" s="22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7"/>
      <c r="G365" s="22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7"/>
      <c r="G366" s="22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7"/>
      <c r="G367" s="22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7"/>
      <c r="G368" s="22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7"/>
      <c r="G369" s="22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7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7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7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7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7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7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7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7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7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7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7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7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7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7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7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7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7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7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7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7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7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7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7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7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7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7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Geoffrey.Rombaut</cp:lastModifiedBy>
  <dcterms:created xsi:type="dcterms:W3CDTF">2021-02-01T08:22:39Z</dcterms:created>
  <dcterms:modified xsi:type="dcterms:W3CDTF">2023-03-21T11:31:44Z</dcterms:modified>
</cp:coreProperties>
</file>